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CSD^0A/CSD^0A Publications/TM - CREDIT ANALYST'S SURVIVAL MANUAL/Spreadsheets/"/>
    </mc:Choice>
  </mc:AlternateContent>
  <xr:revisionPtr revIDLastSave="192" documentId="8_{C249FE6B-A9D1-45C8-9A77-D873085B3C78}" xr6:coauthVersionLast="47" xr6:coauthVersionMax="47" xr10:uidLastSave="{71B1133E-93C8-4C09-A882-64DB731151EF}"/>
  <bookViews>
    <workbookView xWindow="-110" yWindow="-110" windowWidth="19420" windowHeight="10300" firstSheet="1" activeTab="9" xr2:uid="{C9B65557-6B9C-4AC8-A0C9-DA00E3B4A84B}"/>
  </bookViews>
  <sheets>
    <sheet name="Fig.13.1" sheetId="3" r:id="rId1"/>
    <sheet name="Fig.13.2" sheetId="4" r:id="rId2"/>
    <sheet name="Fig. 13.3" sheetId="5" r:id="rId3"/>
    <sheet name="Fig. 13.4" sheetId="6" r:id="rId4"/>
    <sheet name="Fig. 13.5" sheetId="7" r:id="rId5"/>
    <sheet name="Fig. 13.6" sheetId="8" r:id="rId6"/>
    <sheet name="Fig. 13.7" sheetId="12" r:id="rId7"/>
    <sheet name="Fig 13.8" sheetId="17" r:id="rId8"/>
    <sheet name="Fig.13.9" sheetId="13" r:id="rId9"/>
    <sheet name="Fig. 13.10" sheetId="1" r:id="rId10"/>
    <sheet name="Fig. 13.11" sheetId="14" r:id="rId11"/>
    <sheet name="DO NOT POST" sheetId="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3" l="1"/>
  <c r="J9" i="13"/>
  <c r="J10" i="13"/>
  <c r="J11" i="13"/>
  <c r="J12" i="13"/>
  <c r="J13" i="13"/>
  <c r="J8" i="13"/>
  <c r="G10" i="4"/>
  <c r="C11" i="4"/>
  <c r="C12" i="4"/>
  <c r="G13" i="4"/>
  <c r="C15" i="4" s="1"/>
  <c r="C18" i="4" s="1"/>
  <c r="C14" i="4"/>
  <c r="C16" i="4"/>
  <c r="C17" i="4"/>
  <c r="E20" i="17"/>
  <c r="E19" i="17"/>
  <c r="E17" i="17"/>
  <c r="D19" i="17"/>
  <c r="D17" i="17"/>
  <c r="D16" i="17"/>
  <c r="E12" i="17"/>
  <c r="K9" i="17"/>
  <c r="J9" i="17"/>
  <c r="I9" i="17"/>
  <c r="H9" i="17"/>
  <c r="G9" i="17"/>
  <c r="F9" i="17"/>
  <c r="K8" i="17"/>
  <c r="J8" i="17"/>
  <c r="I8" i="17"/>
  <c r="H8" i="17"/>
  <c r="G8" i="17"/>
  <c r="F8" i="17"/>
  <c r="E8" i="17"/>
  <c r="K7" i="17"/>
  <c r="J7" i="17"/>
  <c r="I7" i="17"/>
  <c r="H7" i="17"/>
  <c r="G7" i="17"/>
  <c r="F7" i="17"/>
  <c r="E7" i="17"/>
  <c r="K14" i="12"/>
  <c r="E11" i="8"/>
  <c r="F41" i="8"/>
  <c r="E12" i="8"/>
  <c r="K19" i="6"/>
  <c r="F12" i="6"/>
  <c r="L17" i="6"/>
  <c r="H7" i="5"/>
  <c r="E17" i="3"/>
  <c r="C42" i="17"/>
  <c r="C36" i="8"/>
  <c r="C19" i="12" l="1"/>
  <c r="D19" i="12" s="1"/>
  <c r="E19" i="12" s="1"/>
  <c r="F19" i="12" s="1"/>
  <c r="G19" i="12" s="1"/>
  <c r="H19" i="12" s="1"/>
  <c r="I19" i="12" s="1"/>
  <c r="J19" i="12" s="1"/>
  <c r="K19" i="12" s="1"/>
  <c r="F22" i="17"/>
  <c r="K18" i="17"/>
  <c r="E10" i="17"/>
  <c r="C20" i="17"/>
  <c r="C38" i="17"/>
  <c r="E30" i="17"/>
  <c r="E25" i="17"/>
  <c r="C15" i="8"/>
  <c r="E24" i="8"/>
  <c r="C32" i="8"/>
  <c r="E20" i="8"/>
  <c r="F10" i="7"/>
  <c r="H10" i="7" s="1"/>
  <c r="J10" i="7" s="1"/>
  <c r="G9" i="7"/>
  <c r="F9" i="7"/>
  <c r="C41" i="17" l="1"/>
  <c r="C35" i="8"/>
  <c r="F19" i="17"/>
  <c r="C19" i="17"/>
  <c r="C17" i="17"/>
  <c r="C10" i="17"/>
  <c r="G20" i="17"/>
  <c r="F10" i="17"/>
  <c r="E21" i="17"/>
  <c r="F20" i="17"/>
  <c r="H9" i="7"/>
  <c r="J9" i="7" s="1"/>
  <c r="G17" i="17" l="1"/>
  <c r="G10" i="17"/>
  <c r="F11" i="17"/>
  <c r="F12" i="17" s="1"/>
  <c r="G11" i="17"/>
  <c r="F17" i="17"/>
  <c r="G12" i="17"/>
  <c r="G19" i="17"/>
  <c r="H17" i="17"/>
  <c r="H11" i="17"/>
  <c r="H10" i="17"/>
  <c r="H19" i="17"/>
  <c r="H20" i="17"/>
  <c r="F25" i="17" l="1"/>
  <c r="G25" i="17"/>
  <c r="H12" i="17"/>
  <c r="H25" i="17" s="1"/>
  <c r="I17" i="17"/>
  <c r="I11" i="17"/>
  <c r="I10" i="17"/>
  <c r="I19" i="17"/>
  <c r="I20" i="17"/>
  <c r="I12" i="17" l="1"/>
  <c r="I25" i="17" s="1"/>
  <c r="J19" i="17"/>
  <c r="J17" i="17"/>
  <c r="J20" i="17"/>
  <c r="J11" i="17"/>
  <c r="J10" i="17"/>
  <c r="J12" i="17" l="1"/>
  <c r="K20" i="17"/>
  <c r="K19" i="17"/>
  <c r="K17" i="17"/>
  <c r="K11" i="17"/>
  <c r="K10" i="17"/>
  <c r="K12" i="17" l="1"/>
  <c r="J25" i="17"/>
  <c r="K25" i="17" l="1"/>
  <c r="D20" i="3" l="1"/>
  <c r="K43" i="14"/>
  <c r="J43" i="14"/>
  <c r="I43" i="14"/>
  <c r="H43" i="14"/>
  <c r="K42" i="14"/>
  <c r="J42" i="14"/>
  <c r="I42" i="14"/>
  <c r="H42" i="14"/>
  <c r="G43" i="14"/>
  <c r="G42" i="14"/>
  <c r="K36" i="14"/>
  <c r="K41" i="14" s="1"/>
  <c r="J36" i="14"/>
  <c r="I36" i="14"/>
  <c r="H36" i="14"/>
  <c r="G36" i="14"/>
  <c r="K34" i="14"/>
  <c r="J34" i="14"/>
  <c r="I34" i="14"/>
  <c r="H34" i="14"/>
  <c r="G34" i="14"/>
  <c r="K33" i="14"/>
  <c r="J33" i="14"/>
  <c r="I33" i="14"/>
  <c r="H33" i="14"/>
  <c r="G33" i="14"/>
  <c r="K32" i="14"/>
  <c r="J32" i="14"/>
  <c r="I32" i="14"/>
  <c r="H32" i="14"/>
  <c r="G32" i="14"/>
  <c r="G35" i="14" l="1"/>
  <c r="K35" i="14"/>
  <c r="K38" i="14" s="1"/>
  <c r="K39" i="14" s="1"/>
  <c r="I35" i="14"/>
  <c r="J35" i="14"/>
  <c r="H35" i="14"/>
  <c r="F8" i="8"/>
  <c r="G8" i="8" s="1"/>
  <c r="E11" i="17"/>
  <c r="C11" i="17" s="1"/>
  <c r="K40" i="14" l="1"/>
  <c r="K44" i="14" s="1"/>
  <c r="F15" i="8"/>
  <c r="F16" i="8"/>
  <c r="F10" i="8"/>
  <c r="F14" i="8"/>
  <c r="F11" i="8"/>
  <c r="G14" i="8"/>
  <c r="G11" i="8"/>
  <c r="G15" i="8"/>
  <c r="G10" i="8"/>
  <c r="G16" i="8"/>
  <c r="H8" i="8"/>
  <c r="E17" i="8"/>
  <c r="C16" i="8"/>
  <c r="C14" i="8"/>
  <c r="C11" i="8"/>
  <c r="C10" i="8"/>
  <c r="F12" i="8" l="1"/>
  <c r="G12" i="8"/>
  <c r="G13" i="8" s="1"/>
  <c r="G17" i="8" s="1"/>
  <c r="H10" i="8"/>
  <c r="H14" i="8"/>
  <c r="H16" i="8"/>
  <c r="H11" i="8"/>
  <c r="I8" i="8"/>
  <c r="H15" i="8"/>
  <c r="H14" i="7"/>
  <c r="F18" i="7"/>
  <c r="H18" i="7" s="1"/>
  <c r="J18" i="7" s="1"/>
  <c r="F17" i="7"/>
  <c r="H17" i="7" s="1"/>
  <c r="F16" i="7"/>
  <c r="H16" i="7" s="1"/>
  <c r="J16" i="7" s="1"/>
  <c r="F13" i="7"/>
  <c r="H13" i="7" s="1"/>
  <c r="F12" i="7"/>
  <c r="F11" i="7"/>
  <c r="H11" i="7" s="1"/>
  <c r="J11" i="7" s="1"/>
  <c r="H12" i="8" l="1"/>
  <c r="H13" i="8" s="1"/>
  <c r="H17" i="8" s="1"/>
  <c r="F13" i="8"/>
  <c r="F17" i="8" s="1"/>
  <c r="J8" i="8"/>
  <c r="I15" i="8"/>
  <c r="I10" i="8"/>
  <c r="I14" i="8"/>
  <c r="I16" i="8"/>
  <c r="I11" i="8"/>
  <c r="I12" i="8" l="1"/>
  <c r="I13" i="8" s="1"/>
  <c r="I17" i="8" s="1"/>
  <c r="J11" i="8"/>
  <c r="J15" i="8"/>
  <c r="J10" i="8"/>
  <c r="J14" i="8"/>
  <c r="J16" i="8"/>
  <c r="K8" i="8"/>
  <c r="J12" i="8" l="1"/>
  <c r="J13" i="8" s="1"/>
  <c r="J17" i="8" s="1"/>
  <c r="K10" i="8"/>
  <c r="K16" i="8"/>
  <c r="K11" i="8"/>
  <c r="K15" i="8"/>
  <c r="K14" i="8"/>
  <c r="K12" i="8" l="1"/>
  <c r="K13" i="8" s="1"/>
  <c r="K17" i="8" s="1"/>
  <c r="F49" i="14" l="1"/>
  <c r="F56" i="14"/>
  <c r="D22" i="14"/>
  <c r="D17" i="14"/>
  <c r="J49" i="14"/>
  <c r="E35" i="14"/>
  <c r="D35" i="14"/>
  <c r="D38" i="14" s="1"/>
  <c r="D33" i="1"/>
  <c r="J16" i="1"/>
  <c r="I16" i="1"/>
  <c r="H16" i="1"/>
  <c r="G16" i="1"/>
  <c r="F16" i="1"/>
  <c r="F13" i="1"/>
  <c r="F15" i="1" s="1"/>
  <c r="F19" i="1" s="1"/>
  <c r="F21" i="1" s="1"/>
  <c r="D13" i="1"/>
  <c r="J11" i="1"/>
  <c r="J13" i="1" s="1"/>
  <c r="J15" i="1" s="1"/>
  <c r="J19" i="1" s="1"/>
  <c r="J21" i="1" s="1"/>
  <c r="I11" i="1"/>
  <c r="I13" i="1" s="1"/>
  <c r="I15" i="1" s="1"/>
  <c r="I19" i="1" s="1"/>
  <c r="I21" i="1" s="1"/>
  <c r="H11" i="1"/>
  <c r="H13" i="1" s="1"/>
  <c r="H15" i="1" s="1"/>
  <c r="H19" i="1" s="1"/>
  <c r="H21" i="1" s="1"/>
  <c r="G11" i="1"/>
  <c r="G13" i="1" s="1"/>
  <c r="G15" i="1" s="1"/>
  <c r="G19" i="1" s="1"/>
  <c r="G21" i="1" s="1"/>
  <c r="F11" i="1"/>
  <c r="D11" i="1"/>
  <c r="C11" i="1"/>
  <c r="C13" i="1" s="1"/>
  <c r="D8" i="14" l="1"/>
  <c r="D7" i="14"/>
  <c r="E38" i="14"/>
  <c r="K7" i="14"/>
  <c r="E17" i="14"/>
  <c r="G19" i="14" l="1"/>
  <c r="G17" i="14"/>
  <c r="D9" i="14"/>
  <c r="E22" i="14"/>
  <c r="G20" i="14"/>
  <c r="K8" i="14"/>
  <c r="K11" i="14"/>
  <c r="D10" i="14" s="1"/>
  <c r="E57" i="14"/>
  <c r="G24" i="14" l="1"/>
  <c r="G25" i="14" s="1"/>
  <c r="G22" i="14"/>
  <c r="J37" i="14"/>
  <c r="G37" i="14"/>
  <c r="I37" i="14"/>
  <c r="H37" i="14"/>
  <c r="E28" i="14"/>
  <c r="H17" i="14"/>
  <c r="H19" i="14"/>
  <c r="G27" i="14"/>
  <c r="G45" i="14" s="1"/>
  <c r="F55" i="14"/>
  <c r="D11" i="14"/>
  <c r="H20" i="14"/>
  <c r="C9" i="14"/>
  <c r="I17" i="14" l="1"/>
  <c r="I19" i="14"/>
  <c r="G41" i="14"/>
  <c r="G38" i="14"/>
  <c r="J41" i="14"/>
  <c r="J38" i="14"/>
  <c r="H24" i="14"/>
  <c r="H25" i="14" s="1"/>
  <c r="H27" i="14" s="1"/>
  <c r="H45" i="14" s="1"/>
  <c r="G28" i="14"/>
  <c r="H22" i="14"/>
  <c r="H41" i="14"/>
  <c r="H38" i="14"/>
  <c r="H39" i="14" s="1"/>
  <c r="H40" i="14" s="1"/>
  <c r="H44" i="14" s="1"/>
  <c r="I41" i="14"/>
  <c r="I38" i="14"/>
  <c r="I20" i="14"/>
  <c r="I39" i="14" l="1"/>
  <c r="I40" i="14"/>
  <c r="I44" i="14" s="1"/>
  <c r="J39" i="14"/>
  <c r="J40" i="14"/>
  <c r="J44" i="14" s="1"/>
  <c r="H46" i="14"/>
  <c r="G39" i="14"/>
  <c r="G40" i="14"/>
  <c r="G44" i="14" s="1"/>
  <c r="G46" i="14" s="1"/>
  <c r="G55" i="14" s="1"/>
  <c r="I27" i="14"/>
  <c r="I45" i="14" s="1"/>
  <c r="H28" i="14"/>
  <c r="I24" i="14"/>
  <c r="I25" i="14" s="1"/>
  <c r="I22" i="14"/>
  <c r="J17" i="14"/>
  <c r="K19" i="14" s="1"/>
  <c r="J19" i="14"/>
  <c r="H55" i="14"/>
  <c r="H56" i="14" s="1"/>
  <c r="J20" i="14"/>
  <c r="J24" i="14" l="1"/>
  <c r="J25" i="14" s="1"/>
  <c r="J27" i="14" s="1"/>
  <c r="J45" i="14" s="1"/>
  <c r="J46" i="14" s="1"/>
  <c r="I28" i="14"/>
  <c r="J22" i="14"/>
  <c r="I46" i="14"/>
  <c r="I55" i="14" s="1"/>
  <c r="I56" i="14" s="1"/>
  <c r="G56" i="14"/>
  <c r="K18" i="14"/>
  <c r="J28" i="14" l="1"/>
  <c r="J52" i="14" s="1"/>
  <c r="K22" i="14"/>
  <c r="K24" i="14"/>
  <c r="K25" i="14" s="1"/>
  <c r="K17" i="14"/>
  <c r="K28" i="14" s="1"/>
  <c r="K20" i="14"/>
  <c r="K27" i="14" s="1"/>
  <c r="K45" i="14" s="1"/>
  <c r="K46" i="14" s="1"/>
  <c r="D6" i="13"/>
  <c r="D11" i="13" s="1"/>
  <c r="K15" i="12"/>
  <c r="K13" i="12"/>
  <c r="D10" i="13" l="1"/>
  <c r="D8" i="13"/>
  <c r="D9" i="13" s="1"/>
  <c r="D12" i="13"/>
  <c r="D13" i="13" s="1"/>
  <c r="K16" i="12"/>
  <c r="C7" i="12"/>
  <c r="E7" i="12" s="1"/>
  <c r="G8" i="12"/>
  <c r="E13" i="12"/>
  <c r="E14" i="12"/>
  <c r="B20" i="12"/>
  <c r="B26" i="12"/>
  <c r="D15" i="13" l="1"/>
  <c r="G36" i="8" l="1"/>
  <c r="G34" i="8"/>
  <c r="F21" i="7"/>
  <c r="F20" i="7"/>
  <c r="F19" i="7"/>
  <c r="J17" i="7"/>
  <c r="I15" i="7"/>
  <c r="J15" i="7" s="1"/>
  <c r="J14" i="7"/>
  <c r="G12" i="7"/>
  <c r="H12" i="7" s="1"/>
  <c r="L19" i="6"/>
  <c r="H17" i="6"/>
  <c r="G17" i="6"/>
  <c r="D17" i="6"/>
  <c r="F15" i="6"/>
  <c r="F14" i="6"/>
  <c r="F13" i="6"/>
  <c r="F11" i="6"/>
  <c r="I11" i="6" s="1"/>
  <c r="F10" i="6"/>
  <c r="D8" i="6"/>
  <c r="H20" i="2"/>
  <c r="H17" i="2"/>
  <c r="H9" i="5" s="1"/>
  <c r="E17" i="2"/>
  <c r="A12" i="2"/>
  <c r="A11" i="2"/>
  <c r="A10" i="2"/>
  <c r="C9" i="2"/>
  <c r="H8" i="2" s="1"/>
  <c r="A9" i="2"/>
  <c r="A8" i="2"/>
  <c r="A7" i="2"/>
  <c r="A6" i="2"/>
  <c r="A4" i="2"/>
  <c r="A107" i="2"/>
  <c r="A88" i="2"/>
  <c r="C23" i="6" l="1"/>
  <c r="C27" i="7"/>
  <c r="F40" i="8"/>
  <c r="G41" i="8" s="1"/>
  <c r="C22" i="6"/>
  <c r="C26" i="7" s="1"/>
  <c r="F20" i="8"/>
  <c r="G20" i="8" s="1"/>
  <c r="H20" i="8" s="1"/>
  <c r="I20" i="8" s="1"/>
  <c r="J20" i="8" s="1"/>
  <c r="K20" i="8" s="1"/>
  <c r="I35" i="8"/>
  <c r="H40" i="8" s="1"/>
  <c r="I40" i="8" s="1"/>
  <c r="H21" i="7"/>
  <c r="H19" i="7"/>
  <c r="J19" i="7" s="1"/>
  <c r="H20" i="7"/>
  <c r="J20" i="7" s="1"/>
  <c r="E10" i="13"/>
  <c r="E6" i="13"/>
  <c r="E12" i="13"/>
  <c r="E13" i="13"/>
  <c r="E11" i="13"/>
  <c r="F17" i="3"/>
  <c r="I17" i="3" s="1"/>
  <c r="G13" i="13"/>
  <c r="G11" i="13"/>
  <c r="G12" i="13"/>
  <c r="G10" i="13"/>
  <c r="G6" i="13"/>
  <c r="F7" i="12"/>
  <c r="G7" i="12" s="1"/>
  <c r="E17" i="6"/>
  <c r="E19" i="8"/>
  <c r="G37" i="8"/>
  <c r="I12" i="7"/>
  <c r="J12" i="7" s="1"/>
  <c r="I10" i="6"/>
  <c r="K10" i="6" s="1"/>
  <c r="I12" i="6"/>
  <c r="K12" i="6" s="1"/>
  <c r="I15" i="6"/>
  <c r="K15" i="6" s="1"/>
  <c r="K11" i="6"/>
  <c r="I13" i="6"/>
  <c r="F9" i="6"/>
  <c r="I14" i="6"/>
  <c r="H8" i="5"/>
  <c r="H10" i="5" s="1"/>
  <c r="C7" i="5"/>
  <c r="C7" i="2"/>
  <c r="H7" i="2"/>
  <c r="H18" i="2"/>
  <c r="I24" i="1"/>
  <c r="I7" i="12" l="1"/>
  <c r="G14" i="12"/>
  <c r="G13" i="12"/>
  <c r="I8" i="12"/>
  <c r="C25" i="6"/>
  <c r="C29" i="7"/>
  <c r="D16" i="12"/>
  <c r="E16" i="12" s="1"/>
  <c r="H41" i="8"/>
  <c r="J21" i="7"/>
  <c r="J26" i="8"/>
  <c r="C6" i="13"/>
  <c r="F6" i="13" s="1"/>
  <c r="H6" i="13" s="1"/>
  <c r="D21" i="3"/>
  <c r="F17" i="6"/>
  <c r="I17" i="6" s="1"/>
  <c r="G40" i="8"/>
  <c r="J40" i="8" s="1"/>
  <c r="F42" i="8"/>
  <c r="I41" i="8"/>
  <c r="J41" i="8" s="1"/>
  <c r="G9" i="12"/>
  <c r="I9" i="12" s="1"/>
  <c r="E8" i="13"/>
  <c r="E9" i="13" s="1"/>
  <c r="E31" i="8"/>
  <c r="G8" i="13"/>
  <c r="G9" i="13" s="1"/>
  <c r="H30" i="1"/>
  <c r="H32" i="1" s="1"/>
  <c r="G30" i="1"/>
  <c r="G32" i="1" s="1"/>
  <c r="F30" i="1"/>
  <c r="F32" i="1" s="1"/>
  <c r="F19" i="8"/>
  <c r="F30" i="8"/>
  <c r="C8" i="5"/>
  <c r="C10" i="5" s="1"/>
  <c r="H9" i="13" s="1"/>
  <c r="C8" i="2"/>
  <c r="D8" i="2" s="1"/>
  <c r="H27" i="2" s="1"/>
  <c r="J17" i="6"/>
  <c r="C19" i="6" s="1"/>
  <c r="C23" i="7" s="1"/>
  <c r="K13" i="6"/>
  <c r="I9" i="6"/>
  <c r="K14" i="6"/>
  <c r="H24" i="2"/>
  <c r="H9" i="2"/>
  <c r="H23" i="2" s="1"/>
  <c r="D11" i="2"/>
  <c r="D12" i="2"/>
  <c r="H19" i="2"/>
  <c r="D9" i="2"/>
  <c r="H25" i="2" s="1"/>
  <c r="D7" i="2"/>
  <c r="H26" i="2" s="1"/>
  <c r="J13" i="17" l="1"/>
  <c r="F13" i="17"/>
  <c r="G13" i="17"/>
  <c r="I13" i="17"/>
  <c r="H13" i="17"/>
  <c r="F31" i="8"/>
  <c r="H8" i="13"/>
  <c r="F8" i="13" s="1"/>
  <c r="G42" i="8"/>
  <c r="E15" i="13"/>
  <c r="J42" i="8"/>
  <c r="C24" i="8" s="1"/>
  <c r="C30" i="17" s="1"/>
  <c r="G19" i="8"/>
  <c r="G30" i="8"/>
  <c r="G31" i="8" s="1"/>
  <c r="F9" i="13"/>
  <c r="C9" i="13" s="1"/>
  <c r="C12" i="5" s="1"/>
  <c r="G10" i="12"/>
  <c r="I10" i="12" s="1"/>
  <c r="K9" i="6"/>
  <c r="K17" i="6"/>
  <c r="O95" i="2"/>
  <c r="I25" i="1"/>
  <c r="I26" i="1" s="1"/>
  <c r="I28" i="1" s="1"/>
  <c r="I30" i="1" s="1"/>
  <c r="I32" i="1" s="1"/>
  <c r="D32" i="1" s="1"/>
  <c r="D35" i="1" s="1"/>
  <c r="D36" i="1" s="1"/>
  <c r="H18" i="17" l="1"/>
  <c r="J18" i="17"/>
  <c r="I18" i="17"/>
  <c r="G18" i="17"/>
  <c r="F18" i="17"/>
  <c r="H30" i="8"/>
  <c r="H31" i="8" s="1"/>
  <c r="H19" i="8"/>
  <c r="H8" i="12"/>
  <c r="H10" i="12"/>
  <c r="G17" i="12"/>
  <c r="H7" i="12"/>
  <c r="H9" i="12"/>
  <c r="C8" i="13"/>
  <c r="D19" i="6"/>
  <c r="O94" i="2"/>
  <c r="J19" i="8" l="1"/>
  <c r="I30" i="8"/>
  <c r="I31" i="8" s="1"/>
  <c r="I19" i="8"/>
  <c r="C23" i="8"/>
  <c r="H17" i="12"/>
  <c r="C21" i="6"/>
  <c r="O93" i="2"/>
  <c r="C10" i="13" l="1"/>
  <c r="F10" i="13" s="1"/>
  <c r="H10" i="13" s="1"/>
  <c r="C24" i="6"/>
  <c r="C26" i="6" s="1"/>
  <c r="J23" i="8"/>
  <c r="J24" i="8"/>
  <c r="J25" i="8" l="1"/>
  <c r="J28" i="8" s="1"/>
  <c r="J30" i="8" s="1"/>
  <c r="K19" i="8"/>
  <c r="O96" i="2"/>
  <c r="J31" i="8" l="1"/>
  <c r="C31" i="8" s="1"/>
  <c r="C34" i="8" l="1"/>
  <c r="C37" i="8" s="1"/>
  <c r="C12" i="13" s="1"/>
  <c r="F12" i="13" s="1"/>
  <c r="H12" i="13" s="1"/>
  <c r="O98" i="2" s="1"/>
  <c r="C33" i="8"/>
  <c r="E9" i="14" l="1"/>
  <c r="E8" i="14" l="1"/>
  <c r="G8" i="14" s="1"/>
  <c r="E11" i="14"/>
  <c r="E10" i="14"/>
  <c r="G10" i="14" s="1"/>
  <c r="E7" i="14"/>
  <c r="G7" i="14" s="1"/>
  <c r="G9" i="14" l="1"/>
  <c r="G11" i="14" s="1"/>
  <c r="F50" i="14" s="1"/>
  <c r="J50" i="14" s="1"/>
  <c r="J51" i="14" s="1"/>
  <c r="J53" i="14" s="1"/>
  <c r="J55" i="14" s="1"/>
  <c r="F54" i="14" s="1"/>
  <c r="J13" i="7"/>
  <c r="J22" i="7" l="1"/>
  <c r="C24" i="7" s="1"/>
  <c r="C25" i="7" s="1"/>
  <c r="J56" i="14"/>
  <c r="E56" i="14" s="1"/>
  <c r="E59" i="14" s="1"/>
  <c r="E60" i="14" s="1"/>
  <c r="C28" i="7" l="1"/>
  <c r="C30" i="7" s="1"/>
  <c r="C11" i="13"/>
  <c r="F11" i="13" s="1"/>
  <c r="C15" i="13"/>
  <c r="F15" i="13"/>
  <c r="H11" i="13"/>
  <c r="O97" i="2" l="1"/>
  <c r="G16" i="12" l="1"/>
  <c r="C27" i="12"/>
  <c r="D29" i="12" s="1"/>
  <c r="G15" i="12"/>
  <c r="C15" i="12" s="1"/>
  <c r="H14" i="12"/>
  <c r="F14" i="12" s="1"/>
  <c r="C21" i="12"/>
  <c r="D23" i="12" s="1"/>
  <c r="H13" i="12"/>
  <c r="F13" i="12" s="1"/>
  <c r="E36" i="17" l="1"/>
  <c r="C16" i="12"/>
  <c r="C29" i="17" s="1"/>
  <c r="J29" i="17" s="1"/>
  <c r="F14" i="17"/>
  <c r="F15" i="17" s="1"/>
  <c r="F16" i="17" s="1"/>
  <c r="F21" i="17" s="1"/>
  <c r="F23" i="17" s="1"/>
  <c r="F36" i="17" s="1"/>
  <c r="D24" i="12"/>
  <c r="D21" i="12"/>
  <c r="E23" i="12" s="1"/>
  <c r="H15" i="12"/>
  <c r="D30" i="12"/>
  <c r="D27" i="12"/>
  <c r="E29" i="12" s="1"/>
  <c r="H16" i="12"/>
  <c r="F16" i="12" s="1"/>
  <c r="F17" i="12" s="1"/>
  <c r="F37" i="17" l="1"/>
  <c r="G14" i="17"/>
  <c r="G15" i="17" s="1"/>
  <c r="G16" i="17" s="1"/>
  <c r="G21" i="17" s="1"/>
  <c r="E21" i="12"/>
  <c r="F23" i="12" s="1"/>
  <c r="E24" i="12"/>
  <c r="E27" i="12"/>
  <c r="F29" i="12" s="1"/>
  <c r="D33" i="12"/>
  <c r="E26" i="17" s="1"/>
  <c r="E30" i="12"/>
  <c r="D32" i="12"/>
  <c r="H14" i="17" l="1"/>
  <c r="H15" i="17" s="1"/>
  <c r="H16" i="17" s="1"/>
  <c r="H21" i="17" s="1"/>
  <c r="G23" i="17"/>
  <c r="G36" i="17" s="1"/>
  <c r="F24" i="12"/>
  <c r="F21" i="12"/>
  <c r="G23" i="12" s="1"/>
  <c r="E32" i="12"/>
  <c r="F30" i="12"/>
  <c r="E33" i="12"/>
  <c r="F26" i="17" s="1"/>
  <c r="F27" i="12"/>
  <c r="G29" i="12" s="1"/>
  <c r="G37" i="17" l="1"/>
  <c r="I14" i="17"/>
  <c r="I15" i="17" s="1"/>
  <c r="I16" i="17" s="1"/>
  <c r="I21" i="17" s="1"/>
  <c r="I23" i="17" s="1"/>
  <c r="I36" i="17" s="1"/>
  <c r="I37" i="17" s="1"/>
  <c r="H23" i="17"/>
  <c r="H36" i="17" s="1"/>
  <c r="H37" i="17" s="1"/>
  <c r="G24" i="12"/>
  <c r="G21" i="12"/>
  <c r="H23" i="12" s="1"/>
  <c r="G27" i="12"/>
  <c r="H29" i="12" s="1"/>
  <c r="F33" i="12"/>
  <c r="G26" i="17" s="1"/>
  <c r="G30" i="12"/>
  <c r="F32" i="12"/>
  <c r="J14" i="17" l="1"/>
  <c r="J15" i="17" s="1"/>
  <c r="J16" i="17" s="1"/>
  <c r="J21" i="17" s="1"/>
  <c r="J23" i="17" s="1"/>
  <c r="H24" i="12"/>
  <c r="H21" i="12"/>
  <c r="I23" i="12" s="1"/>
  <c r="G32" i="12"/>
  <c r="H30" i="12"/>
  <c r="G33" i="12"/>
  <c r="H26" i="17" s="1"/>
  <c r="H27" i="12"/>
  <c r="I29" i="12" s="1"/>
  <c r="K14" i="17" l="1"/>
  <c r="I24" i="12"/>
  <c r="I21" i="12"/>
  <c r="J23" i="12" s="1"/>
  <c r="I27" i="12"/>
  <c r="J29" i="12" s="1"/>
  <c r="H33" i="12"/>
  <c r="I26" i="17" s="1"/>
  <c r="I30" i="12"/>
  <c r="H32" i="12"/>
  <c r="K15" i="17" l="1"/>
  <c r="K16" i="17" s="1"/>
  <c r="K21" i="17" s="1"/>
  <c r="J21" i="12"/>
  <c r="K23" i="12" s="1"/>
  <c r="J24" i="12"/>
  <c r="I32" i="12"/>
  <c r="J30" i="12"/>
  <c r="I33" i="12"/>
  <c r="J26" i="17" s="1"/>
  <c r="J32" i="17" s="1"/>
  <c r="J27" i="12"/>
  <c r="K29" i="12" s="1"/>
  <c r="J30" i="17" l="1"/>
  <c r="J31" i="17" s="1"/>
  <c r="J34" i="17" s="1"/>
  <c r="J36" i="17" s="1"/>
  <c r="K23" i="17"/>
  <c r="K30" i="12"/>
  <c r="J33" i="12"/>
  <c r="K26" i="17" s="1"/>
  <c r="K27" i="12"/>
  <c r="J32" i="12"/>
  <c r="K22" i="12"/>
  <c r="J37" i="17" l="1"/>
  <c r="C37" i="17" s="1"/>
  <c r="C40" i="17" s="1"/>
  <c r="C43" i="17" s="1"/>
  <c r="C13" i="13" s="1"/>
  <c r="F13" i="13" s="1"/>
  <c r="H13" i="13" s="1"/>
  <c r="H15" i="13" s="1"/>
  <c r="E39" i="17"/>
  <c r="K21" i="12"/>
  <c r="K33" i="12" s="1"/>
  <c r="K24" i="12"/>
  <c r="K32" i="12" s="1"/>
  <c r="C39" i="17" l="1"/>
</calcChain>
</file>

<file path=xl/sharedStrings.xml><?xml version="1.0" encoding="utf-8"?>
<sst xmlns="http://schemas.openxmlformats.org/spreadsheetml/2006/main" count="511" uniqueCount="333">
  <si>
    <t>Celerity Technogy Inc. ("CTI")</t>
  </si>
  <si>
    <t>PROJECTED</t>
  </si>
  <si>
    <t>EXIT YEAR</t>
  </si>
  <si>
    <t>Year 0</t>
  </si>
  <si>
    <t xml:space="preserve"> Year  1</t>
  </si>
  <si>
    <t xml:space="preserve"> Year  2</t>
  </si>
  <si>
    <t xml:space="preserve"> Year  3</t>
  </si>
  <si>
    <t xml:space="preserve"> Year  4</t>
  </si>
  <si>
    <t xml:space="preserve"> Year  5</t>
  </si>
  <si>
    <t>Revenues</t>
  </si>
  <si>
    <t>Cost of Revenues</t>
  </si>
  <si>
    <t>Operating Expenses</t>
  </si>
  <si>
    <t>EBITDA</t>
  </si>
  <si>
    <t>Less Depreciation &amp; Amortization</t>
  </si>
  <si>
    <t>EBIT</t>
  </si>
  <si>
    <t>Less Taxes</t>
  </si>
  <si>
    <t>EAT</t>
  </si>
  <si>
    <t>Plus Depreciation &amp; Amortization</t>
  </si>
  <si>
    <t>Less Working Capital</t>
  </si>
  <si>
    <t>Less Capital Expenditures and Investments</t>
  </si>
  <si>
    <t>Cash Before Financing Payments</t>
  </si>
  <si>
    <t>Less Debt Service (Principal + Interest)</t>
  </si>
  <si>
    <t xml:space="preserve">  Free Cash Flow</t>
  </si>
  <si>
    <t>TERMINAL VALUE (TV)</t>
  </si>
  <si>
    <t>TV Assumptions</t>
  </si>
  <si>
    <t>Terminal Value using EBITDA Multiple Method</t>
  </si>
  <si>
    <t>EBITDA Multiple =</t>
  </si>
  <si>
    <t>Terminal Value using Perpetuity Method</t>
  </si>
  <si>
    <t>Discount Rate =</t>
  </si>
  <si>
    <t xml:space="preserve">   Average Terminal Value</t>
  </si>
  <si>
    <t>Growth =</t>
  </si>
  <si>
    <t>Less Debt</t>
  </si>
  <si>
    <t>Equity Value at Exit Year</t>
  </si>
  <si>
    <t>Equity Cash Flows</t>
  </si>
  <si>
    <t>Equity Expected Return =</t>
  </si>
  <si>
    <t>Present Value of Equity</t>
  </si>
  <si>
    <t>Plus Debt</t>
  </si>
  <si>
    <t>Less Cash</t>
  </si>
  <si>
    <t xml:space="preserve"> Firm Enterprise value</t>
  </si>
  <si>
    <t xml:space="preserve"> Enteprise Value / EBITDA</t>
  </si>
  <si>
    <t>Hyatt Hotels Corporation</t>
  </si>
  <si>
    <t>CORPORATE VALUATIONS</t>
  </si>
  <si>
    <t>BOOK VALUE</t>
  </si>
  <si>
    <t>Last Reported Performance (6/30/2018 ($ 000's) - LTM</t>
  </si>
  <si>
    <t>Per Share</t>
  </si>
  <si>
    <t>Profitability</t>
  </si>
  <si>
    <t>Revenues (LTM)</t>
  </si>
  <si>
    <t>ROE %</t>
  </si>
  <si>
    <t>EBITDA (LTM)</t>
  </si>
  <si>
    <t>ROA%</t>
  </si>
  <si>
    <t>Net Income (LTM)</t>
  </si>
  <si>
    <t>(EPS)</t>
  </si>
  <si>
    <t>Book Value of Equity / Shares</t>
  </si>
  <si>
    <t>Book Value of Assets</t>
  </si>
  <si>
    <t>Book Value of Equity</t>
  </si>
  <si>
    <t>MARKET VALUE METHODS</t>
  </si>
  <si>
    <t>General Information</t>
  </si>
  <si>
    <t>Common Shares Outstanding (000's)</t>
  </si>
  <si>
    <t>Market Capitalization (Equity Value)</t>
  </si>
  <si>
    <t>Dividends/Share</t>
  </si>
  <si>
    <t>Market Value to Book Value Relationship</t>
  </si>
  <si>
    <t>Hyatt</t>
  </si>
  <si>
    <t>Hotel Industry</t>
  </si>
  <si>
    <t>Over/Under %</t>
  </si>
  <si>
    <t>Equity MV / BV</t>
  </si>
  <si>
    <t>Tobin's Q Ratio (EV/ Total Assets)</t>
  </si>
  <si>
    <t xml:space="preserve">Price / Earnings </t>
  </si>
  <si>
    <t>Price / Sales</t>
  </si>
  <si>
    <t>Price / EBITDA</t>
  </si>
  <si>
    <t>ENTERPRISE VALUATION ANALYSIS</t>
  </si>
  <si>
    <t>EV</t>
  </si>
  <si>
    <t>Debt</t>
  </si>
  <si>
    <t>Cash</t>
  </si>
  <si>
    <t>Eq Value</t>
  </si>
  <si>
    <t>Shares Outs</t>
  </si>
  <si>
    <t>Stock Price</t>
  </si>
  <si>
    <t>METHOD #1 - Market Value / Using the Stock Price</t>
  </si>
  <si>
    <t>METHOD #2- Intrinsic Value</t>
  </si>
  <si>
    <t>METHOD #3- Dividend Discount Model (DDM)</t>
  </si>
  <si>
    <t xml:space="preserve">METHOD #4 -Average  EBITDA  Industry Trading Multiples </t>
  </si>
  <si>
    <t>METHOD #5 - Using Averge EBITDA Transaction Multiples</t>
  </si>
  <si>
    <t>METHOD #6 - Discount Cash Flow Valuation Analysis</t>
  </si>
  <si>
    <t xml:space="preserve">  Average of other methods</t>
  </si>
  <si>
    <t>Calculations</t>
  </si>
  <si>
    <t>SP</t>
  </si>
  <si>
    <t>SO</t>
  </si>
  <si>
    <t>SP * SO = EQ</t>
  </si>
  <si>
    <t>D</t>
  </si>
  <si>
    <t>C</t>
  </si>
  <si>
    <t>EQ + D - C = EV</t>
  </si>
  <si>
    <t>Company</t>
  </si>
  <si>
    <t>Symbol</t>
  </si>
  <si>
    <t>Stocks Outstanding ($000)</t>
  </si>
  <si>
    <t>Equity 
Value
 ($000)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</si>
  <si>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</si>
  <si>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</si>
  <si>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</si>
  <si>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</si>
  <si>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</si>
  <si>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</si>
  <si>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</si>
  <si>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</si>
  <si>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</si>
  <si>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</si>
  <si>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</si>
  <si>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</si>
  <si>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</si>
  <si>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</si>
  <si>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</si>
  <si>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</si>
  <si>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</si>
  <si>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H</t>
  </si>
  <si>
    <t>Risk Free =</t>
  </si>
  <si>
    <t>Beta =</t>
  </si>
  <si>
    <t>Premium=</t>
  </si>
  <si>
    <t>Market Return (Rf + Premium)=</t>
  </si>
  <si>
    <t>Dividend (d1)</t>
  </si>
  <si>
    <t>(No growth)</t>
  </si>
  <si>
    <t>P1 = P0+D</t>
  </si>
  <si>
    <t>Expected Growth (g) =</t>
  </si>
  <si>
    <t>Exp. HPR=</t>
  </si>
  <si>
    <t>E</t>
  </si>
  <si>
    <t>EV / E</t>
  </si>
  <si>
    <t>Equity Value
 ($000)</t>
  </si>
  <si>
    <t>Debt (ST&amp;LT)
($000)</t>
  </si>
  <si>
    <t>Cash
 ($000)</t>
  </si>
  <si>
    <t>EBITDA 
($mm)</t>
  </si>
  <si>
    <t>EBITDA Multiple</t>
  </si>
  <si>
    <t>Beta</t>
  </si>
  <si>
    <t>Hilton Worldwide Holdings Inc.</t>
  </si>
  <si>
    <t>Intercontinental Hotel</t>
  </si>
  <si>
    <t>IHG</t>
  </si>
  <si>
    <t>Park Hotels &amp; Resorts Inc.</t>
  </si>
  <si>
    <t>PK</t>
  </si>
  <si>
    <t>Wyndham Worldwide</t>
  </si>
  <si>
    <t>HOT</t>
  </si>
  <si>
    <t>EBITDA * Average Multiple</t>
  </si>
  <si>
    <t>Average</t>
  </si>
  <si>
    <t>AP</t>
  </si>
  <si>
    <t>AP * SO = EQ</t>
  </si>
  <si>
    <t>ND</t>
  </si>
  <si>
    <t>EQ + ND = EV</t>
  </si>
  <si>
    <t xml:space="preserve">Target </t>
  </si>
  <si>
    <t>Acquirer</t>
  </si>
  <si>
    <t>Acquisition Price /Share</t>
  </si>
  <si>
    <t>Shares Outstanding</t>
  </si>
  <si>
    <t>Equity Value ($mm)</t>
  </si>
  <si>
    <t>Total Net Debt ($mm)</t>
  </si>
  <si>
    <t>Four Seasons*</t>
  </si>
  <si>
    <t>Kingtom Hotels Int'l / 
Gates' Cascade</t>
  </si>
  <si>
    <t>Fairmont/Rafles</t>
  </si>
  <si>
    <t>Kingtom Hotels Int'l</t>
  </si>
  <si>
    <t>Hilton International</t>
  </si>
  <si>
    <t>Hilton Hotels Corp.</t>
  </si>
  <si>
    <t>Starwood Hotels</t>
  </si>
  <si>
    <t>Host Marriott</t>
  </si>
  <si>
    <t>Wynham Int'l</t>
  </si>
  <si>
    <t>Blackstone Group</t>
  </si>
  <si>
    <t>JQH Acquisition LLC</t>
  </si>
  <si>
    <t>Boca Resorts</t>
  </si>
  <si>
    <t>Prime Hospitality</t>
  </si>
  <si>
    <t>Extended Stay</t>
  </si>
  <si>
    <t xml:space="preserve">  year =</t>
  </si>
  <si>
    <t>Historical</t>
  </si>
  <si>
    <t>Projected</t>
  </si>
  <si>
    <t>Input Actual</t>
  </si>
  <si>
    <t>Assumptions</t>
  </si>
  <si>
    <t xml:space="preserve">  Revenue Growth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</si>
  <si>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</si>
  <si>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</si>
  <si>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</si>
  <si>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</si>
  <si>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</si>
  <si>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 xml:space="preserve">Less Capex </t>
  </si>
  <si>
    <t>Cash Flow</t>
  </si>
  <si>
    <t>Debt (assuming 5% reduction of intial principal per year)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</si>
  <si>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</si>
  <si>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</si>
  <si>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</si>
  <si>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</si>
  <si>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</si>
  <si>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 xml:space="preserve"> Next Year's Cash Flow / (Discount Rate - Growth)</t>
  </si>
  <si>
    <t>Less Debt Outstanding (at Exit)</t>
  </si>
  <si>
    <t>Plus Cash (at Exit)</t>
  </si>
  <si>
    <t>Equity Value at Terminal</t>
  </si>
  <si>
    <t>Risk Free Rate (5 year)</t>
  </si>
  <si>
    <t>Premium based on MC =</t>
  </si>
  <si>
    <t>Rate</t>
  </si>
  <si>
    <t>Hyatt Beta =</t>
  </si>
  <si>
    <t>WACC Calc:</t>
  </si>
  <si>
    <t xml:space="preserve">  % Cap</t>
  </si>
  <si>
    <t xml:space="preserve"> AT RoR</t>
  </si>
  <si>
    <t>WACC</t>
  </si>
  <si>
    <t>Current Market Price</t>
  </si>
  <si>
    <t>Intrinsic Value Price</t>
  </si>
  <si>
    <t>Dividend Discount Model</t>
  </si>
  <si>
    <t>Comparable Trading Multiples</t>
  </si>
  <si>
    <t>Comparable Acquisition Multiples</t>
  </si>
  <si>
    <t>DCF Analysis</t>
  </si>
  <si>
    <t>Transactions Uses</t>
  </si>
  <si>
    <t>Purchase of 100% Shares</t>
  </si>
  <si>
    <t>Premium</t>
  </si>
  <si>
    <t>Transaxtion Fees &amp; Expenses</t>
  </si>
  <si>
    <t>Current 
Stock Price</t>
  </si>
  <si>
    <t>Purchase Stock Price</t>
  </si>
  <si>
    <t>Shares Outstanding
(millions)</t>
  </si>
  <si>
    <t>Refinance Short-Term &amp; Long Term Debt</t>
  </si>
  <si>
    <t>Transactions Sources</t>
  </si>
  <si>
    <t xml:space="preserve"> %  Capital</t>
  </si>
  <si>
    <t>Interest Rate / Expected Return</t>
  </si>
  <si>
    <t>After Tax Interest Rate Adjustments</t>
  </si>
  <si>
    <t>WACC 
Calc</t>
  </si>
  <si>
    <t>Total Amount
($ 000's)</t>
  </si>
  <si>
    <t>Total
Amount
($ 000's)</t>
  </si>
  <si>
    <t>Bank Loan</t>
  </si>
  <si>
    <t>Corporate Bonds</t>
  </si>
  <si>
    <t>Equity</t>
  </si>
  <si>
    <t xml:space="preserve">    Total Cost of Transaction (Uses)</t>
  </si>
  <si>
    <t xml:space="preserve">   Total Sources </t>
  </si>
  <si>
    <t>EBITDA
Multiple
(Capacity)</t>
  </si>
  <si>
    <t xml:space="preserve"> %  Total
Uses</t>
  </si>
  <si>
    <t>EBT</t>
  </si>
  <si>
    <t>Plus Amortization</t>
  </si>
  <si>
    <t>Debt Schedule</t>
  </si>
  <si>
    <t xml:space="preserve">   Outstanding</t>
  </si>
  <si>
    <t xml:space="preserve">   Total Payments (P+I)</t>
  </si>
  <si>
    <t xml:space="preserve">   Scheduled Principal Payments (P)</t>
  </si>
  <si>
    <t xml:space="preserve">   Interest Payments (I)</t>
  </si>
  <si>
    <t>Years</t>
  </si>
  <si>
    <t>Total Debt Payments</t>
  </si>
  <si>
    <t>Total Debt Outstanding</t>
  </si>
  <si>
    <t xml:space="preserve">   Total Debt</t>
  </si>
  <si>
    <t>EBITDA
Multiple</t>
  </si>
  <si>
    <t>METHOD #7 - LBO Analysis</t>
  </si>
  <si>
    <t>Year -1</t>
  </si>
  <si>
    <t>LBO Method (000's)</t>
  </si>
  <si>
    <t>Sources</t>
  </si>
  <si>
    <t xml:space="preserve">  Total Debt</t>
  </si>
  <si>
    <t xml:space="preserve">  Total Sources</t>
  </si>
  <si>
    <t>Amount</t>
  </si>
  <si>
    <t>Capacity EBITDA x</t>
  </si>
  <si>
    <t xml:space="preserve"> Tax Rate =</t>
  </si>
  <si>
    <t>Uses</t>
  </si>
  <si>
    <t>Purchase EBITDA Multiple</t>
  </si>
  <si>
    <t>Purchase Enteprise Value</t>
  </si>
  <si>
    <t>Fees (% EV)</t>
  </si>
  <si>
    <t xml:space="preserve"> % Capital</t>
  </si>
  <si>
    <t>Bank Loal - Outstanding</t>
  </si>
  <si>
    <t>Bank Loan  - Principal Incr./Decr.</t>
  </si>
  <si>
    <t>Bank Loan - Interst Payment</t>
  </si>
  <si>
    <t>Bonds - Outstanding</t>
  </si>
  <si>
    <t>Bonds  - Principal Incr./Decr.</t>
  </si>
  <si>
    <t>Bonds - Interst Payment</t>
  </si>
  <si>
    <t>Interest</t>
  </si>
  <si>
    <t>Less Depreciation</t>
  </si>
  <si>
    <t>Less Amortization</t>
  </si>
  <si>
    <t>Inter. / 
Exp. Ret.</t>
  </si>
  <si>
    <t>DEBT SCHEDULES</t>
  </si>
  <si>
    <t>CASH FLOW PROJECTIONS</t>
  </si>
  <si>
    <t>TRANSACTION SOURCES &amp; USES</t>
  </si>
  <si>
    <t>Bank Loan - Total Payment</t>
  </si>
  <si>
    <t>Bonds - Total Payment</t>
  </si>
  <si>
    <t>Stocks Outstanding (000)</t>
  </si>
  <si>
    <t>IRR=</t>
  </si>
  <si>
    <t>Enterprise 
Value 
($000)</t>
  </si>
  <si>
    <t>METHOD #1 - MARKET VALUE DETERMINED BY THE STOCK PRICE</t>
  </si>
  <si>
    <t xml:space="preserve">Current
Stock 
Price </t>
  </si>
  <si>
    <t>Debt 
(ST&amp;LT)
($000)</t>
  </si>
  <si>
    <t>METHOD #2- INTRINSIC VALUE</t>
  </si>
  <si>
    <t>(Avg Target by Analysts)</t>
  </si>
  <si>
    <t>Shares outstanding</t>
  </si>
  <si>
    <t>Enteprise Value</t>
  </si>
  <si>
    <t>Dividend (D1) =</t>
  </si>
  <si>
    <t>Expected Price (P1)=</t>
  </si>
  <si>
    <t>CAPM (k)=</t>
  </si>
  <si>
    <t>Price per Share (V0) =</t>
  </si>
  <si>
    <t>Expected Dividend E(D1) =</t>
  </si>
  <si>
    <t>CAPM =</t>
  </si>
  <si>
    <t>Using CAPM or k = Rf + ( Beta * Premium )</t>
  </si>
  <si>
    <t>METHOD #3- DIVIDEND DISCOUNT MODEL (DDM)</t>
  </si>
  <si>
    <t>Constant-Growth DDM (Gordon Model) V0 = D1 (1+g) / (k-g)</t>
  </si>
  <si>
    <t>Expected HPR = E(r) = [E (d1) + (E(p1) - P0) / P0</t>
  </si>
  <si>
    <t>Expected Equity Return or CAPM (k)=</t>
  </si>
  <si>
    <t>Current Stock Pice (P0)</t>
  </si>
  <si>
    <t>Plus Cash</t>
  </si>
  <si>
    <t>Equity Value</t>
  </si>
  <si>
    <t>Stock Price (V0)=</t>
  </si>
  <si>
    <t>Equity Value (Market Cap)</t>
  </si>
  <si>
    <t>Enteprise Value=</t>
  </si>
  <si>
    <t xml:space="preserve">METHOD #4 -EBITDA INDUSTRY TRADING MULTIPLES </t>
  </si>
  <si>
    <t>Enterprise Value 
(EV)</t>
  </si>
  <si>
    <t>Acquisition Multiple</t>
  </si>
  <si>
    <t>Extended Stay America</t>
  </si>
  <si>
    <t>Marriott Hotels</t>
  </si>
  <si>
    <t xml:space="preserve">Calculations  </t>
  </si>
  <si>
    <t xml:space="preserve">Calculations </t>
  </si>
  <si>
    <t>Figure 18.6</t>
  </si>
  <si>
    <t>METHOD #5 - EBITDA TRANSACTION MULTIPLES (M&amp;A COMPARABLE METHOD)</t>
  </si>
  <si>
    <r>
      <t>EBITDA</t>
    </r>
    <r>
      <rPr>
        <b/>
        <sz val="9"/>
        <rFont val="Calibri"/>
        <family val="2"/>
        <scheme val="minor"/>
      </rPr>
      <t xml:space="preserve"> (last reported)</t>
    </r>
  </si>
  <si>
    <t>METHOD #6 - DISCOUNT CASH FLOW ANALYSIS</t>
  </si>
  <si>
    <t>Present Value PV = FV / ((1+i)^t</t>
  </si>
  <si>
    <t>RoR</t>
  </si>
  <si>
    <t>Cost of Equity Calculation (CAPM)</t>
  </si>
  <si>
    <t>Exp. Equity Return (CAPM) =</t>
  </si>
  <si>
    <t>METHOD #7 - LEVERAGED BUYOUT (LBO) ANALYSIS</t>
  </si>
  <si>
    <t>Cost of Equity Calc (CAPM)</t>
  </si>
  <si>
    <t>Less Interest (from LBO)</t>
  </si>
  <si>
    <t xml:space="preserve"> EBITA</t>
  </si>
  <si>
    <t>Less Amortization of Fess</t>
  </si>
  <si>
    <t>Less Principal Payment</t>
  </si>
  <si>
    <t>Equity Cash Flow</t>
  </si>
  <si>
    <t>Cash Flow Before Principal Pmts</t>
  </si>
  <si>
    <t>Exp. Equity Ret (CAPM)=</t>
  </si>
  <si>
    <t>DISCOUNT CASH FLOW</t>
  </si>
  <si>
    <t>HISTORICAL</t>
  </si>
  <si>
    <t>Equity Exp. Return =</t>
  </si>
  <si>
    <t>Figure 13.1</t>
  </si>
  <si>
    <t>Intrinsic Value = V0 = [ E(D1) + E (P1)] / (1+k)^t</t>
  </si>
  <si>
    <t>Target Time=</t>
  </si>
  <si>
    <t>year</t>
  </si>
  <si>
    <t>Figure 13.2</t>
  </si>
  <si>
    <t>Figure 13.3</t>
  </si>
  <si>
    <t>Figure 13.4</t>
  </si>
  <si>
    <t>WH</t>
  </si>
  <si>
    <t>Interest 12/22($ 000s)</t>
  </si>
  <si>
    <t>MV Equity</t>
  </si>
  <si>
    <t>Figure 13.5</t>
  </si>
  <si>
    <t>Figure 13.7</t>
  </si>
  <si>
    <t>Figure 13.9</t>
  </si>
  <si>
    <t>Figure 13.8</t>
  </si>
  <si>
    <t>Figure 13.10</t>
  </si>
  <si>
    <t>Figure 13.11</t>
  </si>
  <si>
    <t>Buy/Sell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</si>
</sst>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\x"/>
    <numFmt numFmtId="166" formatCode="&quot;$&quot;0.00"/>
    <numFmt numFmtId="167" formatCode="0.00\x"/>
    <numFmt numFmtId="168" formatCode="0.0%"/>
    <numFmt numFmtId="169" formatCode="_(* #,##0.000_);_(* \(#,##0.000\);_(* &quot;-&quot;??_);_(@_)"/>
    <numFmt numFmtId="170" formatCode="0.000%"/>
    <numFmt numFmtId="171" formatCode="&quot;$&quot;#,##0"/>
    <numFmt numFmtId="172" formatCode="&quot;$&quot;0.0"/>
    <numFmt numFmtId="173" formatCode="0.000\x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4">
    <xf numFmtId="0" fontId="0" fillId="0" borderId="0" xfId="0"/>
    <xf numFmtId="0" fontId="0" fillId="0" borderId="1" xfId="0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4" xfId="1" applyNumberFormat="1" applyFont="1" applyBorder="1"/>
    <xf numFmtId="164" fontId="0" fillId="0" borderId="6" xfId="1" applyNumberFormat="1" applyFont="1" applyBorder="1"/>
    <xf numFmtId="0" fontId="2" fillId="0" borderId="0" xfId="0" applyFont="1"/>
    <xf numFmtId="164" fontId="2" fillId="0" borderId="0" xfId="1" applyNumberFormat="1" applyFont="1" applyBorder="1"/>
    <xf numFmtId="164" fontId="2" fillId="0" borderId="5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8" fillId="0" borderId="0" xfId="0" applyFont="1"/>
    <xf numFmtId="0" fontId="0" fillId="0" borderId="0" xfId="0" applyAlignment="1">
      <alignment horizontal="right"/>
    </xf>
    <xf numFmtId="164" fontId="0" fillId="0" borderId="4" xfId="0" applyNumberFormat="1" applyBorder="1"/>
    <xf numFmtId="164" fontId="0" fillId="0" borderId="0" xfId="0" applyNumberFormat="1"/>
    <xf numFmtId="41" fontId="0" fillId="0" borderId="0" xfId="0" applyNumberFormat="1"/>
    <xf numFmtId="164" fontId="2" fillId="0" borderId="9" xfId="0" applyNumberFormat="1" applyFont="1" applyBorder="1"/>
    <xf numFmtId="0" fontId="0" fillId="0" borderId="0" xfId="0" applyAlignment="1">
      <alignment horizontal="center"/>
    </xf>
    <xf numFmtId="0" fontId="3" fillId="0" borderId="0" xfId="0" applyFont="1"/>
    <xf numFmtId="6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14" xfId="0" applyFont="1" applyBorder="1" applyAlignment="1">
      <alignment horizontal="center"/>
    </xf>
    <xf numFmtId="164" fontId="11" fillId="0" borderId="0" xfId="0" applyNumberFormat="1" applyFont="1"/>
    <xf numFmtId="166" fontId="11" fillId="0" borderId="0" xfId="2" applyNumberFormat="1" applyFont="1" applyAlignment="1">
      <alignment horizontal="center"/>
    </xf>
    <xf numFmtId="10" fontId="11" fillId="0" borderId="0" xfId="0" applyNumberFormat="1" applyFont="1"/>
    <xf numFmtId="6" fontId="14" fillId="0" borderId="0" xfId="0" applyNumberFormat="1" applyFont="1"/>
    <xf numFmtId="0" fontId="0" fillId="0" borderId="0" xfId="0" quotePrefix="1"/>
    <xf numFmtId="44" fontId="11" fillId="0" borderId="0" xfId="2" applyFont="1"/>
    <xf numFmtId="0" fontId="0" fillId="0" borderId="4" xfId="0" applyBorder="1"/>
    <xf numFmtId="44" fontId="11" fillId="0" borderId="0" xfId="2" applyFont="1" applyAlignment="1">
      <alignment horizontal="right"/>
    </xf>
    <xf numFmtId="6" fontId="11" fillId="0" borderId="0" xfId="0" applyNumberFormat="1" applyFont="1"/>
    <xf numFmtId="8" fontId="14" fillId="0" borderId="0" xfId="0" applyNumberFormat="1" applyFont="1"/>
    <xf numFmtId="15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3" applyNumberFormat="1" applyFont="1" applyBorder="1" applyAlignment="1">
      <alignment horizontal="center"/>
    </xf>
    <xf numFmtId="164" fontId="0" fillId="0" borderId="0" xfId="1" applyNumberFormat="1" applyFont="1"/>
    <xf numFmtId="0" fontId="7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167" fontId="7" fillId="0" borderId="0" xfId="0" applyNumberFormat="1" applyFont="1"/>
    <xf numFmtId="164" fontId="0" fillId="0" borderId="3" xfId="1" applyNumberFormat="1" applyFont="1" applyBorder="1"/>
    <xf numFmtId="164" fontId="0" fillId="0" borderId="38" xfId="1" applyNumberFormat="1" applyFont="1" applyBorder="1"/>
    <xf numFmtId="0" fontId="0" fillId="0" borderId="37" xfId="0" applyBorder="1"/>
    <xf numFmtId="165" fontId="0" fillId="0" borderId="0" xfId="0" applyNumberFormat="1"/>
    <xf numFmtId="10" fontId="0" fillId="0" borderId="0" xfId="0" applyNumberFormat="1"/>
    <xf numFmtId="164" fontId="0" fillId="0" borderId="42" xfId="1" applyNumberFormat="1" applyFont="1" applyBorder="1"/>
    <xf numFmtId="44" fontId="0" fillId="0" borderId="0" xfId="0" applyNumberFormat="1"/>
    <xf numFmtId="6" fontId="0" fillId="0" borderId="1" xfId="0" applyNumberFormat="1" applyBorder="1"/>
    <xf numFmtId="0" fontId="4" fillId="0" borderId="0" xfId="0" applyFont="1" applyAlignment="1">
      <alignment horizontal="center"/>
    </xf>
    <xf numFmtId="164" fontId="4" fillId="0" borderId="9" xfId="0" applyNumberFormat="1" applyFont="1" applyBorder="1"/>
    <xf numFmtId="9" fontId="2" fillId="0" borderId="0" xfId="0" applyNumberFormat="1" applyFont="1"/>
    <xf numFmtId="165" fontId="2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168" fontId="4" fillId="0" borderId="0" xfId="3" applyNumberFormat="1" applyFont="1" applyBorder="1"/>
    <xf numFmtId="168" fontId="4" fillId="0" borderId="0" xfId="3" applyNumberFormat="1" applyFont="1" applyBorder="1" applyAlignment="1">
      <alignment horizontal="center"/>
    </xf>
    <xf numFmtId="164" fontId="4" fillId="0" borderId="4" xfId="0" applyNumberFormat="1" applyFont="1" applyBorder="1"/>
    <xf numFmtId="168" fontId="4" fillId="0" borderId="4" xfId="3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9" fontId="0" fillId="0" borderId="0" xfId="0" applyNumberFormat="1" applyAlignment="1">
      <alignment horizontal="left"/>
    </xf>
    <xf numFmtId="168" fontId="18" fillId="0" borderId="0" xfId="3" applyNumberFormat="1" applyFont="1" applyBorder="1" applyAlignment="1">
      <alignment horizontal="center"/>
    </xf>
    <xf numFmtId="168" fontId="2" fillId="0" borderId="0" xfId="0" applyNumberFormat="1" applyFont="1"/>
    <xf numFmtId="0" fontId="4" fillId="0" borderId="4" xfId="0" applyFont="1" applyBorder="1"/>
    <xf numFmtId="164" fontId="4" fillId="0" borderId="14" xfId="0" applyNumberFormat="1" applyFont="1" applyBorder="1"/>
    <xf numFmtId="168" fontId="19" fillId="0" borderId="4" xfId="3" applyNumberFormat="1" applyFont="1" applyBorder="1" applyAlignment="1">
      <alignment horizontal="center"/>
    </xf>
    <xf numFmtId="168" fontId="0" fillId="0" borderId="4" xfId="3" applyNumberFormat="1" applyFont="1" applyBorder="1" applyAlignment="1">
      <alignment horizontal="center"/>
    </xf>
    <xf numFmtId="168" fontId="2" fillId="0" borderId="14" xfId="0" applyNumberFormat="1" applyFont="1" applyBorder="1" applyAlignment="1">
      <alignment horizontal="center"/>
    </xf>
    <xf numFmtId="168" fontId="0" fillId="0" borderId="14" xfId="3" applyNumberFormat="1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center"/>
    </xf>
    <xf numFmtId="168" fontId="2" fillId="0" borderId="0" xfId="3" applyNumberFormat="1" applyFont="1" applyBorder="1"/>
    <xf numFmtId="0" fontId="4" fillId="0" borderId="4" xfId="0" applyFont="1" applyBorder="1" applyAlignment="1">
      <alignment horizontal="right"/>
    </xf>
    <xf numFmtId="9" fontId="0" fillId="0" borderId="4" xfId="0" applyNumberFormat="1" applyBorder="1" applyAlignment="1">
      <alignment horizontal="left"/>
    </xf>
    <xf numFmtId="164" fontId="21" fillId="0" borderId="0" xfId="1" applyNumberFormat="1" applyFont="1" applyBorder="1"/>
    <xf numFmtId="164" fontId="21" fillId="0" borderId="0" xfId="1" applyNumberFormat="1" applyFont="1" applyFill="1" applyBorder="1"/>
    <xf numFmtId="9" fontId="0" fillId="0" borderId="0" xfId="0" applyNumberFormat="1"/>
    <xf numFmtId="0" fontId="2" fillId="0" borderId="3" xfId="0" applyFont="1" applyBorder="1"/>
    <xf numFmtId="10" fontId="2" fillId="0" borderId="2" xfId="3" applyNumberFormat="1" applyFont="1" applyBorder="1"/>
    <xf numFmtId="9" fontId="2" fillId="0" borderId="15" xfId="0" applyNumberFormat="1" applyFont="1" applyBorder="1"/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quotePrefix="1" applyAlignment="1">
      <alignment horizontal="left"/>
    </xf>
    <xf numFmtId="0" fontId="22" fillId="5" borderId="0" xfId="0" applyFont="1" applyFill="1" applyAlignment="1">
      <alignment horizontal="left"/>
    </xf>
    <xf numFmtId="6" fontId="20" fillId="5" borderId="0" xfId="0" applyNumberFormat="1" applyFont="1" applyFill="1"/>
    <xf numFmtId="0" fontId="20" fillId="5" borderId="0" xfId="0" applyFont="1" applyFill="1"/>
    <xf numFmtId="0" fontId="6" fillId="4" borderId="18" xfId="0" applyFont="1" applyFill="1" applyBorder="1"/>
    <xf numFmtId="0" fontId="6" fillId="4" borderId="19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2" fillId="5" borderId="0" xfId="0" applyFont="1" applyFill="1" applyAlignment="1">
      <alignment horizontal="left" vertical="center"/>
    </xf>
    <xf numFmtId="0" fontId="3" fillId="0" borderId="1" xfId="0" applyFont="1" applyBorder="1"/>
    <xf numFmtId="0" fontId="22" fillId="5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10" fontId="4" fillId="0" borderId="0" xfId="0" applyNumberFormat="1" applyFont="1"/>
    <xf numFmtId="8" fontId="4" fillId="0" borderId="0" xfId="0" applyNumberFormat="1" applyFont="1"/>
    <xf numFmtId="167" fontId="4" fillId="0" borderId="0" xfId="0" applyNumberFormat="1" applyFont="1"/>
    <xf numFmtId="8" fontId="24" fillId="0" borderId="0" xfId="0" applyNumberFormat="1" applyFont="1"/>
    <xf numFmtId="0" fontId="4" fillId="0" borderId="0" xfId="0" quotePrefix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/>
    <xf numFmtId="170" fontId="4" fillId="0" borderId="0" xfId="0" applyNumberFormat="1" applyFont="1"/>
    <xf numFmtId="10" fontId="6" fillId="0" borderId="0" xfId="3" applyNumberFormat="1" applyFont="1" applyFill="1" applyBorder="1"/>
    <xf numFmtId="0" fontId="0" fillId="0" borderId="0" xfId="0" applyAlignment="1">
      <alignment vertical="center"/>
    </xf>
    <xf numFmtId="0" fontId="6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4" xfId="0" applyFill="1" applyBorder="1"/>
    <xf numFmtId="0" fontId="6" fillId="4" borderId="4" xfId="0" applyFont="1" applyFill="1" applyBorder="1"/>
    <xf numFmtId="0" fontId="4" fillId="4" borderId="4" xfId="0" applyFont="1" applyFill="1" applyBorder="1"/>
    <xf numFmtId="168" fontId="24" fillId="0" borderId="0" xfId="3" applyNumberFormat="1" applyFont="1" applyBorder="1"/>
    <xf numFmtId="44" fontId="4" fillId="0" borderId="0" xfId="2" applyFont="1" applyBorder="1"/>
    <xf numFmtId="164" fontId="6" fillId="4" borderId="15" xfId="0" applyNumberFormat="1" applyFont="1" applyFill="1" applyBorder="1" applyAlignment="1">
      <alignment vertical="center"/>
    </xf>
    <xf numFmtId="166" fontId="6" fillId="4" borderId="15" xfId="2" applyNumberFormat="1" applyFont="1" applyFill="1" applyBorder="1"/>
    <xf numFmtId="164" fontId="6" fillId="4" borderId="15" xfId="0" applyNumberFormat="1" applyFont="1" applyFill="1" applyBorder="1"/>
    <xf numFmtId="171" fontId="0" fillId="0" borderId="0" xfId="0" applyNumberFormat="1"/>
    <xf numFmtId="167" fontId="0" fillId="0" borderId="0" xfId="0" applyNumberFormat="1"/>
    <xf numFmtId="164" fontId="0" fillId="0" borderId="14" xfId="0" applyNumberFormat="1" applyBorder="1"/>
    <xf numFmtId="0" fontId="6" fillId="4" borderId="19" xfId="0" applyFont="1" applyFill="1" applyBorder="1" applyAlignment="1">
      <alignment horizontal="center"/>
    </xf>
    <xf numFmtId="0" fontId="6" fillId="4" borderId="15" xfId="0" applyFont="1" applyFill="1" applyBorder="1" applyAlignment="1">
      <alignment wrapText="1"/>
    </xf>
    <xf numFmtId="167" fontId="6" fillId="0" borderId="0" xfId="0" applyNumberFormat="1" applyFont="1"/>
    <xf numFmtId="0" fontId="25" fillId="0" borderId="22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/>
    </xf>
    <xf numFmtId="44" fontId="26" fillId="0" borderId="23" xfId="2" applyFont="1" applyFill="1" applyBorder="1"/>
    <xf numFmtId="164" fontId="26" fillId="0" borderId="23" xfId="1" applyNumberFormat="1" applyFont="1" applyFill="1" applyBorder="1"/>
    <xf numFmtId="164" fontId="26" fillId="0" borderId="24" xfId="1" applyNumberFormat="1" applyFont="1" applyFill="1" applyBorder="1"/>
    <xf numFmtId="164" fontId="26" fillId="0" borderId="30" xfId="1" applyNumberFormat="1" applyFont="1" applyFill="1" applyBorder="1"/>
    <xf numFmtId="164" fontId="25" fillId="0" borderId="6" xfId="1" applyNumberFormat="1" applyFont="1" applyFill="1" applyBorder="1"/>
    <xf numFmtId="167" fontId="25" fillId="0" borderId="6" xfId="1" applyNumberFormat="1" applyFont="1" applyFill="1" applyBorder="1"/>
    <xf numFmtId="167" fontId="25" fillId="0" borderId="6" xfId="1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/>
    </xf>
    <xf numFmtId="44" fontId="26" fillId="0" borderId="17" xfId="2" applyFont="1" applyFill="1" applyBorder="1"/>
    <xf numFmtId="164" fontId="26" fillId="0" borderId="17" xfId="1" applyNumberFormat="1" applyFont="1" applyFill="1" applyBorder="1"/>
    <xf numFmtId="164" fontId="26" fillId="0" borderId="26" xfId="1" applyNumberFormat="1" applyFont="1" applyFill="1" applyBorder="1"/>
    <xf numFmtId="164" fontId="26" fillId="0" borderId="31" xfId="1" applyNumberFormat="1" applyFont="1" applyFill="1" applyBorder="1"/>
    <xf numFmtId="44" fontId="26" fillId="0" borderId="17" xfId="2" applyFont="1" applyFill="1" applyBorder="1" applyAlignment="1">
      <alignment horizontal="center"/>
    </xf>
    <xf numFmtId="0" fontId="25" fillId="0" borderId="32" xfId="0" applyFont="1" applyBorder="1" applyAlignment="1">
      <alignment horizontal="left" vertical="center" wrapText="1"/>
    </xf>
    <xf numFmtId="44" fontId="26" fillId="0" borderId="33" xfId="2" applyFont="1" applyFill="1" applyBorder="1" applyAlignment="1">
      <alignment horizontal="center"/>
    </xf>
    <xf numFmtId="44" fontId="26" fillId="0" borderId="33" xfId="2" applyFont="1" applyFill="1" applyBorder="1"/>
    <xf numFmtId="164" fontId="26" fillId="0" borderId="33" xfId="1" applyNumberFormat="1" applyFont="1" applyFill="1" applyBorder="1"/>
    <xf numFmtId="164" fontId="26" fillId="0" borderId="34" xfId="1" applyNumberFormat="1" applyFont="1" applyFill="1" applyBorder="1"/>
    <xf numFmtId="164" fontId="26" fillId="0" borderId="35" xfId="1" applyNumberFormat="1" applyFont="1" applyFill="1" applyBorder="1"/>
    <xf numFmtId="164" fontId="26" fillId="0" borderId="36" xfId="1" applyNumberFormat="1" applyFont="1" applyFill="1" applyBorder="1"/>
    <xf numFmtId="164" fontId="25" fillId="0" borderId="10" xfId="1" applyNumberFormat="1" applyFont="1" applyFill="1" applyBorder="1"/>
    <xf numFmtId="167" fontId="25" fillId="0" borderId="10" xfId="1" applyNumberFormat="1" applyFont="1" applyFill="1" applyBorder="1"/>
    <xf numFmtId="167" fontId="25" fillId="0" borderId="10" xfId="1" applyNumberFormat="1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5" fillId="6" borderId="18" xfId="0" applyFont="1" applyFill="1" applyBorder="1" applyAlignment="1">
      <alignment horizontal="left" vertical="center" wrapText="1"/>
    </xf>
    <xf numFmtId="44" fontId="26" fillId="6" borderId="19" xfId="2" applyFont="1" applyFill="1" applyBorder="1" applyAlignment="1">
      <alignment horizontal="right"/>
    </xf>
    <xf numFmtId="164" fontId="26" fillId="6" borderId="19" xfId="1" applyNumberFormat="1" applyFont="1" applyFill="1" applyBorder="1"/>
    <xf numFmtId="164" fontId="26" fillId="6" borderId="20" xfId="1" applyNumberFormat="1" applyFont="1" applyFill="1" applyBorder="1"/>
    <xf numFmtId="164" fontId="26" fillId="6" borderId="21" xfId="1" applyNumberFormat="1" applyFont="1" applyFill="1" applyBorder="1"/>
    <xf numFmtId="164" fontId="25" fillId="6" borderId="15" xfId="1" applyNumberFormat="1" applyFont="1" applyFill="1" applyBorder="1"/>
    <xf numFmtId="167" fontId="25" fillId="6" borderId="15" xfId="1" applyNumberFormat="1" applyFont="1" applyFill="1" applyBorder="1"/>
    <xf numFmtId="167" fontId="25" fillId="6" borderId="15" xfId="1" applyNumberFormat="1" applyFont="1" applyFill="1" applyBorder="1" applyAlignment="1">
      <alignment horizontal="center"/>
    </xf>
    <xf numFmtId="164" fontId="2" fillId="0" borderId="0" xfId="0" applyNumberFormat="1" applyFont="1"/>
    <xf numFmtId="167" fontId="2" fillId="0" borderId="0" xfId="0" applyNumberFormat="1" applyFont="1"/>
    <xf numFmtId="0" fontId="25" fillId="7" borderId="17" xfId="0" applyFont="1" applyFill="1" applyBorder="1" applyAlignment="1">
      <alignment horizontal="center" vertical="center"/>
    </xf>
    <xf numFmtId="0" fontId="25" fillId="7" borderId="17" xfId="0" quotePrefix="1" applyFont="1" applyFill="1" applyBorder="1" applyAlignment="1">
      <alignment horizontal="center" vertical="center"/>
    </xf>
    <xf numFmtId="164" fontId="2" fillId="0" borderId="14" xfId="0" applyNumberFormat="1" applyFont="1" applyBorder="1"/>
    <xf numFmtId="0" fontId="26" fillId="0" borderId="0" xfId="0" applyFont="1" applyAlignment="1">
      <alignment horizontal="right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167" fontId="16" fillId="0" borderId="0" xfId="0" applyNumberFormat="1" applyFont="1" applyAlignment="1">
      <alignment horizontal="center"/>
    </xf>
    <xf numFmtId="0" fontId="27" fillId="0" borderId="2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center" wrapText="1"/>
    </xf>
    <xf numFmtId="172" fontId="27" fillId="0" borderId="23" xfId="2" applyNumberFormat="1" applyFont="1" applyFill="1" applyBorder="1" applyAlignment="1">
      <alignment horizontal="center" vertical="center"/>
    </xf>
    <xf numFmtId="164" fontId="27" fillId="0" borderId="23" xfId="1" applyNumberFormat="1" applyFont="1" applyFill="1" applyBorder="1" applyAlignment="1">
      <alignment vertical="center"/>
    </xf>
    <xf numFmtId="167" fontId="27" fillId="0" borderId="30" xfId="0" applyNumberFormat="1" applyFont="1" applyBorder="1" applyAlignment="1">
      <alignment horizontal="center" vertical="center"/>
    </xf>
    <xf numFmtId="0" fontId="27" fillId="0" borderId="22" xfId="0" applyFont="1" applyBorder="1"/>
    <xf numFmtId="0" fontId="27" fillId="0" borderId="23" xfId="0" applyFont="1" applyBorder="1"/>
    <xf numFmtId="172" fontId="27" fillId="0" borderId="23" xfId="2" applyNumberFormat="1" applyFont="1" applyBorder="1" applyAlignment="1">
      <alignment horizontal="center"/>
    </xf>
    <xf numFmtId="164" fontId="27" fillId="0" borderId="23" xfId="1" applyNumberFormat="1" applyFont="1" applyBorder="1"/>
    <xf numFmtId="167" fontId="27" fillId="0" borderId="30" xfId="0" applyNumberFormat="1" applyFont="1" applyBorder="1" applyAlignment="1">
      <alignment horizontal="center"/>
    </xf>
    <xf numFmtId="14" fontId="27" fillId="0" borderId="22" xfId="0" applyNumberFormat="1" applyFont="1" applyBorder="1" applyAlignment="1">
      <alignment horizontal="left"/>
    </xf>
    <xf numFmtId="0" fontId="27" fillId="0" borderId="25" xfId="0" applyFont="1" applyBorder="1"/>
    <xf numFmtId="0" fontId="27" fillId="0" borderId="17" xfId="0" applyFont="1" applyBorder="1"/>
    <xf numFmtId="172" fontId="27" fillId="0" borderId="17" xfId="2" applyNumberFormat="1" applyFont="1" applyBorder="1" applyAlignment="1">
      <alignment horizontal="center"/>
    </xf>
    <xf numFmtId="164" fontId="27" fillId="0" borderId="17" xfId="1" applyNumberFormat="1" applyFont="1" applyBorder="1"/>
    <xf numFmtId="167" fontId="27" fillId="0" borderId="31" xfId="0" applyNumberFormat="1" applyFont="1" applyBorder="1" applyAlignment="1">
      <alignment horizontal="center"/>
    </xf>
    <xf numFmtId="0" fontId="27" fillId="0" borderId="32" xfId="0" applyFont="1" applyBorder="1"/>
    <xf numFmtId="0" fontId="27" fillId="0" borderId="33" xfId="0" applyFont="1" applyBorder="1"/>
    <xf numFmtId="172" fontId="27" fillId="0" borderId="33" xfId="2" applyNumberFormat="1" applyFont="1" applyBorder="1" applyAlignment="1">
      <alignment horizontal="center"/>
    </xf>
    <xf numFmtId="164" fontId="27" fillId="0" borderId="33" xfId="1" applyNumberFormat="1" applyFont="1" applyBorder="1"/>
    <xf numFmtId="164" fontId="27" fillId="0" borderId="33" xfId="1" applyNumberFormat="1" applyFont="1" applyFill="1" applyBorder="1" applyAlignment="1">
      <alignment vertical="center"/>
    </xf>
    <xf numFmtId="167" fontId="27" fillId="0" borderId="36" xfId="0" applyNumberFormat="1" applyFont="1" applyBorder="1" applyAlignment="1">
      <alignment horizontal="center"/>
    </xf>
    <xf numFmtId="0" fontId="0" fillId="5" borderId="0" xfId="0" applyFill="1"/>
    <xf numFmtId="0" fontId="2" fillId="0" borderId="41" xfId="0" applyFont="1" applyBorder="1"/>
    <xf numFmtId="0" fontId="29" fillId="0" borderId="4" xfId="0" applyFont="1" applyBorder="1" applyAlignment="1">
      <alignment horizontal="right"/>
    </xf>
    <xf numFmtId="0" fontId="29" fillId="0" borderId="4" xfId="0" applyFont="1" applyBorder="1" applyAlignment="1">
      <alignment horizontal="center"/>
    </xf>
    <xf numFmtId="0" fontId="0" fillId="0" borderId="41" xfId="0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11" xfId="0" applyBorder="1"/>
    <xf numFmtId="0" fontId="0" fillId="0" borderId="13" xfId="0" applyBorder="1"/>
    <xf numFmtId="0" fontId="30" fillId="0" borderId="4" xfId="0" applyFont="1" applyBorder="1" applyAlignment="1">
      <alignment horizontal="right"/>
    </xf>
    <xf numFmtId="0" fontId="30" fillId="0" borderId="4" xfId="0" applyFont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9" fontId="24" fillId="0" borderId="0" xfId="0" applyNumberFormat="1" applyFont="1" applyAlignment="1">
      <alignment horizontal="center"/>
    </xf>
    <xf numFmtId="164" fontId="24" fillId="0" borderId="5" xfId="1" applyNumberFormat="1" applyFont="1" applyBorder="1"/>
    <xf numFmtId="168" fontId="24" fillId="0" borderId="0" xfId="0" applyNumberFormat="1" applyFont="1" applyAlignment="1">
      <alignment horizontal="center"/>
    </xf>
    <xf numFmtId="164" fontId="4" fillId="0" borderId="5" xfId="1" applyNumberFormat="1" applyFont="1" applyBorder="1"/>
    <xf numFmtId="168" fontId="24" fillId="0" borderId="5" xfId="3" applyNumberFormat="1" applyFont="1" applyBorder="1"/>
    <xf numFmtId="168" fontId="24" fillId="0" borderId="3" xfId="3" applyNumberFormat="1" applyFont="1" applyBorder="1"/>
    <xf numFmtId="0" fontId="4" fillId="0" borderId="0" xfId="0" quotePrefix="1" applyFont="1" applyAlignment="1">
      <alignment shrinkToFit="1"/>
    </xf>
    <xf numFmtId="164" fontId="24" fillId="0" borderId="6" xfId="1" applyNumberFormat="1" applyFont="1" applyBorder="1"/>
    <xf numFmtId="0" fontId="24" fillId="0" borderId="0" xfId="0" applyFont="1" applyAlignment="1">
      <alignment horizontal="center"/>
    </xf>
    <xf numFmtId="164" fontId="6" fillId="0" borderId="39" xfId="1" applyNumberFormat="1" applyFont="1" applyBorder="1"/>
    <xf numFmtId="164" fontId="6" fillId="0" borderId="14" xfId="1" applyNumberFormat="1" applyFont="1" applyBorder="1"/>
    <xf numFmtId="164" fontId="6" fillId="0" borderId="40" xfId="1" applyNumberFormat="1" applyFont="1" applyBorder="1"/>
    <xf numFmtId="164" fontId="6" fillId="0" borderId="41" xfId="0" applyNumberFormat="1" applyFont="1" applyBorder="1"/>
    <xf numFmtId="164" fontId="6" fillId="0" borderId="42" xfId="0" applyNumberFormat="1" applyFont="1" applyBorder="1"/>
    <xf numFmtId="164" fontId="6" fillId="0" borderId="43" xfId="0" applyNumberFormat="1" applyFont="1" applyBorder="1"/>
    <xf numFmtId="0" fontId="6" fillId="0" borderId="4" xfId="0" applyFont="1" applyBorder="1"/>
    <xf numFmtId="164" fontId="6" fillId="0" borderId="4" xfId="0" applyNumberFormat="1" applyFont="1" applyBorder="1"/>
    <xf numFmtId="164" fontId="6" fillId="0" borderId="6" xfId="1" applyNumberFormat="1" applyFont="1" applyBorder="1"/>
    <xf numFmtId="164" fontId="6" fillId="0" borderId="38" xfId="1" applyNumberFormat="1" applyFont="1" applyBorder="1"/>
    <xf numFmtId="0" fontId="31" fillId="0" borderId="0" xfId="0" applyFont="1"/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10" fontId="24" fillId="0" borderId="0" xfId="0" applyNumberFormat="1" applyFont="1"/>
    <xf numFmtId="164" fontId="6" fillId="0" borderId="14" xfId="0" applyNumberFormat="1" applyFont="1" applyBorder="1"/>
    <xf numFmtId="0" fontId="6" fillId="0" borderId="0" xfId="0" applyFont="1" applyAlignment="1">
      <alignment horizontal="right"/>
    </xf>
    <xf numFmtId="0" fontId="6" fillId="0" borderId="2" xfId="0" applyFont="1" applyBorder="1"/>
    <xf numFmtId="10" fontId="6" fillId="0" borderId="3" xfId="0" applyNumberFormat="1" applyFont="1" applyBorder="1"/>
    <xf numFmtId="164" fontId="6" fillId="0" borderId="2" xfId="1" applyNumberFormat="1" applyFont="1" applyBorder="1"/>
    <xf numFmtId="10" fontId="32" fillId="0" borderId="3" xfId="0" applyNumberFormat="1" applyFont="1" applyBorder="1"/>
    <xf numFmtId="0" fontId="6" fillId="0" borderId="3" xfId="0" applyFont="1" applyBorder="1"/>
    <xf numFmtId="167" fontId="6" fillId="0" borderId="3" xfId="0" applyNumberFormat="1" applyFont="1" applyBorder="1"/>
    <xf numFmtId="0" fontId="6" fillId="0" borderId="11" xfId="0" applyFont="1" applyBorder="1"/>
    <xf numFmtId="0" fontId="6" fillId="0" borderId="12" xfId="0" applyFont="1" applyBorder="1"/>
    <xf numFmtId="164" fontId="6" fillId="4" borderId="15" xfId="0" applyNumberFormat="1" applyFont="1" applyFill="1" applyBorder="1" applyAlignment="1">
      <alignment horizontal="right"/>
    </xf>
    <xf numFmtId="0" fontId="6" fillId="4" borderId="27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  <xf numFmtId="10" fontId="0" fillId="0" borderId="0" xfId="0" applyNumberFormat="1" applyAlignment="1">
      <alignment horizontal="center"/>
    </xf>
    <xf numFmtId="0" fontId="0" fillId="0" borderId="12" xfId="0" applyBorder="1"/>
    <xf numFmtId="0" fontId="0" fillId="0" borderId="2" xfId="0" applyBorder="1"/>
    <xf numFmtId="164" fontId="0" fillId="0" borderId="9" xfId="0" applyNumberFormat="1" applyBorder="1"/>
    <xf numFmtId="0" fontId="2" fillId="4" borderId="29" xfId="0" applyFont="1" applyFill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0" fontId="2" fillId="4" borderId="28" xfId="0" applyFont="1" applyFill="1" applyBorder="1" applyAlignment="1">
      <alignment horizontal="center" vertical="center"/>
    </xf>
    <xf numFmtId="170" fontId="6" fillId="0" borderId="15" xfId="3" applyNumberFormat="1" applyFont="1" applyFill="1" applyBorder="1"/>
    <xf numFmtId="0" fontId="0" fillId="0" borderId="0" xfId="0" applyAlignment="1">
      <alignment horizontal="center" vertical="center"/>
    </xf>
    <xf numFmtId="0" fontId="22" fillId="5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168" fontId="0" fillId="0" borderId="0" xfId="3" applyNumberFormat="1" applyFont="1" applyFill="1" applyBorder="1" applyAlignment="1">
      <alignment horizontal="center"/>
    </xf>
    <xf numFmtId="170" fontId="0" fillId="0" borderId="0" xfId="3" applyNumberFormat="1" applyFont="1" applyFill="1" applyBorder="1" applyAlignment="1">
      <alignment horizontal="center"/>
    </xf>
    <xf numFmtId="170" fontId="0" fillId="0" borderId="3" xfId="3" applyNumberFormat="1" applyFont="1" applyFill="1" applyBorder="1" applyAlignment="1">
      <alignment horizontal="center"/>
    </xf>
    <xf numFmtId="168" fontId="0" fillId="0" borderId="9" xfId="3" applyNumberFormat="1" applyFont="1" applyFill="1" applyBorder="1" applyAlignment="1">
      <alignment horizontal="center"/>
    </xf>
    <xf numFmtId="170" fontId="4" fillId="0" borderId="3" xfId="0" applyNumberFormat="1" applyFont="1" applyBorder="1"/>
    <xf numFmtId="173" fontId="4" fillId="0" borderId="3" xfId="0" applyNumberFormat="1" applyFont="1" applyBorder="1"/>
    <xf numFmtId="1" fontId="2" fillId="4" borderId="10" xfId="0" quotePrefix="1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6" fontId="6" fillId="4" borderId="15" xfId="2" applyNumberFormat="1" applyFont="1" applyFill="1" applyBorder="1" applyAlignment="1">
      <alignment horizontal="center"/>
    </xf>
    <xf numFmtId="170" fontId="2" fillId="0" borderId="45" xfId="0" applyNumberFormat="1" applyFont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168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4" fillId="4" borderId="48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 shrinkToFit="1"/>
    </xf>
    <xf numFmtId="0" fontId="6" fillId="4" borderId="4" xfId="0" applyFont="1" applyFill="1" applyBorder="1" applyAlignment="1">
      <alignment horizontal="center" wrapText="1"/>
    </xf>
    <xf numFmtId="44" fontId="4" fillId="0" borderId="0" xfId="0" applyNumberFormat="1" applyFont="1"/>
    <xf numFmtId="9" fontId="4" fillId="0" borderId="0" xfId="0" applyNumberFormat="1" applyFont="1" applyAlignment="1">
      <alignment horizontal="center"/>
    </xf>
    <xf numFmtId="164" fontId="4" fillId="0" borderId="0" xfId="1" applyNumberFormat="1" applyFont="1" applyFill="1"/>
    <xf numFmtId="164" fontId="6" fillId="0" borderId="0" xfId="1" applyNumberFormat="1" applyFont="1" applyFill="1"/>
    <xf numFmtId="10" fontId="4" fillId="0" borderId="0" xfId="3" applyNumberFormat="1" applyFont="1" applyFill="1"/>
    <xf numFmtId="164" fontId="6" fillId="0" borderId="9" xfId="0" applyNumberFormat="1" applyFont="1" applyBorder="1"/>
    <xf numFmtId="10" fontId="4" fillId="0" borderId="9" xfId="3" applyNumberFormat="1" applyFont="1" applyFill="1" applyBorder="1"/>
    <xf numFmtId="167" fontId="4" fillId="0" borderId="14" xfId="0" applyNumberFormat="1" applyFont="1" applyBorder="1"/>
    <xf numFmtId="0" fontId="6" fillId="4" borderId="46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left" vertical="center"/>
    </xf>
    <xf numFmtId="167" fontId="24" fillId="0" borderId="0" xfId="0" applyNumberFormat="1" applyFont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170" fontId="4" fillId="0" borderId="0" xfId="3" applyNumberFormat="1" applyFont="1" applyFill="1" applyBorder="1" applyAlignment="1">
      <alignment horizontal="center"/>
    </xf>
    <xf numFmtId="10" fontId="4" fillId="0" borderId="0" xfId="3" applyNumberFormat="1" applyFont="1" applyFill="1" applyBorder="1"/>
    <xf numFmtId="167" fontId="4" fillId="0" borderId="0" xfId="0" applyNumberFormat="1" applyFont="1" applyAlignment="1">
      <alignment horizontal="center"/>
    </xf>
    <xf numFmtId="168" fontId="4" fillId="0" borderId="0" xfId="3" applyNumberFormat="1" applyFont="1" applyFill="1" applyBorder="1" applyAlignment="1">
      <alignment horizontal="center"/>
    </xf>
    <xf numFmtId="0" fontId="4" fillId="0" borderId="11" xfId="0" applyFont="1" applyBorder="1"/>
    <xf numFmtId="164" fontId="33" fillId="0" borderId="0" xfId="1" applyNumberFormat="1" applyFont="1" applyFill="1"/>
    <xf numFmtId="164" fontId="4" fillId="0" borderId="0" xfId="1" applyNumberFormat="1" applyFont="1" applyFill="1" applyBorder="1" applyAlignment="1">
      <alignment horizontal="right" vertical="top"/>
    </xf>
    <xf numFmtId="164" fontId="4" fillId="0" borderId="9" xfId="1" applyNumberFormat="1" applyFont="1" applyFill="1" applyBorder="1"/>
    <xf numFmtId="0" fontId="4" fillId="0" borderId="0" xfId="0" applyFont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2" fillId="4" borderId="4" xfId="0" quotePrefix="1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4" fontId="0" fillId="0" borderId="2" xfId="1" applyNumberFormat="1" applyFont="1" applyBorder="1"/>
    <xf numFmtId="164" fontId="0" fillId="0" borderId="16" xfId="1" applyNumberFormat="1" applyFont="1" applyBorder="1"/>
    <xf numFmtId="164" fontId="6" fillId="0" borderId="0" xfId="1" applyNumberFormat="1" applyFont="1" applyBorder="1"/>
    <xf numFmtId="164" fontId="4" fillId="0" borderId="0" xfId="1" applyNumberFormat="1" applyFont="1" applyBorder="1"/>
    <xf numFmtId="0" fontId="6" fillId="4" borderId="23" xfId="0" applyFont="1" applyFill="1" applyBorder="1" applyAlignment="1">
      <alignment horizontal="center"/>
    </xf>
    <xf numFmtId="1" fontId="2" fillId="4" borderId="6" xfId="0" quotePrefix="1" applyNumberFormat="1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68" fontId="6" fillId="0" borderId="40" xfId="3" applyNumberFormat="1" applyFont="1" applyFill="1" applyBorder="1"/>
    <xf numFmtId="0" fontId="2" fillId="4" borderId="17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64" fontId="0" fillId="0" borderId="37" xfId="1" applyNumberFormat="1" applyFont="1" applyBorder="1"/>
    <xf numFmtId="164" fontId="0" fillId="0" borderId="23" xfId="1" applyNumberFormat="1" applyFont="1" applyBorder="1"/>
    <xf numFmtId="164" fontId="6" fillId="0" borderId="44" xfId="1" applyNumberFormat="1" applyFont="1" applyBorder="1"/>
    <xf numFmtId="164" fontId="6" fillId="0" borderId="37" xfId="1" applyNumberFormat="1" applyFont="1" applyBorder="1"/>
    <xf numFmtId="164" fontId="6" fillId="0" borderId="49" xfId="0" applyNumberFormat="1" applyFont="1" applyBorder="1"/>
    <xf numFmtId="164" fontId="6" fillId="0" borderId="23" xfId="0" applyNumberFormat="1" applyFont="1" applyBorder="1"/>
    <xf numFmtId="164" fontId="0" fillId="0" borderId="37" xfId="0" applyNumberFormat="1" applyBorder="1"/>
    <xf numFmtId="164" fontId="0" fillId="0" borderId="49" xfId="1" applyNumberFormat="1" applyFont="1" applyBorder="1"/>
    <xf numFmtId="164" fontId="0" fillId="0" borderId="23" xfId="0" applyNumberFormat="1" applyBorder="1"/>
    <xf numFmtId="164" fontId="6" fillId="0" borderId="44" xfId="0" applyNumberFormat="1" applyFont="1" applyBorder="1"/>
    <xf numFmtId="168" fontId="32" fillId="0" borderId="15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0" fontId="2" fillId="0" borderId="15" xfId="3" applyNumberFormat="1" applyFont="1" applyBorder="1"/>
    <xf numFmtId="0" fontId="6" fillId="2" borderId="12" xfId="0" applyFont="1" applyFill="1" applyBorder="1" applyAlignment="1">
      <alignment horizontal="center"/>
    </xf>
    <xf numFmtId="164" fontId="0" fillId="0" borderId="7" xfId="0" applyNumberFormat="1" applyBorder="1"/>
    <xf numFmtId="166" fontId="6" fillId="4" borderId="15" xfId="2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10" xfId="0" applyBorder="1"/>
    <xf numFmtId="0" fontId="6" fillId="4" borderId="4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7" fillId="4" borderId="23" xfId="0" applyFont="1" applyFill="1" applyBorder="1" applyAlignment="1">
      <alignment horizontal="center"/>
    </xf>
    <xf numFmtId="164" fontId="21" fillId="0" borderId="37" xfId="1" applyNumberFormat="1" applyFont="1" applyBorder="1"/>
    <xf numFmtId="164" fontId="21" fillId="0" borderId="37" xfId="1" applyNumberFormat="1" applyFont="1" applyFill="1" applyBorder="1"/>
    <xf numFmtId="164" fontId="2" fillId="0" borderId="37" xfId="1" applyNumberFormat="1" applyFont="1" applyBorder="1"/>
    <xf numFmtId="164" fontId="2" fillId="0" borderId="17" xfId="1" applyNumberFormat="1" applyFont="1" applyBorder="1"/>
    <xf numFmtId="0" fontId="20" fillId="5" borderId="0" xfId="0" applyFont="1" applyFill="1" applyAlignment="1">
      <alignment horizontal="right"/>
    </xf>
    <xf numFmtId="9" fontId="20" fillId="5" borderId="0" xfId="0" applyNumberFormat="1" applyFont="1" applyFill="1" applyAlignment="1">
      <alignment horizontal="left"/>
    </xf>
    <xf numFmtId="0" fontId="22" fillId="5" borderId="0" xfId="0" applyFont="1" applyFill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0" fontId="17" fillId="5" borderId="49" xfId="0" applyFont="1" applyFill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7" xfId="0" applyBorder="1"/>
    <xf numFmtId="44" fontId="0" fillId="0" borderId="23" xfId="2" applyFont="1" applyFill="1" applyBorder="1" applyAlignment="1"/>
    <xf numFmtId="44" fontId="6" fillId="0" borderId="33" xfId="2" applyFont="1" applyFill="1" applyBorder="1" applyAlignment="1"/>
    <xf numFmtId="0" fontId="6" fillId="2" borderId="34" xfId="0" applyFont="1" applyFill="1" applyBorder="1" applyAlignment="1">
      <alignment horizontal="center"/>
    </xf>
    <xf numFmtId="0" fontId="22" fillId="5" borderId="4" xfId="0" applyFont="1" applyFill="1" applyBorder="1"/>
    <xf numFmtId="0" fontId="20" fillId="5" borderId="4" xfId="0" applyFont="1" applyFill="1" applyBorder="1"/>
    <xf numFmtId="164" fontId="1" fillId="0" borderId="0" xfId="1" applyNumberFormat="1" applyFont="1" applyBorder="1"/>
    <xf numFmtId="0" fontId="17" fillId="5" borderId="37" xfId="0" applyFont="1" applyFill="1" applyBorder="1" applyAlignment="1">
      <alignment horizontal="center"/>
    </xf>
    <xf numFmtId="164" fontId="0" fillId="0" borderId="48" xfId="0" applyNumberFormat="1" applyBorder="1"/>
    <xf numFmtId="0" fontId="4" fillId="0" borderId="23" xfId="0" applyFont="1" applyBorder="1" applyAlignment="1">
      <alignment horizontal="center"/>
    </xf>
    <xf numFmtId="44" fontId="4" fillId="0" borderId="23" xfId="2" applyFont="1" applyBorder="1" applyAlignment="1">
      <alignment horizontal="center"/>
    </xf>
    <xf numFmtId="169" fontId="4" fillId="0" borderId="23" xfId="1" applyNumberFormat="1" applyFont="1" applyBorder="1" applyAlignment="1">
      <alignment horizontal="center"/>
    </xf>
    <xf numFmtId="43" fontId="4" fillId="0" borderId="23" xfId="1" applyFont="1" applyBorder="1" applyAlignment="1">
      <alignment horizontal="center"/>
    </xf>
    <xf numFmtId="43" fontId="4" fillId="0" borderId="24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44" fontId="4" fillId="0" borderId="17" xfId="2" applyFont="1" applyBorder="1" applyAlignment="1">
      <alignment horizontal="center"/>
    </xf>
    <xf numFmtId="169" fontId="4" fillId="0" borderId="17" xfId="1" applyNumberFormat="1" applyFont="1" applyBorder="1" applyAlignment="1">
      <alignment horizontal="center"/>
    </xf>
    <xf numFmtId="43" fontId="4" fillId="0" borderId="26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6" fillId="3" borderId="8" xfId="1" applyFont="1" applyFill="1" applyBorder="1" applyAlignment="1">
      <alignment horizontal="center"/>
    </xf>
    <xf numFmtId="44" fontId="4" fillId="0" borderId="17" xfId="2" applyFont="1" applyFill="1" applyBorder="1" applyAlignment="1">
      <alignment horizontal="center"/>
    </xf>
    <xf numFmtId="43" fontId="6" fillId="3" borderId="42" xfId="1" applyFont="1" applyFill="1" applyBorder="1" applyAlignment="1">
      <alignment horizontal="center"/>
    </xf>
    <xf numFmtId="164" fontId="4" fillId="0" borderId="17" xfId="1" applyNumberFormat="1" applyFont="1" applyFill="1" applyBorder="1" applyAlignment="1">
      <alignment horizontal="center"/>
    </xf>
    <xf numFmtId="164" fontId="4" fillId="0" borderId="23" xfId="1" applyNumberFormat="1" applyFont="1" applyBorder="1" applyAlignment="1">
      <alignment horizontal="center"/>
    </xf>
    <xf numFmtId="164" fontId="0" fillId="0" borderId="26" xfId="1" applyNumberFormat="1" applyFont="1" applyFill="1" applyBorder="1" applyAlignment="1">
      <alignment horizontal="center"/>
    </xf>
    <xf numFmtId="164" fontId="6" fillId="4" borderId="15" xfId="1" applyNumberFormat="1" applyFont="1" applyFill="1" applyBorder="1" applyAlignment="1">
      <alignment horizontal="center"/>
    </xf>
    <xf numFmtId="44" fontId="25" fillId="6" borderId="19" xfId="2" applyFont="1" applyFill="1" applyBorder="1" applyAlignment="1">
      <alignment horizontal="center"/>
    </xf>
    <xf numFmtId="164" fontId="6" fillId="0" borderId="50" xfId="0" applyNumberFormat="1" applyFont="1" applyBorder="1"/>
    <xf numFmtId="164" fontId="24" fillId="0" borderId="0" xfId="1" applyNumberFormat="1" applyFont="1" applyAlignment="1">
      <alignment horizontal="center"/>
    </xf>
    <xf numFmtId="168" fontId="1" fillId="0" borderId="0" xfId="3" applyNumberFormat="1" applyFont="1" applyBorder="1"/>
    <xf numFmtId="168" fontId="1" fillId="0" borderId="37" xfId="3" applyNumberFormat="1" applyFont="1" applyBorder="1"/>
    <xf numFmtId="164" fontId="1" fillId="0" borderId="5" xfId="1" applyNumberFormat="1" applyFont="1" applyBorder="1"/>
    <xf numFmtId="0" fontId="6" fillId="2" borderId="34" xfId="0" applyFont="1" applyFill="1" applyBorder="1" applyAlignment="1">
      <alignment horizontal="right"/>
    </xf>
    <xf numFmtId="44" fontId="0" fillId="0" borderId="23" xfId="2" applyFont="1" applyFill="1" applyBorder="1" applyAlignment="1">
      <alignment horizontal="right"/>
    </xf>
    <xf numFmtId="164" fontId="0" fillId="0" borderId="37" xfId="0" applyNumberFormat="1" applyBorder="1" applyAlignment="1">
      <alignment horizontal="right"/>
    </xf>
    <xf numFmtId="44" fontId="0" fillId="0" borderId="44" xfId="2" applyFont="1" applyFill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Valuation Methods</a:t>
            </a:r>
          </a:p>
        </c:rich>
      </c:tx>
      <c:layout>
        <c:manualLayout>
          <c:xMode val="edge"/>
          <c:yMode val="edge"/>
          <c:x val="0.33173087194042605"/>
          <c:y val="2.00002343457067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7307692307687"/>
          <c:y val="0.10400020312539672"/>
          <c:w val="0.79567307692307709"/>
          <c:h val="0.5080009921894378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D8-4B00-8566-7E5DD0246572}"/>
              </c:ext>
            </c:extLst>
          </c:dPt>
          <c:cat>
            <c:strRef>
              <c:f>[1]Sheet1!$N$174:$N$179</c:f>
              <c:strCache>
                <c:ptCount val="6"/>
                <c:pt idx="0">
                  <c:v>Current Market Price</c:v>
                </c:pt>
                <c:pt idx="1">
                  <c:v>Intrinsic Value Price</c:v>
                </c:pt>
                <c:pt idx="2">
                  <c:v>Dividend Discount Model</c:v>
                </c:pt>
                <c:pt idx="3">
                  <c:v>Comparable Trading Multiples</c:v>
                </c:pt>
                <c:pt idx="4">
                  <c:v>Comparable Acquisition Multiples</c:v>
                </c:pt>
                <c:pt idx="5">
                  <c:v>DCF Analysis</c:v>
                </c:pt>
              </c:strCache>
            </c:strRef>
          </c:cat>
          <c:val>
            <c:numRef>
              <c:f>[1]Sheet1!$O$174:$O$179</c:f>
              <c:numCache>
                <c:formatCode>General</c:formatCode>
                <c:ptCount val="6"/>
                <c:pt idx="0">
                  <c:v>77.929999999999993</c:v>
                </c:pt>
                <c:pt idx="1">
                  <c:v>83.104456454327988</c:v>
                </c:pt>
                <c:pt idx="2">
                  <c:v>68.989547038327586</c:v>
                </c:pt>
                <c:pt idx="3">
                  <c:v>82.883996447350881</c:v>
                </c:pt>
                <c:pt idx="4">
                  <c:v>68.995314460664929</c:v>
                </c:pt>
                <c:pt idx="5">
                  <c:v>85.507134472019729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8-4B00-8566-7E5DD0246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658728"/>
        <c:axId val="1"/>
      </c:barChart>
      <c:catAx>
        <c:axId val="44865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658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782743</xdr:colOff>
      <xdr:row>5</xdr:row>
      <xdr:rowOff>133350</xdr:rowOff>
    </xdr:from>
    <xdr:to>
      <xdr:col>2</xdr:col>
      <xdr:colOff>542078</xdr:colOff>
      <xdr:row>5</xdr:row>
      <xdr:rowOff>133350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E11B8115-0AE4-439E-9138-61B37AD2D415}"/>
            </a:ext>
          </a:extLst>
        </xdr:cNvPr>
        <xdr:cNvSpPr>
          <a:spLocks noChangeShapeType="1"/>
        </xdr:cNvSpPr>
      </xdr:nvSpPr>
      <xdr:spPr bwMode="auto">
        <a:xfrm>
          <a:off x="1116118" y="952500"/>
          <a:ext cx="5499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461010</xdr:colOff>
      <xdr:row>20</xdr:row>
      <xdr:rowOff>83820</xdr:rowOff>
    </xdr:from>
    <xdr:to>
      <xdr:col>10</xdr:col>
      <xdr:colOff>461010</xdr:colOff>
      <xdr:row>23</xdr:row>
      <xdr:rowOff>110490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A8F8CC2C-3642-4CEF-BA4D-90586CFC9705}"/>
            </a:ext>
          </a:extLst>
        </xdr:cNvPr>
        <xdr:cNvSpPr>
          <a:spLocks noChangeShapeType="1"/>
        </xdr:cNvSpPr>
      </xdr:nvSpPr>
      <xdr:spPr bwMode="auto">
        <a:xfrm flipV="1">
          <a:off x="11330940" y="11723370"/>
          <a:ext cx="0" cy="5753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23</xdr:row>
      <xdr:rowOff>91440</xdr:rowOff>
    </xdr:from>
    <xdr:to>
      <xdr:col>10</xdr:col>
      <xdr:colOff>472440</xdr:colOff>
      <xdr:row>23</xdr:row>
      <xdr:rowOff>91440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3EECDF27-8026-42C3-BC36-4C193865BDC1}"/>
            </a:ext>
          </a:extLst>
        </xdr:cNvPr>
        <xdr:cNvSpPr>
          <a:spLocks noChangeShapeType="1"/>
        </xdr:cNvSpPr>
      </xdr:nvSpPr>
      <xdr:spPr bwMode="auto">
        <a:xfrm>
          <a:off x="10881360" y="1227963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461010</xdr:colOff>
      <xdr:row>26</xdr:row>
      <xdr:rowOff>83820</xdr:rowOff>
    </xdr:from>
    <xdr:to>
      <xdr:col>10</xdr:col>
      <xdr:colOff>461010</xdr:colOff>
      <xdr:row>29</xdr:row>
      <xdr:rowOff>110490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6E17629C-30C7-46B8-9B48-AEA5FC8F169B}"/>
            </a:ext>
          </a:extLst>
        </xdr:cNvPr>
        <xdr:cNvSpPr>
          <a:spLocks noChangeShapeType="1"/>
        </xdr:cNvSpPr>
      </xdr:nvSpPr>
      <xdr:spPr bwMode="auto">
        <a:xfrm flipV="1">
          <a:off x="10467552" y="3637703"/>
          <a:ext cx="0" cy="4965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29</xdr:row>
      <xdr:rowOff>91440</xdr:rowOff>
    </xdr:from>
    <xdr:to>
      <xdr:col>10</xdr:col>
      <xdr:colOff>472440</xdr:colOff>
      <xdr:row>29</xdr:row>
      <xdr:rowOff>91440</xdr:rowOff>
    </xdr:to>
    <xdr:sp macro="" textlink="">
      <xdr:nvSpPr>
        <xdr:cNvPr id="3" name="Line 22">
          <a:extLst>
            <a:ext uri="{FF2B5EF4-FFF2-40B4-BE49-F238E27FC236}">
              <a16:creationId xmlns:a16="http://schemas.microsoft.com/office/drawing/2014/main" id="{14B673CF-25F0-445F-83A3-4B178896EAB0}"/>
            </a:ext>
          </a:extLst>
        </xdr:cNvPr>
        <xdr:cNvSpPr>
          <a:spLocks noChangeShapeType="1"/>
        </xdr:cNvSpPr>
      </xdr:nvSpPr>
      <xdr:spPr bwMode="auto">
        <a:xfrm>
          <a:off x="10019030" y="4113107"/>
          <a:ext cx="46630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15</xdr:row>
      <xdr:rowOff>30480</xdr:rowOff>
    </xdr:from>
    <xdr:to>
      <xdr:col>3</xdr:col>
      <xdr:colOff>685800</xdr:colOff>
      <xdr:row>27</xdr:row>
      <xdr:rowOff>76200</xdr:rowOff>
    </xdr:to>
    <xdr:graphicFrame macro="">
      <xdr:nvGraphicFramePr>
        <xdr:cNvPr id="14" name="Chart 20">
          <a:extLst>
            <a:ext uri="{FF2B5EF4-FFF2-40B4-BE49-F238E27FC236}">
              <a16:creationId xmlns:a16="http://schemas.microsoft.com/office/drawing/2014/main" id="{5CC370AC-20BF-4D6C-9D84-27E6C83A6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rou/Documents/Baruch%20offnline/FIN%20Spreadsheets/public_company_hyatt_valuation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4">
          <cell r="N174" t="str">
            <v>Current Market Price</v>
          </cell>
          <cell r="O174">
            <v>77.929999999999993</v>
          </cell>
        </row>
        <row r="175">
          <cell r="N175" t="str">
            <v>Intrinsic Value Price</v>
          </cell>
          <cell r="O175">
            <v>83.104456454327988</v>
          </cell>
        </row>
        <row r="176">
          <cell r="N176" t="str">
            <v>Dividend Discount Model</v>
          </cell>
          <cell r="O176">
            <v>68.989547038327586</v>
          </cell>
        </row>
        <row r="177">
          <cell r="N177" t="str">
            <v>Comparable Trading Multiples</v>
          </cell>
          <cell r="O177">
            <v>82.883996447350881</v>
          </cell>
        </row>
        <row r="178">
          <cell r="N178" t="str">
            <v>Comparable Acquisition Multiples</v>
          </cell>
          <cell r="O178">
            <v>68.995314460664929</v>
          </cell>
        </row>
        <row r="179">
          <cell r="N179" t="str">
            <v>DCF Analysis</v>
          </cell>
          <cell r="O179">
            <v>85.507134472019729</v>
          </cell>
        </row>
      </sheetData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0B79-0A33-4727-B619-14A429A42C84}">
  <dimension ref="A1:I23"/>
  <sheetViews>
    <sheetView showGridLines="0" workbookViewId="0">
      <selection activeCell="B4" sqref="B4:I22"/>
    </sheetView>
  </sheetViews>
  <sheetFormatPr defaultRowHeight="14.5" x14ac:dyDescent="0.35"/>
  <cols>
    <col min="1" max="1" width="4.54296875" customWidth="1"/>
    <col min="2" max="2" width="11" customWidth="1"/>
    <col min="3" max="3" width="11.36328125" customWidth="1"/>
    <col min="4" max="4" width="11.26953125" customWidth="1"/>
    <col min="5" max="5" width="12.1796875" customWidth="1"/>
    <col min="6" max="6" width="11.08984375" customWidth="1"/>
    <col min="7" max="7" width="9.90625" bestFit="1" customWidth="1"/>
    <col min="8" max="8" width="10" bestFit="1" customWidth="1"/>
    <col min="9" max="9" width="13" customWidth="1"/>
  </cols>
  <sheetData>
    <row r="1" spans="1:9" ht="20" x14ac:dyDescent="0.4">
      <c r="A1" s="19"/>
      <c r="B1" s="20" t="s">
        <v>40</v>
      </c>
      <c r="C1" s="21"/>
    </row>
    <row r="2" spans="1:9" ht="10.5" customHeight="1" x14ac:dyDescent="0.35">
      <c r="A2" s="19"/>
      <c r="B2" s="22" t="s">
        <v>41</v>
      </c>
      <c r="C2" s="21"/>
    </row>
    <row r="3" spans="1:9" ht="10.5" customHeight="1" x14ac:dyDescent="0.35"/>
    <row r="4" spans="1:9" ht="18.5" customHeight="1" x14ac:dyDescent="0.35">
      <c r="A4" s="19"/>
      <c r="B4" s="99" t="s">
        <v>265</v>
      </c>
      <c r="C4" s="89"/>
      <c r="D4" s="90"/>
      <c r="E4" s="90"/>
      <c r="F4" s="90"/>
      <c r="G4" s="90"/>
      <c r="H4" s="90"/>
      <c r="I4" s="90"/>
    </row>
    <row r="5" spans="1:9" ht="8.25" customHeight="1" x14ac:dyDescent="0.35">
      <c r="A5" s="19"/>
    </row>
    <row r="6" spans="1:9" ht="15.75" customHeight="1" x14ac:dyDescent="0.35">
      <c r="A6" s="19"/>
      <c r="B6" s="86" t="s">
        <v>83</v>
      </c>
      <c r="D6" s="169" t="s">
        <v>84</v>
      </c>
      <c r="E6" s="169" t="s">
        <v>85</v>
      </c>
      <c r="F6" s="169" t="s">
        <v>86</v>
      </c>
      <c r="G6" s="169" t="s">
        <v>87</v>
      </c>
      <c r="H6" s="169" t="s">
        <v>88</v>
      </c>
      <c r="I6" s="170" t="s">
        <v>89</v>
      </c>
    </row>
    <row r="7" spans="1:9" ht="9.75" customHeight="1" thickBot="1" x14ac:dyDescent="0.4">
      <c r="A7" s="19"/>
      <c r="D7" s="19"/>
      <c r="E7" s="19"/>
      <c r="F7" s="19"/>
      <c r="G7" s="19"/>
      <c r="H7" s="19"/>
      <c r="I7" s="87"/>
    </row>
    <row r="8" spans="1:9" ht="43.5" customHeight="1" thickBot="1" x14ac:dyDescent="0.4">
      <c r="A8" s="19"/>
      <c r="B8" s="91" t="s">
        <v>90</v>
      </c>
      <c r="C8" s="128" t="s">
        <v>91</v>
      </c>
      <c r="D8" s="92" t="s">
        <v>266</v>
      </c>
      <c r="E8" s="92" t="s">
        <v>262</v>
      </c>
      <c r="F8" s="92" t="s">
        <v>93</v>
      </c>
      <c r="G8" s="93" t="s">
        <v>267</v>
      </c>
      <c r="H8" s="94" t="s">
        <v>125</v>
      </c>
      <c r="I8" s="95" t="s">
        <v>264</v>
      </c>
    </row>
    <row r="9" spans="1:9" ht="15.75" hidden="1" customHeight="1" x14ac:dyDescent="0.35">
      <c r="A9" s="19"/>
      <c r="B9" s="96" t="s">
        <v>95</v>
      </c>
      <c r="C9" s="372" t="s">
        <v>96</v>
      </c>
      <c r="D9" s="373">
        <v>64.37</v>
      </c>
      <c r="E9" s="374">
        <v>32.695999999999998</v>
      </c>
      <c r="F9" s="375">
        <v>2104.6415200000001</v>
      </c>
      <c r="G9" s="376">
        <v>328.71</v>
      </c>
      <c r="H9" s="377"/>
      <c r="I9" s="378">
        <v>2433.3515200000002</v>
      </c>
    </row>
    <row r="10" spans="1:9" ht="15.75" hidden="1" customHeight="1" x14ac:dyDescent="0.35">
      <c r="A10" s="19"/>
      <c r="B10" s="97" t="s">
        <v>97</v>
      </c>
      <c r="C10" s="379" t="s">
        <v>98</v>
      </c>
      <c r="D10" s="380">
        <v>30.76</v>
      </c>
      <c r="E10" s="381">
        <v>74.518000000000001</v>
      </c>
      <c r="F10" s="375">
        <v>2292.1736800000003</v>
      </c>
      <c r="G10" s="382">
        <v>402.1</v>
      </c>
      <c r="H10" s="383"/>
      <c r="I10" s="384">
        <v>2694.2736800000002</v>
      </c>
    </row>
    <row r="11" spans="1:9" ht="15.75" hidden="1" customHeight="1" x14ac:dyDescent="0.35">
      <c r="A11" s="19"/>
      <c r="B11" s="97" t="s">
        <v>99</v>
      </c>
      <c r="C11" s="379" t="s">
        <v>100</v>
      </c>
      <c r="D11" s="380">
        <v>24.35</v>
      </c>
      <c r="E11" s="381">
        <v>380.96499999999997</v>
      </c>
      <c r="F11" s="375">
        <v>9276.4977500000005</v>
      </c>
      <c r="G11" s="382">
        <v>3647</v>
      </c>
      <c r="H11" s="383"/>
      <c r="I11" s="384">
        <v>12923.49775</v>
      </c>
    </row>
    <row r="12" spans="1:9" ht="15.75" hidden="1" customHeight="1" x14ac:dyDescent="0.35">
      <c r="A12" s="19"/>
      <c r="B12" s="97" t="s">
        <v>101</v>
      </c>
      <c r="C12" s="379" t="s">
        <v>102</v>
      </c>
      <c r="D12" s="380">
        <v>23.6</v>
      </c>
      <c r="E12" s="381">
        <v>5.2530000000000001</v>
      </c>
      <c r="F12" s="375">
        <v>123.97080000000001</v>
      </c>
      <c r="G12" s="382">
        <v>765.2</v>
      </c>
      <c r="H12" s="383"/>
      <c r="I12" s="384">
        <v>889.1708000000001</v>
      </c>
    </row>
    <row r="13" spans="1:9" ht="15.75" hidden="1" customHeight="1" x14ac:dyDescent="0.35">
      <c r="A13" s="19"/>
      <c r="B13" s="97" t="s">
        <v>103</v>
      </c>
      <c r="C13" s="379" t="s">
        <v>104</v>
      </c>
      <c r="D13" s="380">
        <v>8.52</v>
      </c>
      <c r="E13" s="381">
        <v>201.8</v>
      </c>
      <c r="F13" s="375">
        <v>1719.336</v>
      </c>
      <c r="G13" s="382">
        <v>925.61</v>
      </c>
      <c r="H13" s="383"/>
      <c r="I13" s="384">
        <v>2644.9459999999999</v>
      </c>
    </row>
    <row r="14" spans="1:9" ht="15.75" hidden="1" customHeight="1" x14ac:dyDescent="0.35">
      <c r="A14" s="19"/>
      <c r="B14" s="97" t="s">
        <v>105</v>
      </c>
      <c r="C14" s="380" t="s">
        <v>106</v>
      </c>
      <c r="D14" s="380">
        <v>19.920000000000002</v>
      </c>
      <c r="E14" s="381">
        <v>21.282</v>
      </c>
      <c r="F14" s="375">
        <v>423.93744000000004</v>
      </c>
      <c r="G14" s="382">
        <v>198.43</v>
      </c>
      <c r="H14" s="383"/>
      <c r="I14" s="384">
        <v>622.36743999999999</v>
      </c>
    </row>
    <row r="15" spans="1:9" ht="15.75" hidden="1" customHeight="1" x14ac:dyDescent="0.35">
      <c r="A15" s="19"/>
      <c r="B15" s="97" t="s">
        <v>107</v>
      </c>
      <c r="C15" s="380" t="s">
        <v>108</v>
      </c>
      <c r="D15" s="380">
        <v>67.510000000000005</v>
      </c>
      <c r="E15" s="381">
        <v>216.71100000000001</v>
      </c>
      <c r="F15" s="375">
        <v>14630.159610000002</v>
      </c>
      <c r="G15" s="382">
        <v>1325</v>
      </c>
      <c r="H15" s="383"/>
      <c r="I15" s="384">
        <v>15955.159610000002</v>
      </c>
    </row>
    <row r="16" spans="1:9" ht="15.75" hidden="1" customHeight="1" x14ac:dyDescent="0.35">
      <c r="A16" s="19"/>
      <c r="B16" s="97" t="s">
        <v>109</v>
      </c>
      <c r="C16" s="385" t="s">
        <v>110</v>
      </c>
      <c r="D16" s="380">
        <v>28.92</v>
      </c>
      <c r="E16" s="381">
        <v>31.791</v>
      </c>
      <c r="F16" s="375">
        <v>919.3957200000001</v>
      </c>
      <c r="G16" s="382">
        <v>626.63</v>
      </c>
      <c r="H16" s="383"/>
      <c r="I16" s="386">
        <v>1546.0257200000001</v>
      </c>
    </row>
    <row r="17" spans="1:9" ht="18" customHeight="1" thickBot="1" x14ac:dyDescent="0.4">
      <c r="A17" s="19"/>
      <c r="B17" s="97" t="s">
        <v>61</v>
      </c>
      <c r="C17" s="385" t="s">
        <v>111</v>
      </c>
      <c r="D17" s="280">
        <v>113.75</v>
      </c>
      <c r="E17" s="387">
        <f>12532350/113.75</f>
        <v>110174.5054945055</v>
      </c>
      <c r="F17" s="388">
        <f>+E17*D17</f>
        <v>12532350</v>
      </c>
      <c r="G17" s="389">
        <v>3450000</v>
      </c>
      <c r="H17" s="389">
        <v>1150000</v>
      </c>
      <c r="I17" s="390">
        <f>+F17+G17-H17</f>
        <v>14832350</v>
      </c>
    </row>
    <row r="18" spans="1:9" x14ac:dyDescent="0.35">
      <c r="A18" s="19"/>
    </row>
    <row r="19" spans="1:9" ht="15" thickBot="1" x14ac:dyDescent="0.4">
      <c r="A19" s="19"/>
    </row>
    <row r="20" spans="1:9" ht="15" thickBot="1" x14ac:dyDescent="0.4">
      <c r="A20" s="19"/>
      <c r="B20" s="103" t="s">
        <v>286</v>
      </c>
      <c r="D20" s="280">
        <f>+D17</f>
        <v>113.75</v>
      </c>
    </row>
    <row r="21" spans="1:9" ht="17.75" customHeight="1" thickBot="1" x14ac:dyDescent="0.4">
      <c r="A21" s="19"/>
      <c r="B21" s="103" t="s">
        <v>288</v>
      </c>
      <c r="D21" s="124">
        <f>+I17</f>
        <v>14832350</v>
      </c>
    </row>
    <row r="22" spans="1:9" x14ac:dyDescent="0.35">
      <c r="A22" s="19"/>
    </row>
    <row r="23" spans="1:9" x14ac:dyDescent="0.35">
      <c r="I23" s="98" t="s">
        <v>316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02C5-ED3C-421E-899E-213AFEE06D08}">
  <dimension ref="B2:J37"/>
  <sheetViews>
    <sheetView showGridLines="0" tabSelected="1" workbookViewId="0">
      <selection activeCell="O5" sqref="O5"/>
    </sheetView>
  </sheetViews>
  <sheetFormatPr defaultRowHeight="14.5" x14ac:dyDescent="0.35"/>
  <cols>
    <col min="1" max="1" width="4.54296875" customWidth="1"/>
    <col min="2" max="2" width="38.90625" customWidth="1"/>
    <col min="3" max="3" width="9" bestFit="1" customWidth="1"/>
    <col min="4" max="4" width="11.26953125" customWidth="1"/>
    <col min="5" max="5" width="4.1796875" customWidth="1"/>
    <col min="6" max="8" width="9.90625" bestFit="1" customWidth="1"/>
    <col min="9" max="9" width="10.453125" bestFit="1" customWidth="1"/>
    <col min="10" max="10" width="9.90625" bestFit="1" customWidth="1"/>
    <col min="11" max="11" width="4" customWidth="1"/>
    <col min="12" max="12" width="2.453125" customWidth="1"/>
    <col min="14" max="14" width="9.7265625" bestFit="1" customWidth="1"/>
    <col min="16" max="16" width="9.7265625" bestFit="1" customWidth="1"/>
    <col min="18" max="22" width="9.7265625" bestFit="1" customWidth="1"/>
  </cols>
  <sheetData>
    <row r="2" spans="2:10" ht="20" x14ac:dyDescent="0.4">
      <c r="B2" s="20" t="s">
        <v>0</v>
      </c>
      <c r="C2" s="2"/>
      <c r="D2" s="2"/>
    </row>
    <row r="3" spans="2:10" ht="20" x14ac:dyDescent="0.4">
      <c r="B3" s="20"/>
      <c r="C3" s="2"/>
      <c r="D3" s="2"/>
    </row>
    <row r="4" spans="2:10" x14ac:dyDescent="0.35">
      <c r="B4" s="101" t="s">
        <v>313</v>
      </c>
      <c r="C4" s="90"/>
      <c r="D4" s="90"/>
      <c r="E4" s="90"/>
      <c r="F4" s="90"/>
      <c r="G4" s="90"/>
      <c r="H4" s="90"/>
      <c r="I4" s="90"/>
      <c r="J4" s="90"/>
    </row>
    <row r="5" spans="2:10" x14ac:dyDescent="0.35">
      <c r="B5" s="2"/>
      <c r="C5" s="402" t="s">
        <v>314</v>
      </c>
      <c r="D5" s="403"/>
      <c r="F5" s="401" t="s">
        <v>1</v>
      </c>
      <c r="G5" s="401"/>
      <c r="H5" s="401"/>
      <c r="I5" s="401"/>
      <c r="J5" s="401"/>
    </row>
    <row r="6" spans="2:10" x14ac:dyDescent="0.35">
      <c r="B6" s="2"/>
      <c r="C6" s="2"/>
      <c r="D6" s="2"/>
      <c r="F6" s="3"/>
      <c r="G6" s="3"/>
      <c r="H6" s="3"/>
      <c r="I6" s="349" t="s">
        <v>2</v>
      </c>
      <c r="J6" s="3"/>
    </row>
    <row r="7" spans="2:10" x14ac:dyDescent="0.35">
      <c r="B7" s="103"/>
      <c r="C7" s="348" t="s">
        <v>234</v>
      </c>
      <c r="D7" s="348" t="s">
        <v>3</v>
      </c>
      <c r="F7" s="291" t="s">
        <v>4</v>
      </c>
      <c r="G7" s="291" t="s">
        <v>5</v>
      </c>
      <c r="H7" s="291" t="s">
        <v>6</v>
      </c>
      <c r="I7" s="213" t="s">
        <v>7</v>
      </c>
      <c r="J7" s="291" t="s">
        <v>8</v>
      </c>
    </row>
    <row r="8" spans="2:10" x14ac:dyDescent="0.35">
      <c r="B8" t="s">
        <v>9</v>
      </c>
      <c r="C8" s="4">
        <v>960000</v>
      </c>
      <c r="D8" s="4">
        <v>1110000</v>
      </c>
      <c r="F8" s="4">
        <v>1228140</v>
      </c>
      <c r="G8" s="4">
        <v>1344199.848</v>
      </c>
      <c r="H8" s="4">
        <v>1442918.9540652002</v>
      </c>
      <c r="I8" s="5">
        <v>1529267.7156714478</v>
      </c>
      <c r="J8" s="4">
        <v>1605161.4860476251</v>
      </c>
    </row>
    <row r="9" spans="2:10" x14ac:dyDescent="0.35">
      <c r="B9" t="s">
        <v>10</v>
      </c>
      <c r="C9" s="4">
        <v>-345000</v>
      </c>
      <c r="D9" s="4">
        <v>-420000</v>
      </c>
      <c r="F9" s="4">
        <v>-463078.2</v>
      </c>
      <c r="G9" s="4">
        <v>-506823.33804</v>
      </c>
      <c r="H9" s="4">
        <v>-544053.13711893605</v>
      </c>
      <c r="I9" s="5">
        <v>-576709.25695468695</v>
      </c>
      <c r="J9" s="4">
        <v>-605474.36387137498</v>
      </c>
    </row>
    <row r="10" spans="2:10" x14ac:dyDescent="0.35">
      <c r="B10" t="s">
        <v>11</v>
      </c>
      <c r="C10" s="6">
        <v>-230000</v>
      </c>
      <c r="D10" s="6">
        <v>-257000</v>
      </c>
      <c r="F10" s="6">
        <v>-271501.2</v>
      </c>
      <c r="G10" s="6">
        <v>-289448.48784000002</v>
      </c>
      <c r="H10" s="6">
        <v>-306441.64132521598</v>
      </c>
      <c r="I10" s="7">
        <v>-322899.94850371598</v>
      </c>
      <c r="J10" s="6">
        <v>-338999.37669631001</v>
      </c>
    </row>
    <row r="11" spans="2:10" x14ac:dyDescent="0.35">
      <c r="B11" s="8" t="s">
        <v>12</v>
      </c>
      <c r="C11" s="9">
        <f>SUM(C8:C10)</f>
        <v>385000</v>
      </c>
      <c r="D11" s="9">
        <f>SUM(D8:D10)</f>
        <v>433000</v>
      </c>
      <c r="E11" s="9"/>
      <c r="F11" s="9">
        <f t="shared" ref="F11:J11" si="0">SUM(F8:F10)</f>
        <v>493560.60000000003</v>
      </c>
      <c r="G11" s="9">
        <f t="shared" si="0"/>
        <v>547928.02211999986</v>
      </c>
      <c r="H11" s="9">
        <f t="shared" si="0"/>
        <v>592424.17562104808</v>
      </c>
      <c r="I11" s="10">
        <f t="shared" si="0"/>
        <v>629658.51021304494</v>
      </c>
      <c r="J11" s="9">
        <f t="shared" si="0"/>
        <v>660687.74547994009</v>
      </c>
    </row>
    <row r="12" spans="2:10" x14ac:dyDescent="0.35">
      <c r="B12" t="s">
        <v>13</v>
      </c>
      <c r="C12" s="6">
        <v>-60000</v>
      </c>
      <c r="D12" s="6">
        <v>-65000</v>
      </c>
      <c r="E12" s="4"/>
      <c r="F12" s="6">
        <v>-73688.399999999994</v>
      </c>
      <c r="G12" s="6">
        <v>-80651.990879999998</v>
      </c>
      <c r="H12" s="6">
        <v>-86575.137243912002</v>
      </c>
      <c r="I12" s="7">
        <v>-91756.062940286865</v>
      </c>
      <c r="J12" s="6">
        <v>-96309.689162857496</v>
      </c>
    </row>
    <row r="13" spans="2:10" x14ac:dyDescent="0.35">
      <c r="B13" s="8" t="s">
        <v>14</v>
      </c>
      <c r="C13" s="4">
        <f>+C11+C12</f>
        <v>325000</v>
      </c>
      <c r="D13" s="4">
        <f>+D11+D12</f>
        <v>368000</v>
      </c>
      <c r="E13" s="9"/>
      <c r="F13" s="9">
        <f t="shared" ref="F13:J13" si="1">+F11+F12</f>
        <v>419872.20000000007</v>
      </c>
      <c r="G13" s="9">
        <f t="shared" si="1"/>
        <v>467276.03123999987</v>
      </c>
      <c r="H13" s="9">
        <f t="shared" si="1"/>
        <v>505849.03837713611</v>
      </c>
      <c r="I13" s="10">
        <f t="shared" si="1"/>
        <v>537902.44727275812</v>
      </c>
      <c r="J13" s="9">
        <f t="shared" si="1"/>
        <v>564378.05631708261</v>
      </c>
    </row>
    <row r="14" spans="2:10" x14ac:dyDescent="0.35">
      <c r="B14" t="s">
        <v>15</v>
      </c>
      <c r="C14" s="4"/>
      <c r="D14" s="4"/>
      <c r="E14" s="4"/>
      <c r="F14" s="6">
        <v>-129768.88</v>
      </c>
      <c r="G14" s="6">
        <v>-147070.412496</v>
      </c>
      <c r="H14" s="6">
        <v>-156959.615350854</v>
      </c>
      <c r="I14" s="7">
        <v>-158460.978909103</v>
      </c>
      <c r="J14" s="6">
        <v>-162851.22252683301</v>
      </c>
    </row>
    <row r="15" spans="2:10" x14ac:dyDescent="0.35">
      <c r="B15" s="8" t="s">
        <v>16</v>
      </c>
      <c r="C15" s="4"/>
      <c r="D15" s="4"/>
      <c r="E15" s="9"/>
      <c r="F15" s="9">
        <f>+F13+F14</f>
        <v>290103.32000000007</v>
      </c>
      <c r="G15" s="9">
        <f t="shared" ref="G15:J15" si="2">+G13+G14</f>
        <v>320205.61874399986</v>
      </c>
      <c r="H15" s="9">
        <f t="shared" si="2"/>
        <v>348889.42302628211</v>
      </c>
      <c r="I15" s="10">
        <f t="shared" si="2"/>
        <v>379441.46836365515</v>
      </c>
      <c r="J15" s="9">
        <f t="shared" si="2"/>
        <v>401526.8337902496</v>
      </c>
    </row>
    <row r="16" spans="2:10" x14ac:dyDescent="0.35">
      <c r="B16" t="s">
        <v>17</v>
      </c>
      <c r="C16" s="4"/>
      <c r="D16" s="4"/>
      <c r="E16" s="4"/>
      <c r="F16" s="4">
        <f>-F12</f>
        <v>73688.399999999994</v>
      </c>
      <c r="G16" s="4">
        <f t="shared" ref="G16:J16" si="3">-G12</f>
        <v>80651.990879999998</v>
      </c>
      <c r="H16" s="4">
        <f t="shared" si="3"/>
        <v>86575.137243912002</v>
      </c>
      <c r="I16" s="5">
        <f t="shared" si="3"/>
        <v>91756.062940286865</v>
      </c>
      <c r="J16" s="4">
        <f t="shared" si="3"/>
        <v>96309.689162857496</v>
      </c>
    </row>
    <row r="17" spans="2:10" x14ac:dyDescent="0.35">
      <c r="B17" t="s">
        <v>18</v>
      </c>
      <c r="C17" s="4"/>
      <c r="D17" s="4"/>
      <c r="E17" s="4"/>
      <c r="F17" s="4">
        <v>2870.189189189201</v>
      </c>
      <c r="G17" s="4">
        <v>-4548.2913405405416</v>
      </c>
      <c r="H17" s="4">
        <v>-3868.7217241767667</v>
      </c>
      <c r="I17" s="5">
        <v>-3383.9379548394299</v>
      </c>
      <c r="J17" s="4">
        <v>-2974.2153255528992</v>
      </c>
    </row>
    <row r="18" spans="2:10" x14ac:dyDescent="0.35">
      <c r="B18" t="s">
        <v>19</v>
      </c>
      <c r="C18" s="4"/>
      <c r="D18" s="4"/>
      <c r="E18" s="4"/>
      <c r="F18" s="6">
        <v>-193625.67567567568</v>
      </c>
      <c r="G18" s="6">
        <v>-211923.39945945944</v>
      </c>
      <c r="H18" s="6">
        <v>-227487.22248775678</v>
      </c>
      <c r="I18" s="7">
        <v>-241100.76598423725</v>
      </c>
      <c r="J18" s="6">
        <v>-253066.00005255349</v>
      </c>
    </row>
    <row r="19" spans="2:10" x14ac:dyDescent="0.35">
      <c r="B19" s="8" t="s">
        <v>20</v>
      </c>
      <c r="C19" s="4"/>
      <c r="D19" s="4"/>
      <c r="E19" s="9"/>
      <c r="F19" s="9">
        <f>SUM(F15:F18)</f>
        <v>173036.23351351364</v>
      </c>
      <c r="G19" s="9">
        <f t="shared" ref="G19:J19" si="4">SUM(G15:G18)</f>
        <v>184385.91882399985</v>
      </c>
      <c r="H19" s="9">
        <f t="shared" si="4"/>
        <v>204108.61605826052</v>
      </c>
      <c r="I19" s="10">
        <f t="shared" si="4"/>
        <v>226712.82736486534</v>
      </c>
      <c r="J19" s="9">
        <f t="shared" si="4"/>
        <v>241796.30757500068</v>
      </c>
    </row>
    <row r="20" spans="2:10" x14ac:dyDescent="0.35">
      <c r="B20" t="s">
        <v>21</v>
      </c>
      <c r="C20" s="4"/>
      <c r="D20" s="4"/>
      <c r="E20" s="4"/>
      <c r="F20" s="4">
        <v>-125450</v>
      </c>
      <c r="G20" s="4">
        <v>-129600</v>
      </c>
      <c r="H20" s="4">
        <v>-153450</v>
      </c>
      <c r="I20" s="5">
        <v>-201750</v>
      </c>
      <c r="J20" s="4">
        <v>-237250</v>
      </c>
    </row>
    <row r="21" spans="2:10" x14ac:dyDescent="0.35">
      <c r="B21" s="8" t="s">
        <v>22</v>
      </c>
      <c r="C21" s="4"/>
      <c r="D21" s="4"/>
      <c r="E21" s="9"/>
      <c r="F21" s="11">
        <f>+F19+F20</f>
        <v>47586.233513513638</v>
      </c>
      <c r="G21" s="11">
        <f t="shared" ref="G21:J21" si="5">+G19+G20</f>
        <v>54785.918823999848</v>
      </c>
      <c r="H21" s="11">
        <f t="shared" si="5"/>
        <v>50658.616058260523</v>
      </c>
      <c r="I21" s="12">
        <f t="shared" si="5"/>
        <v>24962.827364865341</v>
      </c>
      <c r="J21" s="11">
        <f t="shared" si="5"/>
        <v>4546.3075750006828</v>
      </c>
    </row>
    <row r="22" spans="2:10" x14ac:dyDescent="0.35">
      <c r="I22" s="204"/>
    </row>
    <row r="23" spans="2:10" x14ac:dyDescent="0.35">
      <c r="B23" s="13" t="s">
        <v>23</v>
      </c>
      <c r="D23" s="13" t="s">
        <v>24</v>
      </c>
      <c r="I23" s="204"/>
    </row>
    <row r="24" spans="2:10" x14ac:dyDescent="0.35">
      <c r="B24" t="s">
        <v>25</v>
      </c>
      <c r="D24" s="14" t="s">
        <v>26</v>
      </c>
      <c r="E24" s="57">
        <v>7.5</v>
      </c>
      <c r="I24" s="205">
        <f>+E24*I11</f>
        <v>4722438.8265978368</v>
      </c>
    </row>
    <row r="25" spans="2:10" x14ac:dyDescent="0.35">
      <c r="B25" t="s">
        <v>27</v>
      </c>
      <c r="D25" s="14" t="s">
        <v>28</v>
      </c>
      <c r="E25" s="56">
        <v>0.1</v>
      </c>
      <c r="I25" s="7">
        <f>+J19/(E25-E26)</f>
        <v>4835926.1515000137</v>
      </c>
    </row>
    <row r="26" spans="2:10" x14ac:dyDescent="0.35">
      <c r="B26" t="s">
        <v>29</v>
      </c>
      <c r="D26" s="14" t="s">
        <v>30</v>
      </c>
      <c r="E26" s="56">
        <v>0.05</v>
      </c>
      <c r="I26" s="205">
        <f>AVERAGE(I24:I25)</f>
        <v>4779182.4890489252</v>
      </c>
    </row>
    <row r="27" spans="2:10" x14ac:dyDescent="0.35">
      <c r="B27" t="s">
        <v>31</v>
      </c>
      <c r="D27" s="14"/>
      <c r="I27" s="7">
        <v>-1030000</v>
      </c>
    </row>
    <row r="28" spans="2:10" x14ac:dyDescent="0.35">
      <c r="B28" t="s">
        <v>32</v>
      </c>
      <c r="D28" s="14"/>
      <c r="I28" s="205">
        <f>SUM(I26:I27)</f>
        <v>3749182.4890489252</v>
      </c>
    </row>
    <row r="29" spans="2:10" x14ac:dyDescent="0.35">
      <c r="D29" s="14"/>
      <c r="I29" s="204"/>
    </row>
    <row r="30" spans="2:10" x14ac:dyDescent="0.35">
      <c r="B30" t="s">
        <v>33</v>
      </c>
      <c r="D30" s="14" t="s">
        <v>315</v>
      </c>
      <c r="E30" s="56">
        <v>0.2</v>
      </c>
      <c r="F30" s="15">
        <f>+F21</f>
        <v>47586.233513513638</v>
      </c>
      <c r="G30" s="15">
        <f>+G21</f>
        <v>54785.918823999848</v>
      </c>
      <c r="H30" s="15">
        <f>+H21</f>
        <v>50658.616058260523</v>
      </c>
      <c r="I30" s="206">
        <f>+I28+I21</f>
        <v>3774145.3164137905</v>
      </c>
    </row>
    <row r="31" spans="2:10" x14ac:dyDescent="0.35">
      <c r="D31" s="14"/>
      <c r="E31" s="81"/>
      <c r="F31" s="16"/>
      <c r="G31" s="16"/>
      <c r="H31" s="16"/>
      <c r="I31" s="205"/>
    </row>
    <row r="32" spans="2:10" x14ac:dyDescent="0.35">
      <c r="B32" t="s">
        <v>35</v>
      </c>
      <c r="D32" s="16">
        <f>SUM(F32:I32)</f>
        <v>1927110.5277303311</v>
      </c>
      <c r="F32" s="4">
        <f>F30/(1+$E$30)^1</f>
        <v>39655.194594594701</v>
      </c>
      <c r="G32" s="4">
        <f>G30/(1+$E$30)^2</f>
        <v>38045.776961111005</v>
      </c>
      <c r="H32" s="4">
        <f>H30/(1+$E$30)^3</f>
        <v>29316.328737419284</v>
      </c>
      <c r="I32" s="5">
        <f>I30/(1+$E$30)^4</f>
        <v>1820093.2274372061</v>
      </c>
    </row>
    <row r="33" spans="2:10" x14ac:dyDescent="0.35">
      <c r="B33" t="s">
        <v>36</v>
      </c>
      <c r="D33" s="17">
        <f>1180000+10000</f>
        <v>1190000</v>
      </c>
      <c r="I33" s="204"/>
    </row>
    <row r="34" spans="2:10" x14ac:dyDescent="0.35">
      <c r="B34" t="s">
        <v>37</v>
      </c>
      <c r="D34" s="17">
        <v>-65800</v>
      </c>
      <c r="I34" s="204"/>
    </row>
    <row r="35" spans="2:10" ht="15" thickBot="1" x14ac:dyDescent="0.4">
      <c r="B35" s="8" t="s">
        <v>38</v>
      </c>
      <c r="D35" s="18">
        <f>SUM(D32:D34)</f>
        <v>3051310.5277303308</v>
      </c>
      <c r="I35" s="347"/>
    </row>
    <row r="36" spans="2:10" x14ac:dyDescent="0.35">
      <c r="B36" t="s">
        <v>39</v>
      </c>
      <c r="D36" s="350">
        <f>+D35/D11</f>
        <v>7.0469065305550362</v>
      </c>
    </row>
    <row r="37" spans="2:10" x14ac:dyDescent="0.35">
      <c r="J37" s="98" t="s">
        <v>330</v>
      </c>
    </row>
  </sheetData>
  <mergeCells count="2">
    <mergeCell ref="F5:J5"/>
    <mergeCell ref="C5:D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F672-C72C-4898-8A96-B91F17E0F7E8}">
  <dimension ref="B2:K61"/>
  <sheetViews>
    <sheetView showGridLines="0" workbookViewId="0">
      <selection activeCell="B2" sqref="B2:K60"/>
    </sheetView>
  </sheetViews>
  <sheetFormatPr defaultRowHeight="14.5" x14ac:dyDescent="0.35"/>
  <cols>
    <col min="1" max="1" width="4.54296875" customWidth="1"/>
    <col min="2" max="2" width="30.36328125" customWidth="1"/>
    <col min="4" max="4" width="12.7265625" customWidth="1"/>
    <col min="5" max="5" width="10.54296875" customWidth="1"/>
    <col min="6" max="6" width="12.453125" customWidth="1"/>
    <col min="7" max="8" width="10.26953125" customWidth="1"/>
    <col min="9" max="9" width="12.453125" customWidth="1"/>
    <col min="10" max="10" width="11.36328125" customWidth="1"/>
    <col min="11" max="11" width="12.453125" customWidth="1"/>
    <col min="12" max="12" width="4" customWidth="1"/>
    <col min="13" max="13" width="2.81640625" customWidth="1"/>
    <col min="15" max="15" width="9.7265625" bestFit="1" customWidth="1"/>
    <col min="17" max="17" width="9.7265625" bestFit="1" customWidth="1"/>
    <col min="19" max="23" width="9.7265625" bestFit="1" customWidth="1"/>
  </cols>
  <sheetData>
    <row r="2" spans="2:11" ht="20" x14ac:dyDescent="0.4">
      <c r="B2" s="20" t="s">
        <v>0</v>
      </c>
      <c r="C2" s="2"/>
      <c r="D2" s="2"/>
      <c r="E2" s="2"/>
    </row>
    <row r="3" spans="2:11" ht="15.5" x14ac:dyDescent="0.35">
      <c r="B3" s="346" t="s">
        <v>235</v>
      </c>
      <c r="C3" s="2"/>
      <c r="D3" s="2"/>
      <c r="E3" s="2"/>
    </row>
    <row r="4" spans="2:11" ht="15.5" x14ac:dyDescent="0.35">
      <c r="B4" s="346"/>
      <c r="C4" s="2"/>
      <c r="D4" s="2"/>
      <c r="E4" s="2"/>
    </row>
    <row r="5" spans="2:11" x14ac:dyDescent="0.35">
      <c r="B5" s="101" t="s">
        <v>259</v>
      </c>
      <c r="C5" s="90"/>
      <c r="D5" s="90"/>
      <c r="E5" s="90"/>
      <c r="F5" s="90"/>
      <c r="G5" s="90"/>
      <c r="H5" s="90"/>
      <c r="I5" s="90"/>
      <c r="J5" s="90"/>
      <c r="K5" s="90"/>
    </row>
    <row r="6" spans="2:11" ht="39.5" x14ac:dyDescent="0.35">
      <c r="B6" s="287" t="s">
        <v>236</v>
      </c>
      <c r="C6" s="286" t="s">
        <v>240</v>
      </c>
      <c r="D6" s="285" t="s">
        <v>239</v>
      </c>
      <c r="E6" s="285" t="s">
        <v>246</v>
      </c>
      <c r="F6" s="286" t="s">
        <v>256</v>
      </c>
      <c r="G6" s="286" t="s">
        <v>192</v>
      </c>
      <c r="H6" s="287" t="s">
        <v>242</v>
      </c>
      <c r="I6" s="287"/>
      <c r="J6" s="286" t="s">
        <v>243</v>
      </c>
      <c r="K6" s="286" t="s">
        <v>239</v>
      </c>
    </row>
    <row r="7" spans="2:11" x14ac:dyDescent="0.35">
      <c r="B7" t="s">
        <v>214</v>
      </c>
      <c r="C7" s="58">
        <v>3.5</v>
      </c>
      <c r="D7" s="59">
        <f>+C7*E35</f>
        <v>1515500</v>
      </c>
      <c r="E7" s="40">
        <f>+D7/$D$11</f>
        <v>0.35596236969234679</v>
      </c>
      <c r="F7" s="61">
        <v>0.05</v>
      </c>
      <c r="G7" s="61">
        <f>+(F7*(1-$F$13))*E7</f>
        <v>1.3882532418001527E-2</v>
      </c>
      <c r="H7" t="s">
        <v>244</v>
      </c>
      <c r="J7" s="85">
        <v>9.5</v>
      </c>
      <c r="K7" s="16">
        <f>+J7*E35</f>
        <v>4113500</v>
      </c>
    </row>
    <row r="8" spans="2:11" x14ac:dyDescent="0.35">
      <c r="B8" t="s">
        <v>215</v>
      </c>
      <c r="C8" s="58">
        <v>2.5</v>
      </c>
      <c r="D8" s="62">
        <f>+C8*E35</f>
        <v>1082500</v>
      </c>
      <c r="E8" s="71">
        <f t="shared" ref="E8:E11" si="0">+D8/$D$11</f>
        <v>0.25425883549453343</v>
      </c>
      <c r="F8" s="63">
        <v>0.08</v>
      </c>
      <c r="G8" s="63">
        <f t="shared" ref="G8" si="1">+(F8*(1-$F$13))*E8</f>
        <v>1.5865751334858888E-2</v>
      </c>
      <c r="H8" t="s">
        <v>245</v>
      </c>
      <c r="I8" s="50">
        <v>3.5000000000000003E-2</v>
      </c>
      <c r="J8" s="58"/>
      <c r="K8" s="16">
        <f>+I8*K7</f>
        <v>143972.5</v>
      </c>
    </row>
    <row r="9" spans="2:11" x14ac:dyDescent="0.35">
      <c r="B9" t="s">
        <v>237</v>
      </c>
      <c r="C9" s="58">
        <f>+D9/E35</f>
        <v>6</v>
      </c>
      <c r="D9" s="59">
        <f>+D8+D7</f>
        <v>2598000</v>
      </c>
      <c r="E9" s="40">
        <f t="shared" si="0"/>
        <v>0.61022120518688028</v>
      </c>
      <c r="F9" s="66"/>
      <c r="G9" s="61">
        <f>+G8+G7</f>
        <v>2.9748283752860413E-2</v>
      </c>
    </row>
    <row r="10" spans="2:11" x14ac:dyDescent="0.35">
      <c r="B10" t="s">
        <v>216</v>
      </c>
      <c r="C10" s="2"/>
      <c r="D10" s="62">
        <f>+K11-D9</f>
        <v>1659472.5</v>
      </c>
      <c r="E10" s="40">
        <f t="shared" si="0"/>
        <v>0.38977879481311978</v>
      </c>
      <c r="F10" s="70">
        <v>0.25</v>
      </c>
      <c r="G10" s="71">
        <f>+E10*F10</f>
        <v>9.7444698703279944E-2</v>
      </c>
    </row>
    <row r="11" spans="2:11" ht="15" thickBot="1" x14ac:dyDescent="0.4">
      <c r="B11" t="s">
        <v>238</v>
      </c>
      <c r="C11" s="2"/>
      <c r="D11" s="69">
        <f>+D10+D9</f>
        <v>4257472.5</v>
      </c>
      <c r="E11" s="73">
        <f t="shared" si="0"/>
        <v>1</v>
      </c>
      <c r="F11" s="60"/>
      <c r="G11" s="72">
        <f>SUM(G9:G10)</f>
        <v>0.12719298245614036</v>
      </c>
      <c r="K11" s="69">
        <f>SUM(K7:K10)</f>
        <v>4257472.5</v>
      </c>
    </row>
    <row r="12" spans="2:11" ht="7.5" customHeight="1" thickTop="1" x14ac:dyDescent="0.35">
      <c r="C12" s="2"/>
      <c r="D12" s="2"/>
    </row>
    <row r="13" spans="2:11" x14ac:dyDescent="0.35">
      <c r="C13" s="2"/>
      <c r="D13" s="2"/>
      <c r="E13" s="64" t="s">
        <v>241</v>
      </c>
      <c r="F13" s="65">
        <v>0.22</v>
      </c>
    </row>
    <row r="14" spans="2:11" x14ac:dyDescent="0.35">
      <c r="B14" s="34"/>
      <c r="C14" s="68"/>
      <c r="D14" s="68"/>
      <c r="E14" s="77"/>
      <c r="F14" s="78"/>
      <c r="G14" s="34"/>
    </row>
    <row r="15" spans="2:11" x14ac:dyDescent="0.35">
      <c r="B15" s="101" t="s">
        <v>257</v>
      </c>
      <c r="C15" s="90"/>
      <c r="D15" s="90"/>
      <c r="E15" s="356"/>
      <c r="F15" s="357"/>
      <c r="G15" s="358"/>
      <c r="H15" s="359"/>
      <c r="I15" s="359"/>
      <c r="J15" s="360" t="s">
        <v>2</v>
      </c>
      <c r="K15" s="359"/>
    </row>
    <row r="16" spans="2:11" x14ac:dyDescent="0.35">
      <c r="B16" s="287"/>
      <c r="C16" s="285" t="s">
        <v>228</v>
      </c>
      <c r="D16" s="285" t="s">
        <v>253</v>
      </c>
      <c r="E16" s="285" t="s">
        <v>3</v>
      </c>
      <c r="F16" s="65"/>
      <c r="G16" s="285" t="s">
        <v>4</v>
      </c>
      <c r="H16" s="285" t="s">
        <v>5</v>
      </c>
      <c r="I16" s="285" t="s">
        <v>6</v>
      </c>
      <c r="J16" s="351" t="s">
        <v>7</v>
      </c>
      <c r="K16" s="285" t="s">
        <v>8</v>
      </c>
    </row>
    <row r="17" spans="2:11" x14ac:dyDescent="0.35">
      <c r="B17" t="s">
        <v>247</v>
      </c>
      <c r="C17" s="54">
        <v>5</v>
      </c>
      <c r="D17" s="75">
        <f>+F7</f>
        <v>0.05</v>
      </c>
      <c r="E17" s="74">
        <f>+D7</f>
        <v>1515500</v>
      </c>
      <c r="F17" s="65"/>
      <c r="G17" s="16">
        <f>+E17-G18</f>
        <v>1515500</v>
      </c>
      <c r="H17" s="16">
        <f>+G17-H18</f>
        <v>1515500</v>
      </c>
      <c r="I17" s="16">
        <f t="shared" ref="I17:K17" si="2">+H17-I18</f>
        <v>1515500</v>
      </c>
      <c r="J17" s="336">
        <f t="shared" si="2"/>
        <v>1515500</v>
      </c>
      <c r="K17" s="16">
        <f t="shared" si="2"/>
        <v>0</v>
      </c>
    </row>
    <row r="18" spans="2:11" x14ac:dyDescent="0.35">
      <c r="B18" t="s">
        <v>248</v>
      </c>
      <c r="C18" s="2"/>
      <c r="D18" s="54"/>
      <c r="E18" s="64"/>
      <c r="F18" s="65"/>
      <c r="G18" s="79">
        <v>0</v>
      </c>
      <c r="H18" s="79">
        <v>0</v>
      </c>
      <c r="I18" s="79">
        <v>0</v>
      </c>
      <c r="J18" s="352">
        <v>0</v>
      </c>
      <c r="K18" s="369">
        <f>+J17</f>
        <v>1515500</v>
      </c>
    </row>
    <row r="19" spans="2:11" x14ac:dyDescent="0.35">
      <c r="B19" t="s">
        <v>249</v>
      </c>
      <c r="C19" s="2"/>
      <c r="D19" s="54"/>
      <c r="E19" s="64"/>
      <c r="F19" s="65"/>
      <c r="G19" s="6">
        <f>+E17*D17</f>
        <v>75775</v>
      </c>
      <c r="H19" s="6">
        <f>+G17*D17</f>
        <v>75775</v>
      </c>
      <c r="I19" s="6">
        <f>+H17*$D$17</f>
        <v>75775</v>
      </c>
      <c r="J19" s="331">
        <f t="shared" ref="J19:K19" si="3">+I17*$D$17</f>
        <v>75775</v>
      </c>
      <c r="K19" s="6">
        <f t="shared" si="3"/>
        <v>75775</v>
      </c>
    </row>
    <row r="20" spans="2:11" x14ac:dyDescent="0.35">
      <c r="B20" t="s">
        <v>260</v>
      </c>
      <c r="C20" s="2"/>
      <c r="D20" s="54"/>
      <c r="E20" s="64"/>
      <c r="F20" s="65"/>
      <c r="G20" s="4">
        <f>+G19+G18</f>
        <v>75775</v>
      </c>
      <c r="H20" s="4">
        <f t="shared" ref="H20:K20" si="4">+H19+H18</f>
        <v>75775</v>
      </c>
      <c r="I20" s="4">
        <f t="shared" si="4"/>
        <v>75775</v>
      </c>
      <c r="J20" s="330">
        <f t="shared" si="4"/>
        <v>75775</v>
      </c>
      <c r="K20" s="4">
        <f t="shared" si="4"/>
        <v>1591275</v>
      </c>
    </row>
    <row r="21" spans="2:11" x14ac:dyDescent="0.35">
      <c r="C21" s="2"/>
      <c r="D21" s="54"/>
      <c r="E21" s="64"/>
      <c r="F21" s="65"/>
      <c r="J21" s="48"/>
    </row>
    <row r="22" spans="2:11" x14ac:dyDescent="0.35">
      <c r="B22" t="s">
        <v>250</v>
      </c>
      <c r="C22" s="54">
        <v>10</v>
      </c>
      <c r="D22" s="75">
        <f>+F8</f>
        <v>0.08</v>
      </c>
      <c r="E22" s="74">
        <f>+D8</f>
        <v>1082500</v>
      </c>
      <c r="F22" s="65"/>
      <c r="G22" s="16">
        <f>+E22-G23</f>
        <v>1082500</v>
      </c>
      <c r="H22" s="16">
        <f>+G22-H23</f>
        <v>1082500</v>
      </c>
      <c r="I22" s="16">
        <f t="shared" ref="I22:K22" si="5">+H22-I23</f>
        <v>1082500</v>
      </c>
      <c r="J22" s="336">
        <f t="shared" si="5"/>
        <v>1082500</v>
      </c>
      <c r="K22" s="16">
        <f t="shared" si="5"/>
        <v>1082500</v>
      </c>
    </row>
    <row r="23" spans="2:11" x14ac:dyDescent="0.35">
      <c r="B23" t="s">
        <v>251</v>
      </c>
      <c r="C23" s="2"/>
      <c r="D23" s="2"/>
      <c r="E23" s="64"/>
      <c r="F23" s="65"/>
      <c r="G23" s="79">
        <v>0</v>
      </c>
      <c r="H23" s="79">
        <v>0</v>
      </c>
      <c r="I23" s="79">
        <v>0</v>
      </c>
      <c r="J23" s="353">
        <v>0</v>
      </c>
      <c r="K23" s="80">
        <v>0</v>
      </c>
    </row>
    <row r="24" spans="2:11" x14ac:dyDescent="0.35">
      <c r="B24" t="s">
        <v>252</v>
      </c>
      <c r="C24" s="2"/>
      <c r="D24" s="2"/>
      <c r="E24" s="64"/>
      <c r="F24" s="65"/>
      <c r="G24" s="6">
        <f>+E22*$D$22</f>
        <v>86600</v>
      </c>
      <c r="H24" s="6">
        <f>+G22*$D$22</f>
        <v>86600</v>
      </c>
      <c r="I24" s="6">
        <f t="shared" ref="I24:K24" si="6">+H22*$D$22</f>
        <v>86600</v>
      </c>
      <c r="J24" s="331">
        <f t="shared" si="6"/>
        <v>86600</v>
      </c>
      <c r="K24" s="6">
        <f t="shared" si="6"/>
        <v>86600</v>
      </c>
    </row>
    <row r="25" spans="2:11" x14ac:dyDescent="0.35">
      <c r="B25" t="s">
        <v>261</v>
      </c>
      <c r="C25" s="2"/>
      <c r="D25" s="2"/>
      <c r="E25" s="64"/>
      <c r="F25" s="65"/>
      <c r="G25" s="4">
        <f>+G24+G23</f>
        <v>86600</v>
      </c>
      <c r="H25" s="4">
        <f t="shared" ref="H25:K25" si="7">+H24+H23</f>
        <v>86600</v>
      </c>
      <c r="I25" s="4">
        <f t="shared" si="7"/>
        <v>86600</v>
      </c>
      <c r="J25" s="330">
        <f t="shared" si="7"/>
        <v>86600</v>
      </c>
      <c r="K25" s="4">
        <f t="shared" si="7"/>
        <v>86600</v>
      </c>
    </row>
    <row r="26" spans="2:11" x14ac:dyDescent="0.35">
      <c r="C26" s="2"/>
      <c r="D26" s="2"/>
      <c r="E26" s="64"/>
      <c r="F26" s="65"/>
      <c r="G26" s="4"/>
      <c r="H26" s="4"/>
      <c r="I26" s="4"/>
      <c r="J26" s="330"/>
      <c r="K26" s="4"/>
    </row>
    <row r="27" spans="2:11" x14ac:dyDescent="0.35">
      <c r="B27" t="s">
        <v>229</v>
      </c>
      <c r="C27" s="2"/>
      <c r="D27" s="2"/>
      <c r="E27" s="64"/>
      <c r="F27" s="65"/>
      <c r="G27" s="4">
        <f>+G25+G20</f>
        <v>162375</v>
      </c>
      <c r="H27" s="4">
        <f t="shared" ref="H27:K27" si="8">+H25+H20</f>
        <v>162375</v>
      </c>
      <c r="I27" s="4">
        <f t="shared" si="8"/>
        <v>162375</v>
      </c>
      <c r="J27" s="330">
        <f t="shared" si="8"/>
        <v>162375</v>
      </c>
      <c r="K27" s="4">
        <f t="shared" si="8"/>
        <v>1677875</v>
      </c>
    </row>
    <row r="28" spans="2:11" x14ac:dyDescent="0.35">
      <c r="B28" t="s">
        <v>230</v>
      </c>
      <c r="C28" s="2"/>
      <c r="D28" s="2"/>
      <c r="E28" s="4">
        <f>+E22+E17</f>
        <v>2598000</v>
      </c>
      <c r="F28" s="65"/>
      <c r="G28" s="4">
        <f>+G22+G17</f>
        <v>2598000</v>
      </c>
      <c r="H28" s="4">
        <f t="shared" ref="H28:K28" si="9">+H22+H17</f>
        <v>2598000</v>
      </c>
      <c r="I28" s="4">
        <f t="shared" si="9"/>
        <v>2598000</v>
      </c>
      <c r="J28" s="330">
        <f t="shared" si="9"/>
        <v>2598000</v>
      </c>
      <c r="K28" s="4">
        <f t="shared" si="9"/>
        <v>1082500</v>
      </c>
    </row>
    <row r="29" spans="2:11" x14ac:dyDescent="0.35">
      <c r="C29" s="2"/>
      <c r="D29" s="2"/>
      <c r="E29" s="64"/>
      <c r="F29" s="65"/>
      <c r="J29" s="48"/>
    </row>
    <row r="30" spans="2:11" x14ac:dyDescent="0.35">
      <c r="B30" s="90" t="s">
        <v>258</v>
      </c>
      <c r="C30" s="90"/>
      <c r="D30" s="90"/>
      <c r="E30" s="90"/>
      <c r="F30" s="90"/>
      <c r="G30" s="361"/>
      <c r="H30" s="361"/>
      <c r="I30" s="361"/>
      <c r="J30" s="370" t="s">
        <v>2</v>
      </c>
      <c r="K30" s="361"/>
    </row>
    <row r="31" spans="2:11" x14ac:dyDescent="0.35">
      <c r="B31" s="287"/>
      <c r="C31" s="287"/>
      <c r="D31" s="285" t="s">
        <v>234</v>
      </c>
      <c r="E31" s="285" t="s">
        <v>3</v>
      </c>
      <c r="G31" s="285" t="s">
        <v>4</v>
      </c>
      <c r="H31" s="285" t="s">
        <v>5</v>
      </c>
      <c r="I31" s="285" t="s">
        <v>6</v>
      </c>
      <c r="J31" s="351" t="s">
        <v>7</v>
      </c>
      <c r="K31" s="285" t="s">
        <v>8</v>
      </c>
    </row>
    <row r="32" spans="2:11" x14ac:dyDescent="0.35">
      <c r="B32" t="s">
        <v>9</v>
      </c>
      <c r="D32" s="4">
        <v>960000</v>
      </c>
      <c r="E32" s="4">
        <v>1110000</v>
      </c>
      <c r="G32" s="4">
        <f>+'Fig. 13.10'!F8</f>
        <v>1228140</v>
      </c>
      <c r="H32" s="4">
        <f>+'Fig. 13.10'!G8</f>
        <v>1344199.848</v>
      </c>
      <c r="I32" s="4">
        <f>+'Fig. 13.10'!H8</f>
        <v>1442918.9540652002</v>
      </c>
      <c r="J32" s="330">
        <f>+'Fig. 13.10'!I8</f>
        <v>1529267.7156714478</v>
      </c>
      <c r="K32" s="4">
        <f>+'Fig. 13.10'!J8</f>
        <v>1605161.4860476251</v>
      </c>
    </row>
    <row r="33" spans="2:11" x14ac:dyDescent="0.35">
      <c r="B33" t="s">
        <v>10</v>
      </c>
      <c r="D33" s="4">
        <v>-345000</v>
      </c>
      <c r="E33" s="4">
        <v>-420000</v>
      </c>
      <c r="G33" s="4">
        <f>+'Fig. 13.10'!F9</f>
        <v>-463078.2</v>
      </c>
      <c r="H33" s="4">
        <f>+'Fig. 13.10'!G9</f>
        <v>-506823.33804</v>
      </c>
      <c r="I33" s="4">
        <f>+'Fig. 13.10'!H9</f>
        <v>-544053.13711893605</v>
      </c>
      <c r="J33" s="330">
        <f>+'Fig. 13.10'!I9</f>
        <v>-576709.25695468695</v>
      </c>
      <c r="K33" s="4">
        <f>+'Fig. 13.10'!J9</f>
        <v>-605474.36387137498</v>
      </c>
    </row>
    <row r="34" spans="2:11" x14ac:dyDescent="0.35">
      <c r="B34" t="s">
        <v>11</v>
      </c>
      <c r="D34" s="6">
        <v>-230000</v>
      </c>
      <c r="E34" s="6">
        <v>-257000</v>
      </c>
      <c r="G34" s="6">
        <f>+'Fig. 13.10'!F10</f>
        <v>-271501.2</v>
      </c>
      <c r="H34" s="6">
        <f>+'Fig. 13.10'!G10</f>
        <v>-289448.48784000002</v>
      </c>
      <c r="I34" s="6">
        <f>+'Fig. 13.10'!H10</f>
        <v>-306441.64132521598</v>
      </c>
      <c r="J34" s="331">
        <f>+'Fig. 13.10'!I10</f>
        <v>-322899.94850371598</v>
      </c>
      <c r="K34" s="6">
        <f>+'Fig. 13.10'!J10</f>
        <v>-338999.37669631001</v>
      </c>
    </row>
    <row r="35" spans="2:11" x14ac:dyDescent="0.35">
      <c r="B35" s="8" t="s">
        <v>12</v>
      </c>
      <c r="C35" s="8"/>
      <c r="D35" s="9">
        <f>SUM(D32:D34)</f>
        <v>385000</v>
      </c>
      <c r="E35" s="9">
        <f>SUM(E32:E34)</f>
        <v>433000</v>
      </c>
      <c r="F35" s="9"/>
      <c r="G35" s="9">
        <f t="shared" ref="G35:K35" si="10">SUM(G32:G34)</f>
        <v>493560.60000000003</v>
      </c>
      <c r="H35" s="9">
        <f t="shared" si="10"/>
        <v>547928.02211999986</v>
      </c>
      <c r="I35" s="9">
        <f t="shared" si="10"/>
        <v>592424.17562104808</v>
      </c>
      <c r="J35" s="354">
        <f t="shared" si="10"/>
        <v>629658.51021304494</v>
      </c>
      <c r="K35" s="9">
        <f t="shared" si="10"/>
        <v>660687.74547994009</v>
      </c>
    </row>
    <row r="36" spans="2:11" x14ac:dyDescent="0.35">
      <c r="B36" t="s">
        <v>254</v>
      </c>
      <c r="D36" s="4">
        <v>-60000</v>
      </c>
      <c r="E36" s="4">
        <v>-65000</v>
      </c>
      <c r="F36" s="4"/>
      <c r="G36" s="4">
        <f>+'Fig. 13.10'!F12</f>
        <v>-73688.399999999994</v>
      </c>
      <c r="H36" s="4">
        <f>+'Fig. 13.10'!G12</f>
        <v>-80651.990879999998</v>
      </c>
      <c r="I36" s="4">
        <f>+'Fig. 13.10'!H12</f>
        <v>-86575.137243912002</v>
      </c>
      <c r="J36" s="330">
        <f>+'Fig. 13.10'!I12</f>
        <v>-91756.062940286865</v>
      </c>
      <c r="K36" s="4">
        <f>+'Fig. 13.10'!J12</f>
        <v>-96309.689162857496</v>
      </c>
    </row>
    <row r="37" spans="2:11" x14ac:dyDescent="0.35">
      <c r="B37" t="s">
        <v>255</v>
      </c>
      <c r="D37" s="4"/>
      <c r="E37" s="4"/>
      <c r="F37" s="4"/>
      <c r="G37" s="6">
        <f>-$K$8/$C$17</f>
        <v>-28794.5</v>
      </c>
      <c r="H37" s="6">
        <f>-$K$8/$C$17</f>
        <v>-28794.5</v>
      </c>
      <c r="I37" s="6">
        <f>-$K$8/$C$17</f>
        <v>-28794.5</v>
      </c>
      <c r="J37" s="331">
        <f>-(+K8+SUM(G37:I37))</f>
        <v>-57589</v>
      </c>
      <c r="K37" s="6"/>
    </row>
    <row r="38" spans="2:11" x14ac:dyDescent="0.35">
      <c r="B38" s="8" t="s">
        <v>14</v>
      </c>
      <c r="C38" s="8"/>
      <c r="D38" s="4">
        <f>+D35+D36</f>
        <v>325000</v>
      </c>
      <c r="E38" s="4">
        <f>+E35+E36</f>
        <v>368000</v>
      </c>
      <c r="F38" s="9"/>
      <c r="G38" s="9">
        <f>+G35+G36+G37</f>
        <v>391077.70000000007</v>
      </c>
      <c r="H38" s="9">
        <f t="shared" ref="H38:K38" si="11">+H35+H36+H37</f>
        <v>438481.53123999987</v>
      </c>
      <c r="I38" s="9">
        <f t="shared" si="11"/>
        <v>477054.53837713611</v>
      </c>
      <c r="J38" s="354">
        <f t="shared" si="11"/>
        <v>480313.44727275812</v>
      </c>
      <c r="K38" s="9">
        <f t="shared" si="11"/>
        <v>564378.05631708261</v>
      </c>
    </row>
    <row r="39" spans="2:11" x14ac:dyDescent="0.35">
      <c r="B39" t="s">
        <v>15</v>
      </c>
      <c r="D39" s="4"/>
      <c r="E39" s="4"/>
      <c r="F39" s="4"/>
      <c r="G39" s="6">
        <f>-G38*$F$13</f>
        <v>-86037.094000000012</v>
      </c>
      <c r="H39" s="6">
        <f t="shared" ref="H39:K39" si="12">-H38*$F$13</f>
        <v>-96465.936872799968</v>
      </c>
      <c r="I39" s="6">
        <f t="shared" si="12"/>
        <v>-104951.99844296994</v>
      </c>
      <c r="J39" s="331">
        <f t="shared" si="12"/>
        <v>-105668.95840000678</v>
      </c>
      <c r="K39" s="6">
        <f t="shared" si="12"/>
        <v>-124163.17238975817</v>
      </c>
    </row>
    <row r="40" spans="2:11" x14ac:dyDescent="0.35">
      <c r="B40" s="8" t="s">
        <v>16</v>
      </c>
      <c r="C40" s="8"/>
      <c r="D40" s="4"/>
      <c r="E40" s="4"/>
      <c r="F40" s="9"/>
      <c r="G40" s="9">
        <f>+G38+G39</f>
        <v>305040.60600000003</v>
      </c>
      <c r="H40" s="9">
        <f t="shared" ref="H40:K40" si="13">+H38+H39</f>
        <v>342015.59436719993</v>
      </c>
      <c r="I40" s="9">
        <f t="shared" si="13"/>
        <v>372102.53993416618</v>
      </c>
      <c r="J40" s="354">
        <f t="shared" si="13"/>
        <v>374644.48887275136</v>
      </c>
      <c r="K40" s="9">
        <f t="shared" si="13"/>
        <v>440214.88392732444</v>
      </c>
    </row>
    <row r="41" spans="2:11" x14ac:dyDescent="0.35">
      <c r="B41" t="s">
        <v>17</v>
      </c>
      <c r="D41" s="4"/>
      <c r="E41" s="4"/>
      <c r="F41" s="4"/>
      <c r="G41" s="4">
        <f>-G36-G37</f>
        <v>102482.9</v>
      </c>
      <c r="H41" s="4">
        <f t="shared" ref="H41:K41" si="14">-H36-H37</f>
        <v>109446.49088</v>
      </c>
      <c r="I41" s="4">
        <f t="shared" si="14"/>
        <v>115369.637243912</v>
      </c>
      <c r="J41" s="330">
        <f t="shared" si="14"/>
        <v>149345.06294028688</v>
      </c>
      <c r="K41" s="4">
        <f t="shared" si="14"/>
        <v>96309.689162857496</v>
      </c>
    </row>
    <row r="42" spans="2:11" x14ac:dyDescent="0.35">
      <c r="B42" t="s">
        <v>18</v>
      </c>
      <c r="D42" s="4"/>
      <c r="E42" s="4"/>
      <c r="F42" s="4"/>
      <c r="G42" s="4">
        <f>+'Fig. 13.10'!F17</f>
        <v>2870.189189189201</v>
      </c>
      <c r="H42" s="4">
        <f>+'Fig. 13.10'!G17</f>
        <v>-4548.2913405405416</v>
      </c>
      <c r="I42" s="4">
        <f>+'Fig. 13.10'!H17</f>
        <v>-3868.7217241767667</v>
      </c>
      <c r="J42" s="330">
        <f>+'Fig. 13.10'!I17</f>
        <v>-3383.9379548394299</v>
      </c>
      <c r="K42" s="4">
        <f>+'Fig. 13.10'!J17</f>
        <v>-2974.2153255528992</v>
      </c>
    </row>
    <row r="43" spans="2:11" x14ac:dyDescent="0.35">
      <c r="B43" t="s">
        <v>19</v>
      </c>
      <c r="D43" s="4"/>
      <c r="E43" s="4"/>
      <c r="F43" s="4"/>
      <c r="G43" s="6">
        <f>+'Fig. 13.10'!F18</f>
        <v>-193625.67567567568</v>
      </c>
      <c r="H43" s="6">
        <f>+'Fig. 13.10'!G18</f>
        <v>-211923.39945945944</v>
      </c>
      <c r="I43" s="6">
        <f>+'Fig. 13.10'!H18</f>
        <v>-227487.22248775678</v>
      </c>
      <c r="J43" s="331">
        <f>+'Fig. 13.10'!I18</f>
        <v>-241100.76598423725</v>
      </c>
      <c r="K43" s="6">
        <f>+'Fig. 13.10'!J18</f>
        <v>-253066.00005255349</v>
      </c>
    </row>
    <row r="44" spans="2:11" x14ac:dyDescent="0.35">
      <c r="B44" s="8" t="s">
        <v>20</v>
      </c>
      <c r="C44" s="8"/>
      <c r="D44" s="4"/>
      <c r="E44" s="4"/>
      <c r="F44" s="9"/>
      <c r="G44" s="9">
        <f>SUM(G40:G43)</f>
        <v>216768.0195135136</v>
      </c>
      <c r="H44" s="9">
        <f t="shared" ref="H44:K44" si="15">SUM(H40:H43)</f>
        <v>234990.39444719991</v>
      </c>
      <c r="I44" s="9">
        <f t="shared" si="15"/>
        <v>256116.23296614466</v>
      </c>
      <c r="J44" s="354">
        <f t="shared" si="15"/>
        <v>279504.84787396155</v>
      </c>
      <c r="K44" s="9">
        <f t="shared" si="15"/>
        <v>280484.35771207558</v>
      </c>
    </row>
    <row r="45" spans="2:11" x14ac:dyDescent="0.35">
      <c r="B45" t="s">
        <v>21</v>
      </c>
      <c r="D45" s="4"/>
      <c r="E45" s="4"/>
      <c r="F45" s="4"/>
      <c r="G45" s="4">
        <f>-G27</f>
        <v>-162375</v>
      </c>
      <c r="H45" s="4">
        <f t="shared" ref="H45:K45" si="16">-H27</f>
        <v>-162375</v>
      </c>
      <c r="I45" s="4">
        <f t="shared" si="16"/>
        <v>-162375</v>
      </c>
      <c r="J45" s="330">
        <f t="shared" si="16"/>
        <v>-162375</v>
      </c>
      <c r="K45" s="4">
        <f t="shared" si="16"/>
        <v>-1677875</v>
      </c>
    </row>
    <row r="46" spans="2:11" x14ac:dyDescent="0.35">
      <c r="B46" s="8" t="s">
        <v>22</v>
      </c>
      <c r="C46" s="8"/>
      <c r="D46" s="4"/>
      <c r="E46" s="4"/>
      <c r="F46" s="9"/>
      <c r="G46" s="11">
        <f>+G44+G45</f>
        <v>54393.019513513602</v>
      </c>
      <c r="H46" s="11">
        <f t="shared" ref="H46:K46" si="17">+H44+H45</f>
        <v>72615.394447199913</v>
      </c>
      <c r="I46" s="11">
        <f t="shared" si="17"/>
        <v>93741.232966144657</v>
      </c>
      <c r="J46" s="355">
        <f t="shared" si="17"/>
        <v>117129.84787396155</v>
      </c>
      <c r="K46" s="11">
        <f t="shared" si="17"/>
        <v>-1397390.6422879244</v>
      </c>
    </row>
    <row r="47" spans="2:11" x14ac:dyDescent="0.35">
      <c r="J47" s="48"/>
    </row>
    <row r="48" spans="2:11" x14ac:dyDescent="0.35">
      <c r="B48" s="13" t="s">
        <v>23</v>
      </c>
      <c r="E48" s="362" t="s">
        <v>24</v>
      </c>
      <c r="J48" s="48"/>
    </row>
    <row r="49" spans="2:11" x14ac:dyDescent="0.35">
      <c r="B49" t="s">
        <v>25</v>
      </c>
      <c r="E49" s="14" t="s">
        <v>26</v>
      </c>
      <c r="F49" s="57">
        <f>+J7</f>
        <v>9.5</v>
      </c>
      <c r="J49" s="336">
        <f>+F49*J35</f>
        <v>5981755.8470239267</v>
      </c>
    </row>
    <row r="50" spans="2:11" x14ac:dyDescent="0.35">
      <c r="B50" t="s">
        <v>27</v>
      </c>
      <c r="E50" s="14" t="s">
        <v>28</v>
      </c>
      <c r="F50" s="76">
        <f>+G11</f>
        <v>0.12719298245614036</v>
      </c>
      <c r="J50" s="331">
        <f>+K44/(F50-F51)</f>
        <v>10314586.057798907</v>
      </c>
    </row>
    <row r="51" spans="2:11" x14ac:dyDescent="0.35">
      <c r="B51" t="s">
        <v>29</v>
      </c>
      <c r="E51" s="14" t="s">
        <v>30</v>
      </c>
      <c r="F51" s="67">
        <v>0.1</v>
      </c>
      <c r="J51" s="336">
        <f>AVERAGE(J49:J50)</f>
        <v>8148170.9524114169</v>
      </c>
    </row>
    <row r="52" spans="2:11" x14ac:dyDescent="0.35">
      <c r="B52" t="s">
        <v>31</v>
      </c>
      <c r="E52" s="14"/>
      <c r="J52" s="331">
        <f>-J28</f>
        <v>-2598000</v>
      </c>
    </row>
    <row r="53" spans="2:11" ht="15" thickBot="1" x14ac:dyDescent="0.4">
      <c r="B53" t="s">
        <v>32</v>
      </c>
      <c r="E53" s="14"/>
      <c r="J53" s="336">
        <f>SUM(J51:J52)</f>
        <v>5550170.9524114169</v>
      </c>
    </row>
    <row r="54" spans="2:11" ht="15" thickBot="1" x14ac:dyDescent="0.4">
      <c r="E54" s="14" t="s">
        <v>263</v>
      </c>
      <c r="F54" s="84">
        <f>IRR(F55:J55)</f>
        <v>0.38351521407258482</v>
      </c>
      <c r="J54" s="48"/>
    </row>
    <row r="55" spans="2:11" x14ac:dyDescent="0.35">
      <c r="B55" t="s">
        <v>33</v>
      </c>
      <c r="E55" s="14" t="s">
        <v>34</v>
      </c>
      <c r="F55" s="371">
        <f>-D10</f>
        <v>-1659472.5</v>
      </c>
      <c r="G55" s="15">
        <f>+G46</f>
        <v>54393.019513513602</v>
      </c>
      <c r="H55" s="15">
        <f>+H46</f>
        <v>72615.394447199913</v>
      </c>
      <c r="I55" s="15">
        <f>+I46</f>
        <v>93741.232966144657</v>
      </c>
      <c r="J55" s="338">
        <f>+J53+J46</f>
        <v>5667300.8002853785</v>
      </c>
    </row>
    <row r="56" spans="2:11" x14ac:dyDescent="0.35">
      <c r="B56" t="s">
        <v>35</v>
      </c>
      <c r="E56" s="16">
        <f>SUM(G56:J56)</f>
        <v>2459310.187132576</v>
      </c>
      <c r="F56" s="56">
        <f>+F10</f>
        <v>0.25</v>
      </c>
      <c r="G56" s="4">
        <f>G55/(1+$F$56)^1</f>
        <v>43514.41561081088</v>
      </c>
      <c r="H56" s="4">
        <f>H55/(1+$F$56)^2</f>
        <v>46473.852446207944</v>
      </c>
      <c r="I56" s="4">
        <f>I55/(1+$F$56)^3</f>
        <v>47995.511278666061</v>
      </c>
      <c r="J56" s="330">
        <f>J55/(1+$F$56)^4</f>
        <v>2321326.4077968909</v>
      </c>
    </row>
    <row r="57" spans="2:11" x14ac:dyDescent="0.35">
      <c r="B57" t="s">
        <v>36</v>
      </c>
      <c r="E57" s="17">
        <f>+D9</f>
        <v>2598000</v>
      </c>
    </row>
    <row r="58" spans="2:11" x14ac:dyDescent="0.35">
      <c r="B58" t="s">
        <v>37</v>
      </c>
      <c r="E58" s="17">
        <v>0</v>
      </c>
    </row>
    <row r="59" spans="2:11" ht="15" thickBot="1" x14ac:dyDescent="0.4">
      <c r="B59" s="8" t="s">
        <v>38</v>
      </c>
      <c r="E59" s="18">
        <f>SUM(E56:E58)</f>
        <v>5057310.1871325765</v>
      </c>
    </row>
    <row r="60" spans="2:11" x14ac:dyDescent="0.35">
      <c r="B60" t="s">
        <v>39</v>
      </c>
      <c r="E60" s="49">
        <f>+E59/E35</f>
        <v>11.679700201229968</v>
      </c>
    </row>
    <row r="61" spans="2:11" x14ac:dyDescent="0.35">
      <c r="K61" s="98" t="s">
        <v>331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3A7BA-7795-4EA8-A9A5-3E7A89BBEA70}">
  <dimension ref="A1:O145"/>
  <sheetViews>
    <sheetView workbookViewId="0">
      <selection activeCell="E4" sqref="E4"/>
    </sheetView>
  </sheetViews>
  <sheetFormatPr defaultRowHeight="14.5" x14ac:dyDescent="0.35"/>
  <cols>
    <col min="1" max="1" width="4.453125" style="19" customWidth="1"/>
    <col min="2" max="2" width="45.90625" customWidth="1"/>
    <col min="3" max="3" width="15.26953125" customWidth="1"/>
    <col min="4" max="5" width="12.26953125" customWidth="1"/>
    <col min="6" max="6" width="11.7265625" customWidth="1"/>
    <col min="7" max="7" width="12.1796875" customWidth="1"/>
    <col min="8" max="8" width="10.90625" customWidth="1"/>
    <col min="9" max="9" width="13.36328125" customWidth="1"/>
    <col min="10" max="10" width="11.54296875" customWidth="1"/>
    <col min="11" max="11" width="13.7265625" customWidth="1"/>
    <col min="12" max="12" width="7.7265625" customWidth="1"/>
    <col min="13" max="13" width="8.36328125" customWidth="1"/>
    <col min="14" max="14" width="22.453125" customWidth="1"/>
    <col min="15" max="15" width="9.453125" bestFit="1" customWidth="1"/>
    <col min="16" max="17" width="10.36328125" bestFit="1" customWidth="1"/>
    <col min="18" max="18" width="9.453125" bestFit="1" customWidth="1"/>
    <col min="19" max="19" width="11.7265625" customWidth="1"/>
    <col min="257" max="257" width="4.453125" customWidth="1"/>
    <col min="258" max="258" width="45.90625" customWidth="1"/>
    <col min="259" max="259" width="15.26953125" customWidth="1"/>
    <col min="260" max="261" width="12.26953125" customWidth="1"/>
    <col min="262" max="262" width="11.7265625" customWidth="1"/>
    <col min="263" max="263" width="12.1796875" customWidth="1"/>
    <col min="264" max="264" width="10.90625" customWidth="1"/>
    <col min="265" max="265" width="13.36328125" customWidth="1"/>
    <col min="266" max="266" width="11.54296875" customWidth="1"/>
    <col min="267" max="267" width="13.7265625" customWidth="1"/>
    <col min="268" max="268" width="7.7265625" customWidth="1"/>
    <col min="269" max="269" width="8.36328125" customWidth="1"/>
    <col min="270" max="270" width="22.453125" customWidth="1"/>
    <col min="271" max="271" width="9.453125" bestFit="1" customWidth="1"/>
    <col min="272" max="273" width="10.36328125" bestFit="1" customWidth="1"/>
    <col min="274" max="274" width="9.453125" bestFit="1" customWidth="1"/>
    <col min="275" max="275" width="11.7265625" customWidth="1"/>
    <col min="513" max="513" width="4.453125" customWidth="1"/>
    <col min="514" max="514" width="45.90625" customWidth="1"/>
    <col min="515" max="515" width="15.26953125" customWidth="1"/>
    <col min="516" max="517" width="12.26953125" customWidth="1"/>
    <col min="518" max="518" width="11.7265625" customWidth="1"/>
    <col min="519" max="519" width="12.1796875" customWidth="1"/>
    <col min="520" max="520" width="10.90625" customWidth="1"/>
    <col min="521" max="521" width="13.36328125" customWidth="1"/>
    <col min="522" max="522" width="11.54296875" customWidth="1"/>
    <col min="523" max="523" width="13.7265625" customWidth="1"/>
    <col min="524" max="524" width="7.7265625" customWidth="1"/>
    <col min="525" max="525" width="8.36328125" customWidth="1"/>
    <col min="526" max="526" width="22.453125" customWidth="1"/>
    <col min="527" max="527" width="9.453125" bestFit="1" customWidth="1"/>
    <col min="528" max="529" width="10.36328125" bestFit="1" customWidth="1"/>
    <col min="530" max="530" width="9.453125" bestFit="1" customWidth="1"/>
    <col min="531" max="531" width="11.7265625" customWidth="1"/>
    <col min="769" max="769" width="4.453125" customWidth="1"/>
    <col min="770" max="770" width="45.90625" customWidth="1"/>
    <col min="771" max="771" width="15.26953125" customWidth="1"/>
    <col min="772" max="773" width="12.26953125" customWidth="1"/>
    <col min="774" max="774" width="11.7265625" customWidth="1"/>
    <col min="775" max="775" width="12.1796875" customWidth="1"/>
    <col min="776" max="776" width="10.90625" customWidth="1"/>
    <col min="777" max="777" width="13.36328125" customWidth="1"/>
    <col min="778" max="778" width="11.54296875" customWidth="1"/>
    <col min="779" max="779" width="13.7265625" customWidth="1"/>
    <col min="780" max="780" width="7.7265625" customWidth="1"/>
    <col min="781" max="781" width="8.36328125" customWidth="1"/>
    <col min="782" max="782" width="22.453125" customWidth="1"/>
    <col min="783" max="783" width="9.453125" bestFit="1" customWidth="1"/>
    <col min="784" max="785" width="10.36328125" bestFit="1" customWidth="1"/>
    <col min="786" max="786" width="9.453125" bestFit="1" customWidth="1"/>
    <col min="787" max="787" width="11.7265625" customWidth="1"/>
    <col min="1025" max="1025" width="4.453125" customWidth="1"/>
    <col min="1026" max="1026" width="45.90625" customWidth="1"/>
    <col min="1027" max="1027" width="15.26953125" customWidth="1"/>
    <col min="1028" max="1029" width="12.26953125" customWidth="1"/>
    <col min="1030" max="1030" width="11.7265625" customWidth="1"/>
    <col min="1031" max="1031" width="12.1796875" customWidth="1"/>
    <col min="1032" max="1032" width="10.90625" customWidth="1"/>
    <col min="1033" max="1033" width="13.36328125" customWidth="1"/>
    <col min="1034" max="1034" width="11.54296875" customWidth="1"/>
    <col min="1035" max="1035" width="13.7265625" customWidth="1"/>
    <col min="1036" max="1036" width="7.7265625" customWidth="1"/>
    <col min="1037" max="1037" width="8.36328125" customWidth="1"/>
    <col min="1038" max="1038" width="22.453125" customWidth="1"/>
    <col min="1039" max="1039" width="9.453125" bestFit="1" customWidth="1"/>
    <col min="1040" max="1041" width="10.36328125" bestFit="1" customWidth="1"/>
    <col min="1042" max="1042" width="9.453125" bestFit="1" customWidth="1"/>
    <col min="1043" max="1043" width="11.7265625" customWidth="1"/>
    <col min="1281" max="1281" width="4.453125" customWidth="1"/>
    <col min="1282" max="1282" width="45.90625" customWidth="1"/>
    <col min="1283" max="1283" width="15.26953125" customWidth="1"/>
    <col min="1284" max="1285" width="12.26953125" customWidth="1"/>
    <col min="1286" max="1286" width="11.7265625" customWidth="1"/>
    <col min="1287" max="1287" width="12.1796875" customWidth="1"/>
    <col min="1288" max="1288" width="10.90625" customWidth="1"/>
    <col min="1289" max="1289" width="13.36328125" customWidth="1"/>
    <col min="1290" max="1290" width="11.54296875" customWidth="1"/>
    <col min="1291" max="1291" width="13.7265625" customWidth="1"/>
    <col min="1292" max="1292" width="7.7265625" customWidth="1"/>
    <col min="1293" max="1293" width="8.36328125" customWidth="1"/>
    <col min="1294" max="1294" width="22.453125" customWidth="1"/>
    <col min="1295" max="1295" width="9.453125" bestFit="1" customWidth="1"/>
    <col min="1296" max="1297" width="10.36328125" bestFit="1" customWidth="1"/>
    <col min="1298" max="1298" width="9.453125" bestFit="1" customWidth="1"/>
    <col min="1299" max="1299" width="11.7265625" customWidth="1"/>
    <col min="1537" max="1537" width="4.453125" customWidth="1"/>
    <col min="1538" max="1538" width="45.90625" customWidth="1"/>
    <col min="1539" max="1539" width="15.26953125" customWidth="1"/>
    <col min="1540" max="1541" width="12.26953125" customWidth="1"/>
    <col min="1542" max="1542" width="11.7265625" customWidth="1"/>
    <col min="1543" max="1543" width="12.1796875" customWidth="1"/>
    <col min="1544" max="1544" width="10.90625" customWidth="1"/>
    <col min="1545" max="1545" width="13.36328125" customWidth="1"/>
    <col min="1546" max="1546" width="11.54296875" customWidth="1"/>
    <col min="1547" max="1547" width="13.7265625" customWidth="1"/>
    <col min="1548" max="1548" width="7.7265625" customWidth="1"/>
    <col min="1549" max="1549" width="8.36328125" customWidth="1"/>
    <col min="1550" max="1550" width="22.453125" customWidth="1"/>
    <col min="1551" max="1551" width="9.453125" bestFit="1" customWidth="1"/>
    <col min="1552" max="1553" width="10.36328125" bestFit="1" customWidth="1"/>
    <col min="1554" max="1554" width="9.453125" bestFit="1" customWidth="1"/>
    <col min="1555" max="1555" width="11.7265625" customWidth="1"/>
    <col min="1793" max="1793" width="4.453125" customWidth="1"/>
    <col min="1794" max="1794" width="45.90625" customWidth="1"/>
    <col min="1795" max="1795" width="15.26953125" customWidth="1"/>
    <col min="1796" max="1797" width="12.26953125" customWidth="1"/>
    <col min="1798" max="1798" width="11.7265625" customWidth="1"/>
    <col min="1799" max="1799" width="12.1796875" customWidth="1"/>
    <col min="1800" max="1800" width="10.90625" customWidth="1"/>
    <col min="1801" max="1801" width="13.36328125" customWidth="1"/>
    <col min="1802" max="1802" width="11.54296875" customWidth="1"/>
    <col min="1803" max="1803" width="13.7265625" customWidth="1"/>
    <col min="1804" max="1804" width="7.7265625" customWidth="1"/>
    <col min="1805" max="1805" width="8.36328125" customWidth="1"/>
    <col min="1806" max="1806" width="22.453125" customWidth="1"/>
    <col min="1807" max="1807" width="9.453125" bestFit="1" customWidth="1"/>
    <col min="1808" max="1809" width="10.36328125" bestFit="1" customWidth="1"/>
    <col min="1810" max="1810" width="9.453125" bestFit="1" customWidth="1"/>
    <col min="1811" max="1811" width="11.7265625" customWidth="1"/>
    <col min="2049" max="2049" width="4.453125" customWidth="1"/>
    <col min="2050" max="2050" width="45.90625" customWidth="1"/>
    <col min="2051" max="2051" width="15.26953125" customWidth="1"/>
    <col min="2052" max="2053" width="12.26953125" customWidth="1"/>
    <col min="2054" max="2054" width="11.7265625" customWidth="1"/>
    <col min="2055" max="2055" width="12.1796875" customWidth="1"/>
    <col min="2056" max="2056" width="10.90625" customWidth="1"/>
    <col min="2057" max="2057" width="13.36328125" customWidth="1"/>
    <col min="2058" max="2058" width="11.54296875" customWidth="1"/>
    <col min="2059" max="2059" width="13.7265625" customWidth="1"/>
    <col min="2060" max="2060" width="7.7265625" customWidth="1"/>
    <col min="2061" max="2061" width="8.36328125" customWidth="1"/>
    <col min="2062" max="2062" width="22.453125" customWidth="1"/>
    <col min="2063" max="2063" width="9.453125" bestFit="1" customWidth="1"/>
    <col min="2064" max="2065" width="10.36328125" bestFit="1" customWidth="1"/>
    <col min="2066" max="2066" width="9.453125" bestFit="1" customWidth="1"/>
    <col min="2067" max="2067" width="11.7265625" customWidth="1"/>
    <col min="2305" max="2305" width="4.453125" customWidth="1"/>
    <col min="2306" max="2306" width="45.90625" customWidth="1"/>
    <col min="2307" max="2307" width="15.26953125" customWidth="1"/>
    <col min="2308" max="2309" width="12.26953125" customWidth="1"/>
    <col min="2310" max="2310" width="11.7265625" customWidth="1"/>
    <col min="2311" max="2311" width="12.1796875" customWidth="1"/>
    <col min="2312" max="2312" width="10.90625" customWidth="1"/>
    <col min="2313" max="2313" width="13.36328125" customWidth="1"/>
    <col min="2314" max="2314" width="11.54296875" customWidth="1"/>
    <col min="2315" max="2315" width="13.7265625" customWidth="1"/>
    <col min="2316" max="2316" width="7.7265625" customWidth="1"/>
    <col min="2317" max="2317" width="8.36328125" customWidth="1"/>
    <col min="2318" max="2318" width="22.453125" customWidth="1"/>
    <col min="2319" max="2319" width="9.453125" bestFit="1" customWidth="1"/>
    <col min="2320" max="2321" width="10.36328125" bestFit="1" customWidth="1"/>
    <col min="2322" max="2322" width="9.453125" bestFit="1" customWidth="1"/>
    <col min="2323" max="2323" width="11.7265625" customWidth="1"/>
    <col min="2561" max="2561" width="4.453125" customWidth="1"/>
    <col min="2562" max="2562" width="45.90625" customWidth="1"/>
    <col min="2563" max="2563" width="15.26953125" customWidth="1"/>
    <col min="2564" max="2565" width="12.26953125" customWidth="1"/>
    <col min="2566" max="2566" width="11.7265625" customWidth="1"/>
    <col min="2567" max="2567" width="12.1796875" customWidth="1"/>
    <col min="2568" max="2568" width="10.90625" customWidth="1"/>
    <col min="2569" max="2569" width="13.36328125" customWidth="1"/>
    <col min="2570" max="2570" width="11.54296875" customWidth="1"/>
    <col min="2571" max="2571" width="13.7265625" customWidth="1"/>
    <col min="2572" max="2572" width="7.7265625" customWidth="1"/>
    <col min="2573" max="2573" width="8.36328125" customWidth="1"/>
    <col min="2574" max="2574" width="22.453125" customWidth="1"/>
    <col min="2575" max="2575" width="9.453125" bestFit="1" customWidth="1"/>
    <col min="2576" max="2577" width="10.36328125" bestFit="1" customWidth="1"/>
    <col min="2578" max="2578" width="9.453125" bestFit="1" customWidth="1"/>
    <col min="2579" max="2579" width="11.7265625" customWidth="1"/>
    <col min="2817" max="2817" width="4.453125" customWidth="1"/>
    <col min="2818" max="2818" width="45.90625" customWidth="1"/>
    <col min="2819" max="2819" width="15.26953125" customWidth="1"/>
    <col min="2820" max="2821" width="12.26953125" customWidth="1"/>
    <col min="2822" max="2822" width="11.7265625" customWidth="1"/>
    <col min="2823" max="2823" width="12.1796875" customWidth="1"/>
    <col min="2824" max="2824" width="10.90625" customWidth="1"/>
    <col min="2825" max="2825" width="13.36328125" customWidth="1"/>
    <col min="2826" max="2826" width="11.54296875" customWidth="1"/>
    <col min="2827" max="2827" width="13.7265625" customWidth="1"/>
    <col min="2828" max="2828" width="7.7265625" customWidth="1"/>
    <col min="2829" max="2829" width="8.36328125" customWidth="1"/>
    <col min="2830" max="2830" width="22.453125" customWidth="1"/>
    <col min="2831" max="2831" width="9.453125" bestFit="1" customWidth="1"/>
    <col min="2832" max="2833" width="10.36328125" bestFit="1" customWidth="1"/>
    <col min="2834" max="2834" width="9.453125" bestFit="1" customWidth="1"/>
    <col min="2835" max="2835" width="11.7265625" customWidth="1"/>
    <col min="3073" max="3073" width="4.453125" customWidth="1"/>
    <col min="3074" max="3074" width="45.90625" customWidth="1"/>
    <col min="3075" max="3075" width="15.26953125" customWidth="1"/>
    <col min="3076" max="3077" width="12.26953125" customWidth="1"/>
    <col min="3078" max="3078" width="11.7265625" customWidth="1"/>
    <col min="3079" max="3079" width="12.1796875" customWidth="1"/>
    <col min="3080" max="3080" width="10.90625" customWidth="1"/>
    <col min="3081" max="3081" width="13.36328125" customWidth="1"/>
    <col min="3082" max="3082" width="11.54296875" customWidth="1"/>
    <col min="3083" max="3083" width="13.7265625" customWidth="1"/>
    <col min="3084" max="3084" width="7.7265625" customWidth="1"/>
    <col min="3085" max="3085" width="8.36328125" customWidth="1"/>
    <col min="3086" max="3086" width="22.453125" customWidth="1"/>
    <col min="3087" max="3087" width="9.453125" bestFit="1" customWidth="1"/>
    <col min="3088" max="3089" width="10.36328125" bestFit="1" customWidth="1"/>
    <col min="3090" max="3090" width="9.453125" bestFit="1" customWidth="1"/>
    <col min="3091" max="3091" width="11.7265625" customWidth="1"/>
    <col min="3329" max="3329" width="4.453125" customWidth="1"/>
    <col min="3330" max="3330" width="45.90625" customWidth="1"/>
    <col min="3331" max="3331" width="15.26953125" customWidth="1"/>
    <col min="3332" max="3333" width="12.26953125" customWidth="1"/>
    <col min="3334" max="3334" width="11.7265625" customWidth="1"/>
    <col min="3335" max="3335" width="12.1796875" customWidth="1"/>
    <col min="3336" max="3336" width="10.90625" customWidth="1"/>
    <col min="3337" max="3337" width="13.36328125" customWidth="1"/>
    <col min="3338" max="3338" width="11.54296875" customWidth="1"/>
    <col min="3339" max="3339" width="13.7265625" customWidth="1"/>
    <col min="3340" max="3340" width="7.7265625" customWidth="1"/>
    <col min="3341" max="3341" width="8.36328125" customWidth="1"/>
    <col min="3342" max="3342" width="22.453125" customWidth="1"/>
    <col min="3343" max="3343" width="9.453125" bestFit="1" customWidth="1"/>
    <col min="3344" max="3345" width="10.36328125" bestFit="1" customWidth="1"/>
    <col min="3346" max="3346" width="9.453125" bestFit="1" customWidth="1"/>
    <col min="3347" max="3347" width="11.7265625" customWidth="1"/>
    <col min="3585" max="3585" width="4.453125" customWidth="1"/>
    <col min="3586" max="3586" width="45.90625" customWidth="1"/>
    <col min="3587" max="3587" width="15.26953125" customWidth="1"/>
    <col min="3588" max="3589" width="12.26953125" customWidth="1"/>
    <col min="3590" max="3590" width="11.7265625" customWidth="1"/>
    <col min="3591" max="3591" width="12.1796875" customWidth="1"/>
    <col min="3592" max="3592" width="10.90625" customWidth="1"/>
    <col min="3593" max="3593" width="13.36328125" customWidth="1"/>
    <col min="3594" max="3594" width="11.54296875" customWidth="1"/>
    <col min="3595" max="3595" width="13.7265625" customWidth="1"/>
    <col min="3596" max="3596" width="7.7265625" customWidth="1"/>
    <col min="3597" max="3597" width="8.36328125" customWidth="1"/>
    <col min="3598" max="3598" width="22.453125" customWidth="1"/>
    <col min="3599" max="3599" width="9.453125" bestFit="1" customWidth="1"/>
    <col min="3600" max="3601" width="10.36328125" bestFit="1" customWidth="1"/>
    <col min="3602" max="3602" width="9.453125" bestFit="1" customWidth="1"/>
    <col min="3603" max="3603" width="11.7265625" customWidth="1"/>
    <col min="3841" max="3841" width="4.453125" customWidth="1"/>
    <col min="3842" max="3842" width="45.90625" customWidth="1"/>
    <col min="3843" max="3843" width="15.26953125" customWidth="1"/>
    <col min="3844" max="3845" width="12.26953125" customWidth="1"/>
    <col min="3846" max="3846" width="11.7265625" customWidth="1"/>
    <col min="3847" max="3847" width="12.1796875" customWidth="1"/>
    <col min="3848" max="3848" width="10.90625" customWidth="1"/>
    <col min="3849" max="3849" width="13.36328125" customWidth="1"/>
    <col min="3850" max="3850" width="11.54296875" customWidth="1"/>
    <col min="3851" max="3851" width="13.7265625" customWidth="1"/>
    <col min="3852" max="3852" width="7.7265625" customWidth="1"/>
    <col min="3853" max="3853" width="8.36328125" customWidth="1"/>
    <col min="3854" max="3854" width="22.453125" customWidth="1"/>
    <col min="3855" max="3855" width="9.453125" bestFit="1" customWidth="1"/>
    <col min="3856" max="3857" width="10.36328125" bestFit="1" customWidth="1"/>
    <col min="3858" max="3858" width="9.453125" bestFit="1" customWidth="1"/>
    <col min="3859" max="3859" width="11.7265625" customWidth="1"/>
    <col min="4097" max="4097" width="4.453125" customWidth="1"/>
    <col min="4098" max="4098" width="45.90625" customWidth="1"/>
    <col min="4099" max="4099" width="15.26953125" customWidth="1"/>
    <col min="4100" max="4101" width="12.26953125" customWidth="1"/>
    <col min="4102" max="4102" width="11.7265625" customWidth="1"/>
    <col min="4103" max="4103" width="12.1796875" customWidth="1"/>
    <col min="4104" max="4104" width="10.90625" customWidth="1"/>
    <col min="4105" max="4105" width="13.36328125" customWidth="1"/>
    <col min="4106" max="4106" width="11.54296875" customWidth="1"/>
    <col min="4107" max="4107" width="13.7265625" customWidth="1"/>
    <col min="4108" max="4108" width="7.7265625" customWidth="1"/>
    <col min="4109" max="4109" width="8.36328125" customWidth="1"/>
    <col min="4110" max="4110" width="22.453125" customWidth="1"/>
    <col min="4111" max="4111" width="9.453125" bestFit="1" customWidth="1"/>
    <col min="4112" max="4113" width="10.36328125" bestFit="1" customWidth="1"/>
    <col min="4114" max="4114" width="9.453125" bestFit="1" customWidth="1"/>
    <col min="4115" max="4115" width="11.7265625" customWidth="1"/>
    <col min="4353" max="4353" width="4.453125" customWidth="1"/>
    <col min="4354" max="4354" width="45.90625" customWidth="1"/>
    <col min="4355" max="4355" width="15.26953125" customWidth="1"/>
    <col min="4356" max="4357" width="12.26953125" customWidth="1"/>
    <col min="4358" max="4358" width="11.7265625" customWidth="1"/>
    <col min="4359" max="4359" width="12.1796875" customWidth="1"/>
    <col min="4360" max="4360" width="10.90625" customWidth="1"/>
    <col min="4361" max="4361" width="13.36328125" customWidth="1"/>
    <col min="4362" max="4362" width="11.54296875" customWidth="1"/>
    <col min="4363" max="4363" width="13.7265625" customWidth="1"/>
    <col min="4364" max="4364" width="7.7265625" customWidth="1"/>
    <col min="4365" max="4365" width="8.36328125" customWidth="1"/>
    <col min="4366" max="4366" width="22.453125" customWidth="1"/>
    <col min="4367" max="4367" width="9.453125" bestFit="1" customWidth="1"/>
    <col min="4368" max="4369" width="10.36328125" bestFit="1" customWidth="1"/>
    <col min="4370" max="4370" width="9.453125" bestFit="1" customWidth="1"/>
    <col min="4371" max="4371" width="11.7265625" customWidth="1"/>
    <col min="4609" max="4609" width="4.453125" customWidth="1"/>
    <col min="4610" max="4610" width="45.90625" customWidth="1"/>
    <col min="4611" max="4611" width="15.26953125" customWidth="1"/>
    <col min="4612" max="4613" width="12.26953125" customWidth="1"/>
    <col min="4614" max="4614" width="11.7265625" customWidth="1"/>
    <col min="4615" max="4615" width="12.1796875" customWidth="1"/>
    <col min="4616" max="4616" width="10.90625" customWidth="1"/>
    <col min="4617" max="4617" width="13.36328125" customWidth="1"/>
    <col min="4618" max="4618" width="11.54296875" customWidth="1"/>
    <col min="4619" max="4619" width="13.7265625" customWidth="1"/>
    <col min="4620" max="4620" width="7.7265625" customWidth="1"/>
    <col min="4621" max="4621" width="8.36328125" customWidth="1"/>
    <col min="4622" max="4622" width="22.453125" customWidth="1"/>
    <col min="4623" max="4623" width="9.453125" bestFit="1" customWidth="1"/>
    <col min="4624" max="4625" width="10.36328125" bestFit="1" customWidth="1"/>
    <col min="4626" max="4626" width="9.453125" bestFit="1" customWidth="1"/>
    <col min="4627" max="4627" width="11.7265625" customWidth="1"/>
    <col min="4865" max="4865" width="4.453125" customWidth="1"/>
    <col min="4866" max="4866" width="45.90625" customWidth="1"/>
    <col min="4867" max="4867" width="15.26953125" customWidth="1"/>
    <col min="4868" max="4869" width="12.26953125" customWidth="1"/>
    <col min="4870" max="4870" width="11.7265625" customWidth="1"/>
    <col min="4871" max="4871" width="12.1796875" customWidth="1"/>
    <col min="4872" max="4872" width="10.90625" customWidth="1"/>
    <col min="4873" max="4873" width="13.36328125" customWidth="1"/>
    <col min="4874" max="4874" width="11.54296875" customWidth="1"/>
    <col min="4875" max="4875" width="13.7265625" customWidth="1"/>
    <col min="4876" max="4876" width="7.7265625" customWidth="1"/>
    <col min="4877" max="4877" width="8.36328125" customWidth="1"/>
    <col min="4878" max="4878" width="22.453125" customWidth="1"/>
    <col min="4879" max="4879" width="9.453125" bestFit="1" customWidth="1"/>
    <col min="4880" max="4881" width="10.36328125" bestFit="1" customWidth="1"/>
    <col min="4882" max="4882" width="9.453125" bestFit="1" customWidth="1"/>
    <col min="4883" max="4883" width="11.7265625" customWidth="1"/>
    <col min="5121" max="5121" width="4.453125" customWidth="1"/>
    <col min="5122" max="5122" width="45.90625" customWidth="1"/>
    <col min="5123" max="5123" width="15.26953125" customWidth="1"/>
    <col min="5124" max="5125" width="12.26953125" customWidth="1"/>
    <col min="5126" max="5126" width="11.7265625" customWidth="1"/>
    <col min="5127" max="5127" width="12.1796875" customWidth="1"/>
    <col min="5128" max="5128" width="10.90625" customWidth="1"/>
    <col min="5129" max="5129" width="13.36328125" customWidth="1"/>
    <col min="5130" max="5130" width="11.54296875" customWidth="1"/>
    <col min="5131" max="5131" width="13.7265625" customWidth="1"/>
    <col min="5132" max="5132" width="7.7265625" customWidth="1"/>
    <col min="5133" max="5133" width="8.36328125" customWidth="1"/>
    <col min="5134" max="5134" width="22.453125" customWidth="1"/>
    <col min="5135" max="5135" width="9.453125" bestFit="1" customWidth="1"/>
    <col min="5136" max="5137" width="10.36328125" bestFit="1" customWidth="1"/>
    <col min="5138" max="5138" width="9.453125" bestFit="1" customWidth="1"/>
    <col min="5139" max="5139" width="11.7265625" customWidth="1"/>
    <col min="5377" max="5377" width="4.453125" customWidth="1"/>
    <col min="5378" max="5378" width="45.90625" customWidth="1"/>
    <col min="5379" max="5379" width="15.26953125" customWidth="1"/>
    <col min="5380" max="5381" width="12.26953125" customWidth="1"/>
    <col min="5382" max="5382" width="11.7265625" customWidth="1"/>
    <col min="5383" max="5383" width="12.1796875" customWidth="1"/>
    <col min="5384" max="5384" width="10.90625" customWidth="1"/>
    <col min="5385" max="5385" width="13.36328125" customWidth="1"/>
    <col min="5386" max="5386" width="11.54296875" customWidth="1"/>
    <col min="5387" max="5387" width="13.7265625" customWidth="1"/>
    <col min="5388" max="5388" width="7.7265625" customWidth="1"/>
    <col min="5389" max="5389" width="8.36328125" customWidth="1"/>
    <col min="5390" max="5390" width="22.453125" customWidth="1"/>
    <col min="5391" max="5391" width="9.453125" bestFit="1" customWidth="1"/>
    <col min="5392" max="5393" width="10.36328125" bestFit="1" customWidth="1"/>
    <col min="5394" max="5394" width="9.453125" bestFit="1" customWidth="1"/>
    <col min="5395" max="5395" width="11.7265625" customWidth="1"/>
    <col min="5633" max="5633" width="4.453125" customWidth="1"/>
    <col min="5634" max="5634" width="45.90625" customWidth="1"/>
    <col min="5635" max="5635" width="15.26953125" customWidth="1"/>
    <col min="5636" max="5637" width="12.26953125" customWidth="1"/>
    <col min="5638" max="5638" width="11.7265625" customWidth="1"/>
    <col min="5639" max="5639" width="12.1796875" customWidth="1"/>
    <col min="5640" max="5640" width="10.90625" customWidth="1"/>
    <col min="5641" max="5641" width="13.36328125" customWidth="1"/>
    <col min="5642" max="5642" width="11.54296875" customWidth="1"/>
    <col min="5643" max="5643" width="13.7265625" customWidth="1"/>
    <col min="5644" max="5644" width="7.7265625" customWidth="1"/>
    <col min="5645" max="5645" width="8.36328125" customWidth="1"/>
    <col min="5646" max="5646" width="22.453125" customWidth="1"/>
    <col min="5647" max="5647" width="9.453125" bestFit="1" customWidth="1"/>
    <col min="5648" max="5649" width="10.36328125" bestFit="1" customWidth="1"/>
    <col min="5650" max="5650" width="9.453125" bestFit="1" customWidth="1"/>
    <col min="5651" max="5651" width="11.7265625" customWidth="1"/>
    <col min="5889" max="5889" width="4.453125" customWidth="1"/>
    <col min="5890" max="5890" width="45.90625" customWidth="1"/>
    <col min="5891" max="5891" width="15.26953125" customWidth="1"/>
    <col min="5892" max="5893" width="12.26953125" customWidth="1"/>
    <col min="5894" max="5894" width="11.7265625" customWidth="1"/>
    <col min="5895" max="5895" width="12.1796875" customWidth="1"/>
    <col min="5896" max="5896" width="10.90625" customWidth="1"/>
    <col min="5897" max="5897" width="13.36328125" customWidth="1"/>
    <col min="5898" max="5898" width="11.54296875" customWidth="1"/>
    <col min="5899" max="5899" width="13.7265625" customWidth="1"/>
    <col min="5900" max="5900" width="7.7265625" customWidth="1"/>
    <col min="5901" max="5901" width="8.36328125" customWidth="1"/>
    <col min="5902" max="5902" width="22.453125" customWidth="1"/>
    <col min="5903" max="5903" width="9.453125" bestFit="1" customWidth="1"/>
    <col min="5904" max="5905" width="10.36328125" bestFit="1" customWidth="1"/>
    <col min="5906" max="5906" width="9.453125" bestFit="1" customWidth="1"/>
    <col min="5907" max="5907" width="11.7265625" customWidth="1"/>
    <col min="6145" max="6145" width="4.453125" customWidth="1"/>
    <col min="6146" max="6146" width="45.90625" customWidth="1"/>
    <col min="6147" max="6147" width="15.26953125" customWidth="1"/>
    <col min="6148" max="6149" width="12.26953125" customWidth="1"/>
    <col min="6150" max="6150" width="11.7265625" customWidth="1"/>
    <col min="6151" max="6151" width="12.1796875" customWidth="1"/>
    <col min="6152" max="6152" width="10.90625" customWidth="1"/>
    <col min="6153" max="6153" width="13.36328125" customWidth="1"/>
    <col min="6154" max="6154" width="11.54296875" customWidth="1"/>
    <col min="6155" max="6155" width="13.7265625" customWidth="1"/>
    <col min="6156" max="6156" width="7.7265625" customWidth="1"/>
    <col min="6157" max="6157" width="8.36328125" customWidth="1"/>
    <col min="6158" max="6158" width="22.453125" customWidth="1"/>
    <col min="6159" max="6159" width="9.453125" bestFit="1" customWidth="1"/>
    <col min="6160" max="6161" width="10.36328125" bestFit="1" customWidth="1"/>
    <col min="6162" max="6162" width="9.453125" bestFit="1" customWidth="1"/>
    <col min="6163" max="6163" width="11.7265625" customWidth="1"/>
    <col min="6401" max="6401" width="4.453125" customWidth="1"/>
    <col min="6402" max="6402" width="45.90625" customWidth="1"/>
    <col min="6403" max="6403" width="15.26953125" customWidth="1"/>
    <col min="6404" max="6405" width="12.26953125" customWidth="1"/>
    <col min="6406" max="6406" width="11.7265625" customWidth="1"/>
    <col min="6407" max="6407" width="12.1796875" customWidth="1"/>
    <col min="6408" max="6408" width="10.90625" customWidth="1"/>
    <col min="6409" max="6409" width="13.36328125" customWidth="1"/>
    <col min="6410" max="6410" width="11.54296875" customWidth="1"/>
    <col min="6411" max="6411" width="13.7265625" customWidth="1"/>
    <col min="6412" max="6412" width="7.7265625" customWidth="1"/>
    <col min="6413" max="6413" width="8.36328125" customWidth="1"/>
    <col min="6414" max="6414" width="22.453125" customWidth="1"/>
    <col min="6415" max="6415" width="9.453125" bestFit="1" customWidth="1"/>
    <col min="6416" max="6417" width="10.36328125" bestFit="1" customWidth="1"/>
    <col min="6418" max="6418" width="9.453125" bestFit="1" customWidth="1"/>
    <col min="6419" max="6419" width="11.7265625" customWidth="1"/>
    <col min="6657" max="6657" width="4.453125" customWidth="1"/>
    <col min="6658" max="6658" width="45.90625" customWidth="1"/>
    <col min="6659" max="6659" width="15.26953125" customWidth="1"/>
    <col min="6660" max="6661" width="12.26953125" customWidth="1"/>
    <col min="6662" max="6662" width="11.7265625" customWidth="1"/>
    <col min="6663" max="6663" width="12.1796875" customWidth="1"/>
    <col min="6664" max="6664" width="10.90625" customWidth="1"/>
    <col min="6665" max="6665" width="13.36328125" customWidth="1"/>
    <col min="6666" max="6666" width="11.54296875" customWidth="1"/>
    <col min="6667" max="6667" width="13.7265625" customWidth="1"/>
    <col min="6668" max="6668" width="7.7265625" customWidth="1"/>
    <col min="6669" max="6669" width="8.36328125" customWidth="1"/>
    <col min="6670" max="6670" width="22.453125" customWidth="1"/>
    <col min="6671" max="6671" width="9.453125" bestFit="1" customWidth="1"/>
    <col min="6672" max="6673" width="10.36328125" bestFit="1" customWidth="1"/>
    <col min="6674" max="6674" width="9.453125" bestFit="1" customWidth="1"/>
    <col min="6675" max="6675" width="11.7265625" customWidth="1"/>
    <col min="6913" max="6913" width="4.453125" customWidth="1"/>
    <col min="6914" max="6914" width="45.90625" customWidth="1"/>
    <col min="6915" max="6915" width="15.26953125" customWidth="1"/>
    <col min="6916" max="6917" width="12.26953125" customWidth="1"/>
    <col min="6918" max="6918" width="11.7265625" customWidth="1"/>
    <col min="6919" max="6919" width="12.1796875" customWidth="1"/>
    <col min="6920" max="6920" width="10.90625" customWidth="1"/>
    <col min="6921" max="6921" width="13.36328125" customWidth="1"/>
    <col min="6922" max="6922" width="11.54296875" customWidth="1"/>
    <col min="6923" max="6923" width="13.7265625" customWidth="1"/>
    <col min="6924" max="6924" width="7.7265625" customWidth="1"/>
    <col min="6925" max="6925" width="8.36328125" customWidth="1"/>
    <col min="6926" max="6926" width="22.453125" customWidth="1"/>
    <col min="6927" max="6927" width="9.453125" bestFit="1" customWidth="1"/>
    <col min="6928" max="6929" width="10.36328125" bestFit="1" customWidth="1"/>
    <col min="6930" max="6930" width="9.453125" bestFit="1" customWidth="1"/>
    <col min="6931" max="6931" width="11.7265625" customWidth="1"/>
    <col min="7169" max="7169" width="4.453125" customWidth="1"/>
    <col min="7170" max="7170" width="45.90625" customWidth="1"/>
    <col min="7171" max="7171" width="15.26953125" customWidth="1"/>
    <col min="7172" max="7173" width="12.26953125" customWidth="1"/>
    <col min="7174" max="7174" width="11.7265625" customWidth="1"/>
    <col min="7175" max="7175" width="12.1796875" customWidth="1"/>
    <col min="7176" max="7176" width="10.90625" customWidth="1"/>
    <col min="7177" max="7177" width="13.36328125" customWidth="1"/>
    <col min="7178" max="7178" width="11.54296875" customWidth="1"/>
    <col min="7179" max="7179" width="13.7265625" customWidth="1"/>
    <col min="7180" max="7180" width="7.7265625" customWidth="1"/>
    <col min="7181" max="7181" width="8.36328125" customWidth="1"/>
    <col min="7182" max="7182" width="22.453125" customWidth="1"/>
    <col min="7183" max="7183" width="9.453125" bestFit="1" customWidth="1"/>
    <col min="7184" max="7185" width="10.36328125" bestFit="1" customWidth="1"/>
    <col min="7186" max="7186" width="9.453125" bestFit="1" customWidth="1"/>
    <col min="7187" max="7187" width="11.7265625" customWidth="1"/>
    <col min="7425" max="7425" width="4.453125" customWidth="1"/>
    <col min="7426" max="7426" width="45.90625" customWidth="1"/>
    <col min="7427" max="7427" width="15.26953125" customWidth="1"/>
    <col min="7428" max="7429" width="12.26953125" customWidth="1"/>
    <col min="7430" max="7430" width="11.7265625" customWidth="1"/>
    <col min="7431" max="7431" width="12.1796875" customWidth="1"/>
    <col min="7432" max="7432" width="10.90625" customWidth="1"/>
    <col min="7433" max="7433" width="13.36328125" customWidth="1"/>
    <col min="7434" max="7434" width="11.54296875" customWidth="1"/>
    <col min="7435" max="7435" width="13.7265625" customWidth="1"/>
    <col min="7436" max="7436" width="7.7265625" customWidth="1"/>
    <col min="7437" max="7437" width="8.36328125" customWidth="1"/>
    <col min="7438" max="7438" width="22.453125" customWidth="1"/>
    <col min="7439" max="7439" width="9.453125" bestFit="1" customWidth="1"/>
    <col min="7440" max="7441" width="10.36328125" bestFit="1" customWidth="1"/>
    <col min="7442" max="7442" width="9.453125" bestFit="1" customWidth="1"/>
    <col min="7443" max="7443" width="11.7265625" customWidth="1"/>
    <col min="7681" max="7681" width="4.453125" customWidth="1"/>
    <col min="7682" max="7682" width="45.90625" customWidth="1"/>
    <col min="7683" max="7683" width="15.26953125" customWidth="1"/>
    <col min="7684" max="7685" width="12.26953125" customWidth="1"/>
    <col min="7686" max="7686" width="11.7265625" customWidth="1"/>
    <col min="7687" max="7687" width="12.1796875" customWidth="1"/>
    <col min="7688" max="7688" width="10.90625" customWidth="1"/>
    <col min="7689" max="7689" width="13.36328125" customWidth="1"/>
    <col min="7690" max="7690" width="11.54296875" customWidth="1"/>
    <col min="7691" max="7691" width="13.7265625" customWidth="1"/>
    <col min="7692" max="7692" width="7.7265625" customWidth="1"/>
    <col min="7693" max="7693" width="8.36328125" customWidth="1"/>
    <col min="7694" max="7694" width="22.453125" customWidth="1"/>
    <col min="7695" max="7695" width="9.453125" bestFit="1" customWidth="1"/>
    <col min="7696" max="7697" width="10.36328125" bestFit="1" customWidth="1"/>
    <col min="7698" max="7698" width="9.453125" bestFit="1" customWidth="1"/>
    <col min="7699" max="7699" width="11.7265625" customWidth="1"/>
    <col min="7937" max="7937" width="4.453125" customWidth="1"/>
    <col min="7938" max="7938" width="45.90625" customWidth="1"/>
    <col min="7939" max="7939" width="15.26953125" customWidth="1"/>
    <col min="7940" max="7941" width="12.26953125" customWidth="1"/>
    <col min="7942" max="7942" width="11.7265625" customWidth="1"/>
    <col min="7943" max="7943" width="12.1796875" customWidth="1"/>
    <col min="7944" max="7944" width="10.90625" customWidth="1"/>
    <col min="7945" max="7945" width="13.36328125" customWidth="1"/>
    <col min="7946" max="7946" width="11.54296875" customWidth="1"/>
    <col min="7947" max="7947" width="13.7265625" customWidth="1"/>
    <col min="7948" max="7948" width="7.7265625" customWidth="1"/>
    <col min="7949" max="7949" width="8.36328125" customWidth="1"/>
    <col min="7950" max="7950" width="22.453125" customWidth="1"/>
    <col min="7951" max="7951" width="9.453125" bestFit="1" customWidth="1"/>
    <col min="7952" max="7953" width="10.36328125" bestFit="1" customWidth="1"/>
    <col min="7954" max="7954" width="9.453125" bestFit="1" customWidth="1"/>
    <col min="7955" max="7955" width="11.7265625" customWidth="1"/>
    <col min="8193" max="8193" width="4.453125" customWidth="1"/>
    <col min="8194" max="8194" width="45.90625" customWidth="1"/>
    <col min="8195" max="8195" width="15.26953125" customWidth="1"/>
    <col min="8196" max="8197" width="12.26953125" customWidth="1"/>
    <col min="8198" max="8198" width="11.7265625" customWidth="1"/>
    <col min="8199" max="8199" width="12.1796875" customWidth="1"/>
    <col min="8200" max="8200" width="10.90625" customWidth="1"/>
    <col min="8201" max="8201" width="13.36328125" customWidth="1"/>
    <col min="8202" max="8202" width="11.54296875" customWidth="1"/>
    <col min="8203" max="8203" width="13.7265625" customWidth="1"/>
    <col min="8204" max="8204" width="7.7265625" customWidth="1"/>
    <col min="8205" max="8205" width="8.36328125" customWidth="1"/>
    <col min="8206" max="8206" width="22.453125" customWidth="1"/>
    <col min="8207" max="8207" width="9.453125" bestFit="1" customWidth="1"/>
    <col min="8208" max="8209" width="10.36328125" bestFit="1" customWidth="1"/>
    <col min="8210" max="8210" width="9.453125" bestFit="1" customWidth="1"/>
    <col min="8211" max="8211" width="11.7265625" customWidth="1"/>
    <col min="8449" max="8449" width="4.453125" customWidth="1"/>
    <col min="8450" max="8450" width="45.90625" customWidth="1"/>
    <col min="8451" max="8451" width="15.26953125" customWidth="1"/>
    <col min="8452" max="8453" width="12.26953125" customWidth="1"/>
    <col min="8454" max="8454" width="11.7265625" customWidth="1"/>
    <col min="8455" max="8455" width="12.1796875" customWidth="1"/>
    <col min="8456" max="8456" width="10.90625" customWidth="1"/>
    <col min="8457" max="8457" width="13.36328125" customWidth="1"/>
    <col min="8458" max="8458" width="11.54296875" customWidth="1"/>
    <col min="8459" max="8459" width="13.7265625" customWidth="1"/>
    <col min="8460" max="8460" width="7.7265625" customWidth="1"/>
    <col min="8461" max="8461" width="8.36328125" customWidth="1"/>
    <col min="8462" max="8462" width="22.453125" customWidth="1"/>
    <col min="8463" max="8463" width="9.453125" bestFit="1" customWidth="1"/>
    <col min="8464" max="8465" width="10.36328125" bestFit="1" customWidth="1"/>
    <col min="8466" max="8466" width="9.453125" bestFit="1" customWidth="1"/>
    <col min="8467" max="8467" width="11.7265625" customWidth="1"/>
    <col min="8705" max="8705" width="4.453125" customWidth="1"/>
    <col min="8706" max="8706" width="45.90625" customWidth="1"/>
    <col min="8707" max="8707" width="15.26953125" customWidth="1"/>
    <col min="8708" max="8709" width="12.26953125" customWidth="1"/>
    <col min="8710" max="8710" width="11.7265625" customWidth="1"/>
    <col min="8711" max="8711" width="12.1796875" customWidth="1"/>
    <col min="8712" max="8712" width="10.90625" customWidth="1"/>
    <col min="8713" max="8713" width="13.36328125" customWidth="1"/>
    <col min="8714" max="8714" width="11.54296875" customWidth="1"/>
    <col min="8715" max="8715" width="13.7265625" customWidth="1"/>
    <col min="8716" max="8716" width="7.7265625" customWidth="1"/>
    <col min="8717" max="8717" width="8.36328125" customWidth="1"/>
    <col min="8718" max="8718" width="22.453125" customWidth="1"/>
    <col min="8719" max="8719" width="9.453125" bestFit="1" customWidth="1"/>
    <col min="8720" max="8721" width="10.36328125" bestFit="1" customWidth="1"/>
    <col min="8722" max="8722" width="9.453125" bestFit="1" customWidth="1"/>
    <col min="8723" max="8723" width="11.7265625" customWidth="1"/>
    <col min="8961" max="8961" width="4.453125" customWidth="1"/>
    <col min="8962" max="8962" width="45.90625" customWidth="1"/>
    <col min="8963" max="8963" width="15.26953125" customWidth="1"/>
    <col min="8964" max="8965" width="12.26953125" customWidth="1"/>
    <col min="8966" max="8966" width="11.7265625" customWidth="1"/>
    <col min="8967" max="8967" width="12.1796875" customWidth="1"/>
    <col min="8968" max="8968" width="10.90625" customWidth="1"/>
    <col min="8969" max="8969" width="13.36328125" customWidth="1"/>
    <col min="8970" max="8970" width="11.54296875" customWidth="1"/>
    <col min="8971" max="8971" width="13.7265625" customWidth="1"/>
    <col min="8972" max="8972" width="7.7265625" customWidth="1"/>
    <col min="8973" max="8973" width="8.36328125" customWidth="1"/>
    <col min="8974" max="8974" width="22.453125" customWidth="1"/>
    <col min="8975" max="8975" width="9.453125" bestFit="1" customWidth="1"/>
    <col min="8976" max="8977" width="10.36328125" bestFit="1" customWidth="1"/>
    <col min="8978" max="8978" width="9.453125" bestFit="1" customWidth="1"/>
    <col min="8979" max="8979" width="11.7265625" customWidth="1"/>
    <col min="9217" max="9217" width="4.453125" customWidth="1"/>
    <col min="9218" max="9218" width="45.90625" customWidth="1"/>
    <col min="9219" max="9219" width="15.26953125" customWidth="1"/>
    <col min="9220" max="9221" width="12.26953125" customWidth="1"/>
    <col min="9222" max="9222" width="11.7265625" customWidth="1"/>
    <col min="9223" max="9223" width="12.1796875" customWidth="1"/>
    <col min="9224" max="9224" width="10.90625" customWidth="1"/>
    <col min="9225" max="9225" width="13.36328125" customWidth="1"/>
    <col min="9226" max="9226" width="11.54296875" customWidth="1"/>
    <col min="9227" max="9227" width="13.7265625" customWidth="1"/>
    <col min="9228" max="9228" width="7.7265625" customWidth="1"/>
    <col min="9229" max="9229" width="8.36328125" customWidth="1"/>
    <col min="9230" max="9230" width="22.453125" customWidth="1"/>
    <col min="9231" max="9231" width="9.453125" bestFit="1" customWidth="1"/>
    <col min="9232" max="9233" width="10.36328125" bestFit="1" customWidth="1"/>
    <col min="9234" max="9234" width="9.453125" bestFit="1" customWidth="1"/>
    <col min="9235" max="9235" width="11.7265625" customWidth="1"/>
    <col min="9473" max="9473" width="4.453125" customWidth="1"/>
    <col min="9474" max="9474" width="45.90625" customWidth="1"/>
    <col min="9475" max="9475" width="15.26953125" customWidth="1"/>
    <col min="9476" max="9477" width="12.26953125" customWidth="1"/>
    <col min="9478" max="9478" width="11.7265625" customWidth="1"/>
    <col min="9479" max="9479" width="12.1796875" customWidth="1"/>
    <col min="9480" max="9480" width="10.90625" customWidth="1"/>
    <col min="9481" max="9481" width="13.36328125" customWidth="1"/>
    <col min="9482" max="9482" width="11.54296875" customWidth="1"/>
    <col min="9483" max="9483" width="13.7265625" customWidth="1"/>
    <col min="9484" max="9484" width="7.7265625" customWidth="1"/>
    <col min="9485" max="9485" width="8.36328125" customWidth="1"/>
    <col min="9486" max="9486" width="22.453125" customWidth="1"/>
    <col min="9487" max="9487" width="9.453125" bestFit="1" customWidth="1"/>
    <col min="9488" max="9489" width="10.36328125" bestFit="1" customWidth="1"/>
    <col min="9490" max="9490" width="9.453125" bestFit="1" customWidth="1"/>
    <col min="9491" max="9491" width="11.7265625" customWidth="1"/>
    <col min="9729" max="9729" width="4.453125" customWidth="1"/>
    <col min="9730" max="9730" width="45.90625" customWidth="1"/>
    <col min="9731" max="9731" width="15.26953125" customWidth="1"/>
    <col min="9732" max="9733" width="12.26953125" customWidth="1"/>
    <col min="9734" max="9734" width="11.7265625" customWidth="1"/>
    <col min="9735" max="9735" width="12.1796875" customWidth="1"/>
    <col min="9736" max="9736" width="10.90625" customWidth="1"/>
    <col min="9737" max="9737" width="13.36328125" customWidth="1"/>
    <col min="9738" max="9738" width="11.54296875" customWidth="1"/>
    <col min="9739" max="9739" width="13.7265625" customWidth="1"/>
    <col min="9740" max="9740" width="7.7265625" customWidth="1"/>
    <col min="9741" max="9741" width="8.36328125" customWidth="1"/>
    <col min="9742" max="9742" width="22.453125" customWidth="1"/>
    <col min="9743" max="9743" width="9.453125" bestFit="1" customWidth="1"/>
    <col min="9744" max="9745" width="10.36328125" bestFit="1" customWidth="1"/>
    <col min="9746" max="9746" width="9.453125" bestFit="1" customWidth="1"/>
    <col min="9747" max="9747" width="11.7265625" customWidth="1"/>
    <col min="9985" max="9985" width="4.453125" customWidth="1"/>
    <col min="9986" max="9986" width="45.90625" customWidth="1"/>
    <col min="9987" max="9987" width="15.26953125" customWidth="1"/>
    <col min="9988" max="9989" width="12.26953125" customWidth="1"/>
    <col min="9990" max="9990" width="11.7265625" customWidth="1"/>
    <col min="9991" max="9991" width="12.1796875" customWidth="1"/>
    <col min="9992" max="9992" width="10.90625" customWidth="1"/>
    <col min="9993" max="9993" width="13.36328125" customWidth="1"/>
    <col min="9994" max="9994" width="11.54296875" customWidth="1"/>
    <col min="9995" max="9995" width="13.7265625" customWidth="1"/>
    <col min="9996" max="9996" width="7.7265625" customWidth="1"/>
    <col min="9997" max="9997" width="8.36328125" customWidth="1"/>
    <col min="9998" max="9998" width="22.453125" customWidth="1"/>
    <col min="9999" max="9999" width="9.453125" bestFit="1" customWidth="1"/>
    <col min="10000" max="10001" width="10.36328125" bestFit="1" customWidth="1"/>
    <col min="10002" max="10002" width="9.453125" bestFit="1" customWidth="1"/>
    <col min="10003" max="10003" width="11.7265625" customWidth="1"/>
    <col min="10241" max="10241" width="4.453125" customWidth="1"/>
    <col min="10242" max="10242" width="45.90625" customWidth="1"/>
    <col min="10243" max="10243" width="15.26953125" customWidth="1"/>
    <col min="10244" max="10245" width="12.26953125" customWidth="1"/>
    <col min="10246" max="10246" width="11.7265625" customWidth="1"/>
    <col min="10247" max="10247" width="12.1796875" customWidth="1"/>
    <col min="10248" max="10248" width="10.90625" customWidth="1"/>
    <col min="10249" max="10249" width="13.36328125" customWidth="1"/>
    <col min="10250" max="10250" width="11.54296875" customWidth="1"/>
    <col min="10251" max="10251" width="13.7265625" customWidth="1"/>
    <col min="10252" max="10252" width="7.7265625" customWidth="1"/>
    <col min="10253" max="10253" width="8.36328125" customWidth="1"/>
    <col min="10254" max="10254" width="22.453125" customWidth="1"/>
    <col min="10255" max="10255" width="9.453125" bestFit="1" customWidth="1"/>
    <col min="10256" max="10257" width="10.36328125" bestFit="1" customWidth="1"/>
    <col min="10258" max="10258" width="9.453125" bestFit="1" customWidth="1"/>
    <col min="10259" max="10259" width="11.7265625" customWidth="1"/>
    <col min="10497" max="10497" width="4.453125" customWidth="1"/>
    <col min="10498" max="10498" width="45.90625" customWidth="1"/>
    <col min="10499" max="10499" width="15.26953125" customWidth="1"/>
    <col min="10500" max="10501" width="12.26953125" customWidth="1"/>
    <col min="10502" max="10502" width="11.7265625" customWidth="1"/>
    <col min="10503" max="10503" width="12.1796875" customWidth="1"/>
    <col min="10504" max="10504" width="10.90625" customWidth="1"/>
    <col min="10505" max="10505" width="13.36328125" customWidth="1"/>
    <col min="10506" max="10506" width="11.54296875" customWidth="1"/>
    <col min="10507" max="10507" width="13.7265625" customWidth="1"/>
    <col min="10508" max="10508" width="7.7265625" customWidth="1"/>
    <col min="10509" max="10509" width="8.36328125" customWidth="1"/>
    <col min="10510" max="10510" width="22.453125" customWidth="1"/>
    <col min="10511" max="10511" width="9.453125" bestFit="1" customWidth="1"/>
    <col min="10512" max="10513" width="10.36328125" bestFit="1" customWidth="1"/>
    <col min="10514" max="10514" width="9.453125" bestFit="1" customWidth="1"/>
    <col min="10515" max="10515" width="11.7265625" customWidth="1"/>
    <col min="10753" max="10753" width="4.453125" customWidth="1"/>
    <col min="10754" max="10754" width="45.90625" customWidth="1"/>
    <col min="10755" max="10755" width="15.26953125" customWidth="1"/>
    <col min="10756" max="10757" width="12.26953125" customWidth="1"/>
    <col min="10758" max="10758" width="11.7265625" customWidth="1"/>
    <col min="10759" max="10759" width="12.1796875" customWidth="1"/>
    <col min="10760" max="10760" width="10.90625" customWidth="1"/>
    <col min="10761" max="10761" width="13.36328125" customWidth="1"/>
    <col min="10762" max="10762" width="11.54296875" customWidth="1"/>
    <col min="10763" max="10763" width="13.7265625" customWidth="1"/>
    <col min="10764" max="10764" width="7.7265625" customWidth="1"/>
    <col min="10765" max="10765" width="8.36328125" customWidth="1"/>
    <col min="10766" max="10766" width="22.453125" customWidth="1"/>
    <col min="10767" max="10767" width="9.453125" bestFit="1" customWidth="1"/>
    <col min="10768" max="10769" width="10.36328125" bestFit="1" customWidth="1"/>
    <col min="10770" max="10770" width="9.453125" bestFit="1" customWidth="1"/>
    <col min="10771" max="10771" width="11.7265625" customWidth="1"/>
    <col min="11009" max="11009" width="4.453125" customWidth="1"/>
    <col min="11010" max="11010" width="45.90625" customWidth="1"/>
    <col min="11011" max="11011" width="15.26953125" customWidth="1"/>
    <col min="11012" max="11013" width="12.26953125" customWidth="1"/>
    <col min="11014" max="11014" width="11.7265625" customWidth="1"/>
    <col min="11015" max="11015" width="12.1796875" customWidth="1"/>
    <col min="11016" max="11016" width="10.90625" customWidth="1"/>
    <col min="11017" max="11017" width="13.36328125" customWidth="1"/>
    <col min="11018" max="11018" width="11.54296875" customWidth="1"/>
    <col min="11019" max="11019" width="13.7265625" customWidth="1"/>
    <col min="11020" max="11020" width="7.7265625" customWidth="1"/>
    <col min="11021" max="11021" width="8.36328125" customWidth="1"/>
    <col min="11022" max="11022" width="22.453125" customWidth="1"/>
    <col min="11023" max="11023" width="9.453125" bestFit="1" customWidth="1"/>
    <col min="11024" max="11025" width="10.36328125" bestFit="1" customWidth="1"/>
    <col min="11026" max="11026" width="9.453125" bestFit="1" customWidth="1"/>
    <col min="11027" max="11027" width="11.7265625" customWidth="1"/>
    <col min="11265" max="11265" width="4.453125" customWidth="1"/>
    <col min="11266" max="11266" width="45.90625" customWidth="1"/>
    <col min="11267" max="11267" width="15.26953125" customWidth="1"/>
    <col min="11268" max="11269" width="12.26953125" customWidth="1"/>
    <col min="11270" max="11270" width="11.7265625" customWidth="1"/>
    <col min="11271" max="11271" width="12.1796875" customWidth="1"/>
    <col min="11272" max="11272" width="10.90625" customWidth="1"/>
    <col min="11273" max="11273" width="13.36328125" customWidth="1"/>
    <col min="11274" max="11274" width="11.54296875" customWidth="1"/>
    <col min="11275" max="11275" width="13.7265625" customWidth="1"/>
    <col min="11276" max="11276" width="7.7265625" customWidth="1"/>
    <col min="11277" max="11277" width="8.36328125" customWidth="1"/>
    <col min="11278" max="11278" width="22.453125" customWidth="1"/>
    <col min="11279" max="11279" width="9.453125" bestFit="1" customWidth="1"/>
    <col min="11280" max="11281" width="10.36328125" bestFit="1" customWidth="1"/>
    <col min="11282" max="11282" width="9.453125" bestFit="1" customWidth="1"/>
    <col min="11283" max="11283" width="11.7265625" customWidth="1"/>
    <col min="11521" max="11521" width="4.453125" customWidth="1"/>
    <col min="11522" max="11522" width="45.90625" customWidth="1"/>
    <col min="11523" max="11523" width="15.26953125" customWidth="1"/>
    <col min="11524" max="11525" width="12.26953125" customWidth="1"/>
    <col min="11526" max="11526" width="11.7265625" customWidth="1"/>
    <col min="11527" max="11527" width="12.1796875" customWidth="1"/>
    <col min="11528" max="11528" width="10.90625" customWidth="1"/>
    <col min="11529" max="11529" width="13.36328125" customWidth="1"/>
    <col min="11530" max="11530" width="11.54296875" customWidth="1"/>
    <col min="11531" max="11531" width="13.7265625" customWidth="1"/>
    <col min="11532" max="11532" width="7.7265625" customWidth="1"/>
    <col min="11533" max="11533" width="8.36328125" customWidth="1"/>
    <col min="11534" max="11534" width="22.453125" customWidth="1"/>
    <col min="11535" max="11535" width="9.453125" bestFit="1" customWidth="1"/>
    <col min="11536" max="11537" width="10.36328125" bestFit="1" customWidth="1"/>
    <col min="11538" max="11538" width="9.453125" bestFit="1" customWidth="1"/>
    <col min="11539" max="11539" width="11.7265625" customWidth="1"/>
    <col min="11777" max="11777" width="4.453125" customWidth="1"/>
    <col min="11778" max="11778" width="45.90625" customWidth="1"/>
    <col min="11779" max="11779" width="15.26953125" customWidth="1"/>
    <col min="11780" max="11781" width="12.26953125" customWidth="1"/>
    <col min="11782" max="11782" width="11.7265625" customWidth="1"/>
    <col min="11783" max="11783" width="12.1796875" customWidth="1"/>
    <col min="11784" max="11784" width="10.90625" customWidth="1"/>
    <col min="11785" max="11785" width="13.36328125" customWidth="1"/>
    <col min="11786" max="11786" width="11.54296875" customWidth="1"/>
    <col min="11787" max="11787" width="13.7265625" customWidth="1"/>
    <col min="11788" max="11788" width="7.7265625" customWidth="1"/>
    <col min="11789" max="11789" width="8.36328125" customWidth="1"/>
    <col min="11790" max="11790" width="22.453125" customWidth="1"/>
    <col min="11791" max="11791" width="9.453125" bestFit="1" customWidth="1"/>
    <col min="11792" max="11793" width="10.36328125" bestFit="1" customWidth="1"/>
    <col min="11794" max="11794" width="9.453125" bestFit="1" customWidth="1"/>
    <col min="11795" max="11795" width="11.7265625" customWidth="1"/>
    <col min="12033" max="12033" width="4.453125" customWidth="1"/>
    <col min="12034" max="12034" width="45.90625" customWidth="1"/>
    <col min="12035" max="12035" width="15.26953125" customWidth="1"/>
    <col min="12036" max="12037" width="12.26953125" customWidth="1"/>
    <col min="12038" max="12038" width="11.7265625" customWidth="1"/>
    <col min="12039" max="12039" width="12.1796875" customWidth="1"/>
    <col min="12040" max="12040" width="10.90625" customWidth="1"/>
    <col min="12041" max="12041" width="13.36328125" customWidth="1"/>
    <col min="12042" max="12042" width="11.54296875" customWidth="1"/>
    <col min="12043" max="12043" width="13.7265625" customWidth="1"/>
    <col min="12044" max="12044" width="7.7265625" customWidth="1"/>
    <col min="12045" max="12045" width="8.36328125" customWidth="1"/>
    <col min="12046" max="12046" width="22.453125" customWidth="1"/>
    <col min="12047" max="12047" width="9.453125" bestFit="1" customWidth="1"/>
    <col min="12048" max="12049" width="10.36328125" bestFit="1" customWidth="1"/>
    <col min="12050" max="12050" width="9.453125" bestFit="1" customWidth="1"/>
    <col min="12051" max="12051" width="11.7265625" customWidth="1"/>
    <col min="12289" max="12289" width="4.453125" customWidth="1"/>
    <col min="12290" max="12290" width="45.90625" customWidth="1"/>
    <col min="12291" max="12291" width="15.26953125" customWidth="1"/>
    <col min="12292" max="12293" width="12.26953125" customWidth="1"/>
    <col min="12294" max="12294" width="11.7265625" customWidth="1"/>
    <col min="12295" max="12295" width="12.1796875" customWidth="1"/>
    <col min="12296" max="12296" width="10.90625" customWidth="1"/>
    <col min="12297" max="12297" width="13.36328125" customWidth="1"/>
    <col min="12298" max="12298" width="11.54296875" customWidth="1"/>
    <col min="12299" max="12299" width="13.7265625" customWidth="1"/>
    <col min="12300" max="12300" width="7.7265625" customWidth="1"/>
    <col min="12301" max="12301" width="8.36328125" customWidth="1"/>
    <col min="12302" max="12302" width="22.453125" customWidth="1"/>
    <col min="12303" max="12303" width="9.453125" bestFit="1" customWidth="1"/>
    <col min="12304" max="12305" width="10.36328125" bestFit="1" customWidth="1"/>
    <col min="12306" max="12306" width="9.453125" bestFit="1" customWidth="1"/>
    <col min="12307" max="12307" width="11.7265625" customWidth="1"/>
    <col min="12545" max="12545" width="4.453125" customWidth="1"/>
    <col min="12546" max="12546" width="45.90625" customWidth="1"/>
    <col min="12547" max="12547" width="15.26953125" customWidth="1"/>
    <col min="12548" max="12549" width="12.26953125" customWidth="1"/>
    <col min="12550" max="12550" width="11.7265625" customWidth="1"/>
    <col min="12551" max="12551" width="12.1796875" customWidth="1"/>
    <col min="12552" max="12552" width="10.90625" customWidth="1"/>
    <col min="12553" max="12553" width="13.36328125" customWidth="1"/>
    <col min="12554" max="12554" width="11.54296875" customWidth="1"/>
    <col min="12555" max="12555" width="13.7265625" customWidth="1"/>
    <col min="12556" max="12556" width="7.7265625" customWidth="1"/>
    <col min="12557" max="12557" width="8.36328125" customWidth="1"/>
    <col min="12558" max="12558" width="22.453125" customWidth="1"/>
    <col min="12559" max="12559" width="9.453125" bestFit="1" customWidth="1"/>
    <col min="12560" max="12561" width="10.36328125" bestFit="1" customWidth="1"/>
    <col min="12562" max="12562" width="9.453125" bestFit="1" customWidth="1"/>
    <col min="12563" max="12563" width="11.7265625" customWidth="1"/>
    <col min="12801" max="12801" width="4.453125" customWidth="1"/>
    <col min="12802" max="12802" width="45.90625" customWidth="1"/>
    <col min="12803" max="12803" width="15.26953125" customWidth="1"/>
    <col min="12804" max="12805" width="12.26953125" customWidth="1"/>
    <col min="12806" max="12806" width="11.7265625" customWidth="1"/>
    <col min="12807" max="12807" width="12.1796875" customWidth="1"/>
    <col min="12808" max="12808" width="10.90625" customWidth="1"/>
    <col min="12809" max="12809" width="13.36328125" customWidth="1"/>
    <col min="12810" max="12810" width="11.54296875" customWidth="1"/>
    <col min="12811" max="12811" width="13.7265625" customWidth="1"/>
    <col min="12812" max="12812" width="7.7265625" customWidth="1"/>
    <col min="12813" max="12813" width="8.36328125" customWidth="1"/>
    <col min="12814" max="12814" width="22.453125" customWidth="1"/>
    <col min="12815" max="12815" width="9.453125" bestFit="1" customWidth="1"/>
    <col min="12816" max="12817" width="10.36328125" bestFit="1" customWidth="1"/>
    <col min="12818" max="12818" width="9.453125" bestFit="1" customWidth="1"/>
    <col min="12819" max="12819" width="11.7265625" customWidth="1"/>
    <col min="13057" max="13057" width="4.453125" customWidth="1"/>
    <col min="13058" max="13058" width="45.90625" customWidth="1"/>
    <col min="13059" max="13059" width="15.26953125" customWidth="1"/>
    <col min="13060" max="13061" width="12.26953125" customWidth="1"/>
    <col min="13062" max="13062" width="11.7265625" customWidth="1"/>
    <col min="13063" max="13063" width="12.1796875" customWidth="1"/>
    <col min="13064" max="13064" width="10.90625" customWidth="1"/>
    <col min="13065" max="13065" width="13.36328125" customWidth="1"/>
    <col min="13066" max="13066" width="11.54296875" customWidth="1"/>
    <col min="13067" max="13067" width="13.7265625" customWidth="1"/>
    <col min="13068" max="13068" width="7.7265625" customWidth="1"/>
    <col min="13069" max="13069" width="8.36328125" customWidth="1"/>
    <col min="13070" max="13070" width="22.453125" customWidth="1"/>
    <col min="13071" max="13071" width="9.453125" bestFit="1" customWidth="1"/>
    <col min="13072" max="13073" width="10.36328125" bestFit="1" customWidth="1"/>
    <col min="13074" max="13074" width="9.453125" bestFit="1" customWidth="1"/>
    <col min="13075" max="13075" width="11.7265625" customWidth="1"/>
    <col min="13313" max="13313" width="4.453125" customWidth="1"/>
    <col min="13314" max="13314" width="45.90625" customWidth="1"/>
    <col min="13315" max="13315" width="15.26953125" customWidth="1"/>
    <col min="13316" max="13317" width="12.26953125" customWidth="1"/>
    <col min="13318" max="13318" width="11.7265625" customWidth="1"/>
    <col min="13319" max="13319" width="12.1796875" customWidth="1"/>
    <col min="13320" max="13320" width="10.90625" customWidth="1"/>
    <col min="13321" max="13321" width="13.36328125" customWidth="1"/>
    <col min="13322" max="13322" width="11.54296875" customWidth="1"/>
    <col min="13323" max="13323" width="13.7265625" customWidth="1"/>
    <col min="13324" max="13324" width="7.7265625" customWidth="1"/>
    <col min="13325" max="13325" width="8.36328125" customWidth="1"/>
    <col min="13326" max="13326" width="22.453125" customWidth="1"/>
    <col min="13327" max="13327" width="9.453125" bestFit="1" customWidth="1"/>
    <col min="13328" max="13329" width="10.36328125" bestFit="1" customWidth="1"/>
    <col min="13330" max="13330" width="9.453125" bestFit="1" customWidth="1"/>
    <col min="13331" max="13331" width="11.7265625" customWidth="1"/>
    <col min="13569" max="13569" width="4.453125" customWidth="1"/>
    <col min="13570" max="13570" width="45.90625" customWidth="1"/>
    <col min="13571" max="13571" width="15.26953125" customWidth="1"/>
    <col min="13572" max="13573" width="12.26953125" customWidth="1"/>
    <col min="13574" max="13574" width="11.7265625" customWidth="1"/>
    <col min="13575" max="13575" width="12.1796875" customWidth="1"/>
    <col min="13576" max="13576" width="10.90625" customWidth="1"/>
    <col min="13577" max="13577" width="13.36328125" customWidth="1"/>
    <col min="13578" max="13578" width="11.54296875" customWidth="1"/>
    <col min="13579" max="13579" width="13.7265625" customWidth="1"/>
    <col min="13580" max="13580" width="7.7265625" customWidth="1"/>
    <col min="13581" max="13581" width="8.36328125" customWidth="1"/>
    <col min="13582" max="13582" width="22.453125" customWidth="1"/>
    <col min="13583" max="13583" width="9.453125" bestFit="1" customWidth="1"/>
    <col min="13584" max="13585" width="10.36328125" bestFit="1" customWidth="1"/>
    <col min="13586" max="13586" width="9.453125" bestFit="1" customWidth="1"/>
    <col min="13587" max="13587" width="11.7265625" customWidth="1"/>
    <col min="13825" max="13825" width="4.453125" customWidth="1"/>
    <col min="13826" max="13826" width="45.90625" customWidth="1"/>
    <col min="13827" max="13827" width="15.26953125" customWidth="1"/>
    <col min="13828" max="13829" width="12.26953125" customWidth="1"/>
    <col min="13830" max="13830" width="11.7265625" customWidth="1"/>
    <col min="13831" max="13831" width="12.1796875" customWidth="1"/>
    <col min="13832" max="13832" width="10.90625" customWidth="1"/>
    <col min="13833" max="13833" width="13.36328125" customWidth="1"/>
    <col min="13834" max="13834" width="11.54296875" customWidth="1"/>
    <col min="13835" max="13835" width="13.7265625" customWidth="1"/>
    <col min="13836" max="13836" width="7.7265625" customWidth="1"/>
    <col min="13837" max="13837" width="8.36328125" customWidth="1"/>
    <col min="13838" max="13838" width="22.453125" customWidth="1"/>
    <col min="13839" max="13839" width="9.453125" bestFit="1" customWidth="1"/>
    <col min="13840" max="13841" width="10.36328125" bestFit="1" customWidth="1"/>
    <col min="13842" max="13842" width="9.453125" bestFit="1" customWidth="1"/>
    <col min="13843" max="13843" width="11.7265625" customWidth="1"/>
    <col min="14081" max="14081" width="4.453125" customWidth="1"/>
    <col min="14082" max="14082" width="45.90625" customWidth="1"/>
    <col min="14083" max="14083" width="15.26953125" customWidth="1"/>
    <col min="14084" max="14085" width="12.26953125" customWidth="1"/>
    <col min="14086" max="14086" width="11.7265625" customWidth="1"/>
    <col min="14087" max="14087" width="12.1796875" customWidth="1"/>
    <col min="14088" max="14088" width="10.90625" customWidth="1"/>
    <col min="14089" max="14089" width="13.36328125" customWidth="1"/>
    <col min="14090" max="14090" width="11.54296875" customWidth="1"/>
    <col min="14091" max="14091" width="13.7265625" customWidth="1"/>
    <col min="14092" max="14092" width="7.7265625" customWidth="1"/>
    <col min="14093" max="14093" width="8.36328125" customWidth="1"/>
    <col min="14094" max="14094" width="22.453125" customWidth="1"/>
    <col min="14095" max="14095" width="9.453125" bestFit="1" customWidth="1"/>
    <col min="14096" max="14097" width="10.36328125" bestFit="1" customWidth="1"/>
    <col min="14098" max="14098" width="9.453125" bestFit="1" customWidth="1"/>
    <col min="14099" max="14099" width="11.7265625" customWidth="1"/>
    <col min="14337" max="14337" width="4.453125" customWidth="1"/>
    <col min="14338" max="14338" width="45.90625" customWidth="1"/>
    <col min="14339" max="14339" width="15.26953125" customWidth="1"/>
    <col min="14340" max="14341" width="12.26953125" customWidth="1"/>
    <col min="14342" max="14342" width="11.7265625" customWidth="1"/>
    <col min="14343" max="14343" width="12.1796875" customWidth="1"/>
    <col min="14344" max="14344" width="10.90625" customWidth="1"/>
    <col min="14345" max="14345" width="13.36328125" customWidth="1"/>
    <col min="14346" max="14346" width="11.54296875" customWidth="1"/>
    <col min="14347" max="14347" width="13.7265625" customWidth="1"/>
    <col min="14348" max="14348" width="7.7265625" customWidth="1"/>
    <col min="14349" max="14349" width="8.36328125" customWidth="1"/>
    <col min="14350" max="14350" width="22.453125" customWidth="1"/>
    <col min="14351" max="14351" width="9.453125" bestFit="1" customWidth="1"/>
    <col min="14352" max="14353" width="10.36328125" bestFit="1" customWidth="1"/>
    <col min="14354" max="14354" width="9.453125" bestFit="1" customWidth="1"/>
    <col min="14355" max="14355" width="11.7265625" customWidth="1"/>
    <col min="14593" max="14593" width="4.453125" customWidth="1"/>
    <col min="14594" max="14594" width="45.90625" customWidth="1"/>
    <col min="14595" max="14595" width="15.26953125" customWidth="1"/>
    <col min="14596" max="14597" width="12.26953125" customWidth="1"/>
    <col min="14598" max="14598" width="11.7265625" customWidth="1"/>
    <col min="14599" max="14599" width="12.1796875" customWidth="1"/>
    <col min="14600" max="14600" width="10.90625" customWidth="1"/>
    <col min="14601" max="14601" width="13.36328125" customWidth="1"/>
    <col min="14602" max="14602" width="11.54296875" customWidth="1"/>
    <col min="14603" max="14603" width="13.7265625" customWidth="1"/>
    <col min="14604" max="14604" width="7.7265625" customWidth="1"/>
    <col min="14605" max="14605" width="8.36328125" customWidth="1"/>
    <col min="14606" max="14606" width="22.453125" customWidth="1"/>
    <col min="14607" max="14607" width="9.453125" bestFit="1" customWidth="1"/>
    <col min="14608" max="14609" width="10.36328125" bestFit="1" customWidth="1"/>
    <col min="14610" max="14610" width="9.453125" bestFit="1" customWidth="1"/>
    <col min="14611" max="14611" width="11.7265625" customWidth="1"/>
    <col min="14849" max="14849" width="4.453125" customWidth="1"/>
    <col min="14850" max="14850" width="45.90625" customWidth="1"/>
    <col min="14851" max="14851" width="15.26953125" customWidth="1"/>
    <col min="14852" max="14853" width="12.26953125" customWidth="1"/>
    <col min="14854" max="14854" width="11.7265625" customWidth="1"/>
    <col min="14855" max="14855" width="12.1796875" customWidth="1"/>
    <col min="14856" max="14856" width="10.90625" customWidth="1"/>
    <col min="14857" max="14857" width="13.36328125" customWidth="1"/>
    <col min="14858" max="14858" width="11.54296875" customWidth="1"/>
    <col min="14859" max="14859" width="13.7265625" customWidth="1"/>
    <col min="14860" max="14860" width="7.7265625" customWidth="1"/>
    <col min="14861" max="14861" width="8.36328125" customWidth="1"/>
    <col min="14862" max="14862" width="22.453125" customWidth="1"/>
    <col min="14863" max="14863" width="9.453125" bestFit="1" customWidth="1"/>
    <col min="14864" max="14865" width="10.36328125" bestFit="1" customWidth="1"/>
    <col min="14866" max="14866" width="9.453125" bestFit="1" customWidth="1"/>
    <col min="14867" max="14867" width="11.7265625" customWidth="1"/>
    <col min="15105" max="15105" width="4.453125" customWidth="1"/>
    <col min="15106" max="15106" width="45.90625" customWidth="1"/>
    <col min="15107" max="15107" width="15.26953125" customWidth="1"/>
    <col min="15108" max="15109" width="12.26953125" customWidth="1"/>
    <col min="15110" max="15110" width="11.7265625" customWidth="1"/>
    <col min="15111" max="15111" width="12.1796875" customWidth="1"/>
    <col min="15112" max="15112" width="10.90625" customWidth="1"/>
    <col min="15113" max="15113" width="13.36328125" customWidth="1"/>
    <col min="15114" max="15114" width="11.54296875" customWidth="1"/>
    <col min="15115" max="15115" width="13.7265625" customWidth="1"/>
    <col min="15116" max="15116" width="7.7265625" customWidth="1"/>
    <col min="15117" max="15117" width="8.36328125" customWidth="1"/>
    <col min="15118" max="15118" width="22.453125" customWidth="1"/>
    <col min="15119" max="15119" width="9.453125" bestFit="1" customWidth="1"/>
    <col min="15120" max="15121" width="10.36328125" bestFit="1" customWidth="1"/>
    <col min="15122" max="15122" width="9.453125" bestFit="1" customWidth="1"/>
    <col min="15123" max="15123" width="11.7265625" customWidth="1"/>
    <col min="15361" max="15361" width="4.453125" customWidth="1"/>
    <col min="15362" max="15362" width="45.90625" customWidth="1"/>
    <col min="15363" max="15363" width="15.26953125" customWidth="1"/>
    <col min="15364" max="15365" width="12.26953125" customWidth="1"/>
    <col min="15366" max="15366" width="11.7265625" customWidth="1"/>
    <col min="15367" max="15367" width="12.1796875" customWidth="1"/>
    <col min="15368" max="15368" width="10.90625" customWidth="1"/>
    <col min="15369" max="15369" width="13.36328125" customWidth="1"/>
    <col min="15370" max="15370" width="11.54296875" customWidth="1"/>
    <col min="15371" max="15371" width="13.7265625" customWidth="1"/>
    <col min="15372" max="15372" width="7.7265625" customWidth="1"/>
    <col min="15373" max="15373" width="8.36328125" customWidth="1"/>
    <col min="15374" max="15374" width="22.453125" customWidth="1"/>
    <col min="15375" max="15375" width="9.453125" bestFit="1" customWidth="1"/>
    <col min="15376" max="15377" width="10.36328125" bestFit="1" customWidth="1"/>
    <col min="15378" max="15378" width="9.453125" bestFit="1" customWidth="1"/>
    <col min="15379" max="15379" width="11.7265625" customWidth="1"/>
    <col min="15617" max="15617" width="4.453125" customWidth="1"/>
    <col min="15618" max="15618" width="45.90625" customWidth="1"/>
    <col min="15619" max="15619" width="15.26953125" customWidth="1"/>
    <col min="15620" max="15621" width="12.26953125" customWidth="1"/>
    <col min="15622" max="15622" width="11.7265625" customWidth="1"/>
    <col min="15623" max="15623" width="12.1796875" customWidth="1"/>
    <col min="15624" max="15624" width="10.90625" customWidth="1"/>
    <col min="15625" max="15625" width="13.36328125" customWidth="1"/>
    <col min="15626" max="15626" width="11.54296875" customWidth="1"/>
    <col min="15627" max="15627" width="13.7265625" customWidth="1"/>
    <col min="15628" max="15628" width="7.7265625" customWidth="1"/>
    <col min="15629" max="15629" width="8.36328125" customWidth="1"/>
    <col min="15630" max="15630" width="22.453125" customWidth="1"/>
    <col min="15631" max="15631" width="9.453125" bestFit="1" customWidth="1"/>
    <col min="15632" max="15633" width="10.36328125" bestFit="1" customWidth="1"/>
    <col min="15634" max="15634" width="9.453125" bestFit="1" customWidth="1"/>
    <col min="15635" max="15635" width="11.7265625" customWidth="1"/>
    <col min="15873" max="15873" width="4.453125" customWidth="1"/>
    <col min="15874" max="15874" width="45.90625" customWidth="1"/>
    <col min="15875" max="15875" width="15.26953125" customWidth="1"/>
    <col min="15876" max="15877" width="12.26953125" customWidth="1"/>
    <col min="15878" max="15878" width="11.7265625" customWidth="1"/>
    <col min="15879" max="15879" width="12.1796875" customWidth="1"/>
    <col min="15880" max="15880" width="10.90625" customWidth="1"/>
    <col min="15881" max="15881" width="13.36328125" customWidth="1"/>
    <col min="15882" max="15882" width="11.54296875" customWidth="1"/>
    <col min="15883" max="15883" width="13.7265625" customWidth="1"/>
    <col min="15884" max="15884" width="7.7265625" customWidth="1"/>
    <col min="15885" max="15885" width="8.36328125" customWidth="1"/>
    <col min="15886" max="15886" width="22.453125" customWidth="1"/>
    <col min="15887" max="15887" width="9.453125" bestFit="1" customWidth="1"/>
    <col min="15888" max="15889" width="10.36328125" bestFit="1" customWidth="1"/>
    <col min="15890" max="15890" width="9.453125" bestFit="1" customWidth="1"/>
    <col min="15891" max="15891" width="11.7265625" customWidth="1"/>
    <col min="16129" max="16129" width="4.453125" customWidth="1"/>
    <col min="16130" max="16130" width="45.90625" customWidth="1"/>
    <col min="16131" max="16131" width="15.26953125" customWidth="1"/>
    <col min="16132" max="16133" width="12.26953125" customWidth="1"/>
    <col min="16134" max="16134" width="11.7265625" customWidth="1"/>
    <col min="16135" max="16135" width="12.1796875" customWidth="1"/>
    <col min="16136" max="16136" width="10.90625" customWidth="1"/>
    <col min="16137" max="16137" width="13.36328125" customWidth="1"/>
    <col min="16138" max="16138" width="11.54296875" customWidth="1"/>
    <col min="16139" max="16139" width="13.7265625" customWidth="1"/>
    <col min="16140" max="16140" width="7.7265625" customWidth="1"/>
    <col min="16141" max="16141" width="8.36328125" customWidth="1"/>
    <col min="16142" max="16142" width="22.453125" customWidth="1"/>
    <col min="16143" max="16143" width="9.453125" bestFit="1" customWidth="1"/>
    <col min="16144" max="16145" width="10.36328125" bestFit="1" customWidth="1"/>
    <col min="16146" max="16146" width="9.453125" bestFit="1" customWidth="1"/>
    <col min="16147" max="16147" width="11.7265625" customWidth="1"/>
  </cols>
  <sheetData>
    <row r="1" spans="1:12" ht="20" x14ac:dyDescent="0.4">
      <c r="B1" s="20" t="s">
        <v>40</v>
      </c>
      <c r="C1" s="21"/>
    </row>
    <row r="2" spans="1:12" ht="10.5" customHeight="1" x14ac:dyDescent="0.35">
      <c r="B2" s="22" t="s">
        <v>41</v>
      </c>
      <c r="C2" s="21"/>
    </row>
    <row r="3" spans="1:12" ht="16.5" customHeight="1" x14ac:dyDescent="0.35">
      <c r="B3" s="23"/>
      <c r="D3" s="24"/>
      <c r="E3" s="24"/>
      <c r="F3" s="24"/>
      <c r="G3" s="24"/>
      <c r="H3" s="24"/>
      <c r="I3" s="24"/>
    </row>
    <row r="4" spans="1:12" ht="19" customHeight="1" x14ac:dyDescent="0.4">
      <c r="A4" s="19">
        <f>ROW()</f>
        <v>4</v>
      </c>
      <c r="B4" s="25" t="s">
        <v>42</v>
      </c>
      <c r="D4" s="24"/>
      <c r="G4" s="24"/>
    </row>
    <row r="5" spans="1:12" ht="7.5" customHeight="1" x14ac:dyDescent="0.4">
      <c r="B5" s="25"/>
      <c r="D5" s="24"/>
      <c r="G5" s="24"/>
    </row>
    <row r="6" spans="1:12" ht="14.25" customHeight="1" thickBot="1" x14ac:dyDescent="0.4">
      <c r="A6" s="19">
        <f>ROW()</f>
        <v>6</v>
      </c>
      <c r="B6" s="26" t="s">
        <v>43</v>
      </c>
      <c r="D6" s="27" t="s">
        <v>44</v>
      </c>
      <c r="F6" s="26" t="s">
        <v>45</v>
      </c>
      <c r="G6" s="24"/>
    </row>
    <row r="7" spans="1:12" ht="14.25" customHeight="1" thickTop="1" x14ac:dyDescent="0.35">
      <c r="A7" s="19">
        <f>ROW()</f>
        <v>7</v>
      </c>
      <c r="B7" s="24" t="s">
        <v>46</v>
      </c>
      <c r="C7" s="28">
        <f>+'Fig. 13.6'!E8</f>
        <v>5891000</v>
      </c>
      <c r="D7" s="29">
        <f>+C7/$H$18</f>
        <v>53.469720363698741</v>
      </c>
      <c r="F7" s="24" t="s">
        <v>47</v>
      </c>
      <c r="H7" s="30">
        <f>+C9/C12</f>
        <v>0.15723951285520973</v>
      </c>
    </row>
    <row r="8" spans="1:12" ht="14.25" customHeight="1" x14ac:dyDescent="0.35">
      <c r="A8" s="19">
        <f>ROW()</f>
        <v>8</v>
      </c>
      <c r="B8" s="24" t="s">
        <v>48</v>
      </c>
      <c r="C8" s="28">
        <f>+'Fig. 13.6'!E19</f>
        <v>939000</v>
      </c>
      <c r="D8" s="29">
        <f>+C8/$H$18</f>
        <v>8.5228428826197788</v>
      </c>
      <c r="F8" s="24" t="s">
        <v>49</v>
      </c>
      <c r="H8" s="30">
        <f>+C9/C11</f>
        <v>7.9414980863860035E-2</v>
      </c>
    </row>
    <row r="9" spans="1:12" ht="14.25" customHeight="1" x14ac:dyDescent="0.35">
      <c r="A9" s="19">
        <f>ROW()</f>
        <v>9</v>
      </c>
      <c r="B9" s="24" t="s">
        <v>50</v>
      </c>
      <c r="C9" s="31">
        <f>(77+411+76+17)*1000</f>
        <v>581000</v>
      </c>
      <c r="D9" s="29">
        <f>+C9/$H$18</f>
        <v>5.2734523054335378</v>
      </c>
      <c r="E9" s="32" t="s">
        <v>51</v>
      </c>
      <c r="F9" s="24" t="s">
        <v>52</v>
      </c>
      <c r="H9" s="33">
        <f>+C12/H18</f>
        <v>33.537704420958555</v>
      </c>
    </row>
    <row r="10" spans="1:12" ht="16.5" customHeight="1" x14ac:dyDescent="0.35">
      <c r="A10" s="19">
        <f>ROW()</f>
        <v>10</v>
      </c>
    </row>
    <row r="11" spans="1:12" ht="16.5" customHeight="1" x14ac:dyDescent="0.35">
      <c r="A11" s="19">
        <f>ROW()</f>
        <v>11</v>
      </c>
      <c r="B11" s="24" t="s">
        <v>53</v>
      </c>
      <c r="C11" s="31">
        <v>7316000</v>
      </c>
      <c r="D11" s="29">
        <f>+C11/$H$18</f>
        <v>66.403747102498727</v>
      </c>
    </row>
    <row r="12" spans="1:12" ht="16.5" customHeight="1" x14ac:dyDescent="0.35">
      <c r="A12" s="19">
        <f>ROW()</f>
        <v>12</v>
      </c>
      <c r="B12" s="24" t="s">
        <v>54</v>
      </c>
      <c r="C12" s="31">
        <v>3695000</v>
      </c>
      <c r="D12" s="29">
        <f>+C12/$H$18</f>
        <v>33.537704420958555</v>
      </c>
    </row>
    <row r="13" spans="1:12" ht="8.15" customHeight="1" x14ac:dyDescent="0.35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16.5" customHeight="1" x14ac:dyDescent="0.35">
      <c r="B14" s="24"/>
      <c r="C14" s="30"/>
    </row>
    <row r="15" spans="1:12" ht="16.5" customHeight="1" x14ac:dyDescent="0.4">
      <c r="B15" s="25" t="s">
        <v>55</v>
      </c>
      <c r="C15" s="21"/>
    </row>
    <row r="16" spans="1:12" ht="16.5" customHeight="1" x14ac:dyDescent="0.4">
      <c r="B16" s="20"/>
      <c r="C16" s="21"/>
      <c r="E16" s="26" t="s">
        <v>56</v>
      </c>
    </row>
    <row r="17" spans="2:10" ht="16.5" customHeight="1" x14ac:dyDescent="0.4">
      <c r="B17" s="20"/>
      <c r="C17" s="21"/>
      <c r="E17" s="24" t="str">
        <f>+'Fig.13.1'!D8</f>
        <v xml:space="preserve">Current
Stock 
Price </v>
      </c>
      <c r="H17" s="35">
        <f>+'Fig.13.1'!D17</f>
        <v>113.75</v>
      </c>
    </row>
    <row r="18" spans="2:10" ht="16.5" customHeight="1" x14ac:dyDescent="0.4">
      <c r="B18" s="20"/>
      <c r="C18" s="21"/>
      <c r="E18" s="24" t="s">
        <v>57</v>
      </c>
      <c r="H18" s="28">
        <f>+'Fig.13.1'!E17</f>
        <v>110174.5054945055</v>
      </c>
    </row>
    <row r="19" spans="2:10" ht="16.5" customHeight="1" x14ac:dyDescent="0.4">
      <c r="B19" s="20"/>
      <c r="C19" s="21"/>
      <c r="E19" s="24" t="s">
        <v>58</v>
      </c>
      <c r="H19" s="36">
        <f>+H18*H17</f>
        <v>12532350</v>
      </c>
    </row>
    <row r="20" spans="2:10" ht="16.5" customHeight="1" x14ac:dyDescent="0.4">
      <c r="B20" s="20"/>
      <c r="C20" s="21"/>
      <c r="E20" s="24" t="s">
        <v>59</v>
      </c>
      <c r="H20" s="37">
        <f>0.6*3</f>
        <v>1.7999999999999998</v>
      </c>
      <c r="I20" s="38">
        <v>43361</v>
      </c>
    </row>
    <row r="21" spans="2:10" ht="16.5" customHeight="1" x14ac:dyDescent="0.4">
      <c r="B21" s="20"/>
      <c r="C21" s="21"/>
    </row>
    <row r="22" spans="2:10" ht="16.5" customHeight="1" thickBot="1" x14ac:dyDescent="0.45">
      <c r="B22" s="20"/>
      <c r="C22" s="21"/>
      <c r="E22" s="26" t="s">
        <v>60</v>
      </c>
      <c r="H22" s="27" t="s">
        <v>61</v>
      </c>
      <c r="I22" s="27" t="s">
        <v>62</v>
      </c>
      <c r="J22" s="27" t="s">
        <v>63</v>
      </c>
    </row>
    <row r="23" spans="2:10" ht="16.5" customHeight="1" thickTop="1" x14ac:dyDescent="0.4">
      <c r="B23" s="20"/>
      <c r="C23" s="21"/>
      <c r="E23" s="24" t="s">
        <v>64</v>
      </c>
      <c r="H23" s="39">
        <f>+H17/H9</f>
        <v>3.3917050067659003</v>
      </c>
      <c r="I23" s="39"/>
      <c r="J23" s="40"/>
    </row>
    <row r="24" spans="2:10" ht="16.5" customHeight="1" x14ac:dyDescent="0.4">
      <c r="B24" s="20"/>
      <c r="C24" s="21"/>
      <c r="E24" s="24" t="s">
        <v>65</v>
      </c>
      <c r="H24" s="39">
        <f>+'Fig.13.1'!I17/C11</f>
        <v>2.027385183160197</v>
      </c>
      <c r="I24" s="39"/>
      <c r="J24" s="40"/>
    </row>
    <row r="25" spans="2:10" ht="16.5" customHeight="1" x14ac:dyDescent="0.4">
      <c r="B25" s="20"/>
      <c r="C25" s="21"/>
      <c r="E25" s="24" t="s">
        <v>66</v>
      </c>
      <c r="H25" s="39">
        <f>+H17/D9</f>
        <v>21.570309810671258</v>
      </c>
      <c r="I25" s="39"/>
      <c r="J25" s="40"/>
    </row>
    <row r="26" spans="2:10" ht="16.5" customHeight="1" x14ac:dyDescent="0.4">
      <c r="B26" s="20"/>
      <c r="C26" s="21"/>
      <c r="E26" s="24" t="s">
        <v>67</v>
      </c>
      <c r="H26" s="39">
        <f>+H17/D7</f>
        <v>2.127372262773723</v>
      </c>
      <c r="I26" s="39"/>
      <c r="J26" s="40"/>
    </row>
    <row r="27" spans="2:10" ht="16.5" customHeight="1" x14ac:dyDescent="0.4">
      <c r="B27" s="20"/>
      <c r="C27" s="21"/>
      <c r="E27" s="24" t="s">
        <v>68</v>
      </c>
      <c r="H27" s="39">
        <f>+H17/D8</f>
        <v>13.346485623003197</v>
      </c>
      <c r="I27" s="39"/>
      <c r="J27" s="40"/>
    </row>
    <row r="28" spans="2:10" ht="16.5" customHeight="1" x14ac:dyDescent="0.4">
      <c r="B28" s="20"/>
      <c r="C28" s="21"/>
    </row>
    <row r="29" spans="2:10" ht="16.5" customHeight="1" x14ac:dyDescent="0.35"/>
    <row r="30" spans="2:10" ht="16.5" customHeight="1" x14ac:dyDescent="0.35"/>
    <row r="31" spans="2:10" ht="16.5" customHeight="1" x14ac:dyDescent="0.35"/>
    <row r="32" spans="2:10" ht="9" customHeight="1" x14ac:dyDescent="0.35"/>
    <row r="33" ht="16.5" customHeight="1" x14ac:dyDescent="0.35"/>
    <row r="34" ht="9.6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  <row r="41" ht="8" customHeight="1" x14ac:dyDescent="0.35"/>
    <row r="42" ht="16.5" customHeight="1" x14ac:dyDescent="0.35"/>
    <row r="43" ht="16.5" customHeight="1" x14ac:dyDescent="0.35"/>
    <row r="88" spans="1:15" x14ac:dyDescent="0.35">
      <c r="A88" s="19">
        <f>ROW()</f>
        <v>88</v>
      </c>
    </row>
    <row r="93" spans="1:15" x14ac:dyDescent="0.35">
      <c r="N93" t="s">
        <v>193</v>
      </c>
      <c r="O93" s="52">
        <f>+'Fig.13.9'!H6</f>
        <v>113.74999999999999</v>
      </c>
    </row>
    <row r="94" spans="1:15" x14ac:dyDescent="0.35">
      <c r="N94" t="s">
        <v>194</v>
      </c>
      <c r="O94" s="52">
        <f>+'Fig.13.9'!H8</f>
        <v>108.90287769784172</v>
      </c>
    </row>
    <row r="95" spans="1:15" x14ac:dyDescent="0.35">
      <c r="N95" t="s">
        <v>195</v>
      </c>
      <c r="O95" s="52">
        <f>+'Fig. 13.3'!C10</f>
        <v>100.83333333333337</v>
      </c>
    </row>
    <row r="96" spans="1:15" x14ac:dyDescent="0.35">
      <c r="N96" t="s">
        <v>196</v>
      </c>
      <c r="O96" s="52">
        <f>+'Fig.13.9'!H10</f>
        <v>113.36055777133502</v>
      </c>
    </row>
    <row r="97" spans="1:15" x14ac:dyDescent="0.35">
      <c r="N97" t="s">
        <v>197</v>
      </c>
      <c r="O97" s="52">
        <f>+'Fig.13.9'!H11</f>
        <v>106.54010773238575</v>
      </c>
    </row>
    <row r="98" spans="1:15" x14ac:dyDescent="0.35">
      <c r="N98" t="s">
        <v>198</v>
      </c>
      <c r="O98" s="52">
        <f>+'Fig.13.9'!H12</f>
        <v>121.5632847744841</v>
      </c>
    </row>
    <row r="107" spans="1:15" x14ac:dyDescent="0.35">
      <c r="A107" s="19">
        <f>ROW()</f>
        <v>107</v>
      </c>
    </row>
    <row r="110" spans="1:15" x14ac:dyDescent="0.35">
      <c r="D110" s="41"/>
      <c r="F110" s="41"/>
      <c r="G110" s="41"/>
      <c r="H110" s="41"/>
      <c r="I110" s="41"/>
      <c r="J110" s="41"/>
    </row>
    <row r="111" spans="1:15" x14ac:dyDescent="0.35">
      <c r="D111" s="41"/>
      <c r="F111" s="41"/>
      <c r="G111" s="41"/>
      <c r="H111" s="41"/>
      <c r="I111" s="41"/>
      <c r="J111" s="41"/>
    </row>
    <row r="112" spans="1:15" x14ac:dyDescent="0.35">
      <c r="D112" s="41"/>
      <c r="F112" s="41"/>
      <c r="G112" s="41"/>
      <c r="H112" s="41"/>
      <c r="I112" s="41"/>
      <c r="J112" s="41"/>
    </row>
    <row r="113" spans="4:10" x14ac:dyDescent="0.35">
      <c r="D113" s="41"/>
      <c r="F113" s="41"/>
      <c r="G113" s="41"/>
      <c r="H113" s="41"/>
      <c r="I113" s="41"/>
      <c r="J113" s="41"/>
    </row>
    <row r="114" spans="4:10" x14ac:dyDescent="0.35">
      <c r="D114" s="41"/>
      <c r="F114" s="41"/>
      <c r="G114" s="41"/>
      <c r="H114" s="41"/>
      <c r="I114" s="41"/>
      <c r="J114" s="41"/>
    </row>
    <row r="115" spans="4:10" x14ac:dyDescent="0.35">
      <c r="D115" s="41"/>
      <c r="F115" s="41"/>
    </row>
    <row r="116" spans="4:10" x14ac:dyDescent="0.35">
      <c r="D116" s="41"/>
    </row>
    <row r="117" spans="4:10" x14ac:dyDescent="0.35">
      <c r="D117" s="41"/>
    </row>
    <row r="118" spans="4:10" x14ac:dyDescent="0.35">
      <c r="D118" s="41"/>
    </row>
    <row r="119" spans="4:10" x14ac:dyDescent="0.35">
      <c r="D119" s="41"/>
    </row>
    <row r="120" spans="4:10" x14ac:dyDescent="0.35">
      <c r="D120" s="41"/>
    </row>
    <row r="121" spans="4:10" x14ac:dyDescent="0.35">
      <c r="D121" s="41"/>
    </row>
    <row r="122" spans="4:10" x14ac:dyDescent="0.35">
      <c r="D122" s="41"/>
    </row>
    <row r="123" spans="4:10" x14ac:dyDescent="0.35">
      <c r="D123" s="41"/>
    </row>
    <row r="124" spans="4:10" x14ac:dyDescent="0.35">
      <c r="D124" s="41"/>
    </row>
    <row r="125" spans="4:10" x14ac:dyDescent="0.35">
      <c r="D125" s="41"/>
    </row>
    <row r="126" spans="4:10" x14ac:dyDescent="0.35">
      <c r="D126" s="41"/>
    </row>
    <row r="127" spans="4:10" x14ac:dyDescent="0.35">
      <c r="D127" s="41"/>
    </row>
    <row r="128" spans="4:10" x14ac:dyDescent="0.35">
      <c r="D128" s="41"/>
    </row>
    <row r="129" spans="4:4" x14ac:dyDescent="0.35">
      <c r="D129" s="41"/>
    </row>
    <row r="130" spans="4:4" x14ac:dyDescent="0.35">
      <c r="D130" s="41"/>
    </row>
    <row r="131" spans="4:4" x14ac:dyDescent="0.35">
      <c r="D131" s="41"/>
    </row>
    <row r="132" spans="4:4" x14ac:dyDescent="0.35">
      <c r="D132" s="41"/>
    </row>
    <row r="133" spans="4:4" x14ac:dyDescent="0.35">
      <c r="D133" s="41"/>
    </row>
    <row r="134" spans="4:4" x14ac:dyDescent="0.35">
      <c r="D134" s="41"/>
    </row>
    <row r="135" spans="4:4" x14ac:dyDescent="0.35">
      <c r="D135" s="41"/>
    </row>
    <row r="136" spans="4:4" x14ac:dyDescent="0.35">
      <c r="D136" s="41"/>
    </row>
    <row r="137" spans="4:4" x14ac:dyDescent="0.35">
      <c r="D137" s="41"/>
    </row>
    <row r="138" spans="4:4" x14ac:dyDescent="0.35">
      <c r="D138" s="41"/>
    </row>
    <row r="139" spans="4:4" x14ac:dyDescent="0.35">
      <c r="D139" s="41"/>
    </row>
    <row r="140" spans="4:4" x14ac:dyDescent="0.35">
      <c r="D140" s="41"/>
    </row>
    <row r="141" spans="4:4" x14ac:dyDescent="0.35">
      <c r="D141" s="41"/>
    </row>
    <row r="142" spans="4:4" x14ac:dyDescent="0.35">
      <c r="D142" s="41"/>
    </row>
    <row r="143" spans="4:4" x14ac:dyDescent="0.35">
      <c r="D143" s="41"/>
    </row>
    <row r="144" spans="4:4" x14ac:dyDescent="0.35">
      <c r="D144" s="41"/>
    </row>
    <row r="145" spans="4:4" x14ac:dyDescent="0.35">
      <c r="D145" s="4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67D4E-E9A2-4043-823D-1A1D47619B31}">
  <dimension ref="B2:I19"/>
  <sheetViews>
    <sheetView showGridLines="0" topLeftCell="A3" workbookViewId="0">
      <selection activeCell="B5" sqref="B5:I18"/>
    </sheetView>
  </sheetViews>
  <sheetFormatPr defaultRowHeight="14.5" x14ac:dyDescent="0.35"/>
  <cols>
    <col min="1" max="1" width="4.1796875" customWidth="1"/>
    <col min="2" max="2" width="26.90625" customWidth="1"/>
    <col min="3" max="3" width="13.08984375" customWidth="1"/>
    <col min="4" max="4" width="3.90625" customWidth="1"/>
    <col min="5" max="5" width="10.81640625" customWidth="1"/>
    <col min="7" max="7" width="10.90625" bestFit="1" customWidth="1"/>
    <col min="9" max="9" width="11.08984375" customWidth="1"/>
  </cols>
  <sheetData>
    <row r="2" spans="2:9" ht="20" x14ac:dyDescent="0.4">
      <c r="B2" s="20" t="s">
        <v>40</v>
      </c>
      <c r="C2" s="21"/>
    </row>
    <row r="3" spans="2:9" ht="10.5" customHeight="1" x14ac:dyDescent="0.35">
      <c r="B3" s="22" t="s">
        <v>41</v>
      </c>
      <c r="C3" s="21"/>
    </row>
    <row r="5" spans="2:9" x14ac:dyDescent="0.35">
      <c r="B5" s="88" t="s">
        <v>268</v>
      </c>
      <c r="C5" s="90"/>
      <c r="D5" s="90"/>
      <c r="E5" s="90"/>
      <c r="F5" s="90"/>
      <c r="G5" s="90"/>
      <c r="H5" s="90"/>
      <c r="I5" s="101"/>
    </row>
    <row r="6" spans="2:9" x14ac:dyDescent="0.35">
      <c r="B6" s="102"/>
      <c r="I6" s="103"/>
    </row>
    <row r="7" spans="2:9" s="113" customFormat="1" ht="16.5" customHeight="1" x14ac:dyDescent="0.35">
      <c r="B7" s="114" t="s">
        <v>278</v>
      </c>
      <c r="C7" s="115"/>
      <c r="E7" s="114" t="s">
        <v>317</v>
      </c>
      <c r="F7" s="115"/>
      <c r="G7" s="116"/>
      <c r="H7" s="116"/>
      <c r="I7" s="116"/>
    </row>
    <row r="8" spans="2:9" ht="16.5" customHeight="1" x14ac:dyDescent="0.35">
      <c r="B8" s="2" t="s">
        <v>112</v>
      </c>
      <c r="C8" s="104">
        <v>3.5000000000000003E-2</v>
      </c>
      <c r="E8" s="2" t="s">
        <v>276</v>
      </c>
      <c r="G8" s="105">
        <v>1.1000000000000001</v>
      </c>
    </row>
    <row r="9" spans="2:9" ht="16.5" customHeight="1" x14ac:dyDescent="0.35">
      <c r="B9" s="2" t="s">
        <v>113</v>
      </c>
      <c r="C9" s="106">
        <v>1.4</v>
      </c>
      <c r="E9" s="2" t="s">
        <v>273</v>
      </c>
      <c r="G9" s="107">
        <v>120</v>
      </c>
      <c r="H9" s="108" t="s">
        <v>269</v>
      </c>
    </row>
    <row r="10" spans="2:9" ht="16.5" customHeight="1" x14ac:dyDescent="0.35">
      <c r="B10" s="2" t="s">
        <v>114</v>
      </c>
      <c r="C10" s="104">
        <v>5.5E-2</v>
      </c>
      <c r="E10" s="2" t="s">
        <v>274</v>
      </c>
      <c r="G10" s="111">
        <f>+C12</f>
        <v>0.112</v>
      </c>
    </row>
    <row r="11" spans="2:9" ht="16.5" customHeight="1" x14ac:dyDescent="0.35">
      <c r="B11" s="2" t="s">
        <v>115</v>
      </c>
      <c r="C11" s="50">
        <f>+C10+C8</f>
        <v>0.09</v>
      </c>
      <c r="E11" s="2" t="s">
        <v>318</v>
      </c>
      <c r="G11">
        <v>1</v>
      </c>
      <c r="H11" t="s">
        <v>319</v>
      </c>
    </row>
    <row r="12" spans="2:9" ht="16.5" customHeight="1" thickBot="1" x14ac:dyDescent="0.4">
      <c r="B12" s="103" t="s">
        <v>277</v>
      </c>
      <c r="C12" s="112">
        <f>+C8+(C9*C10)</f>
        <v>0.112</v>
      </c>
    </row>
    <row r="13" spans="2:9" ht="16.5" customHeight="1" thickBot="1" x14ac:dyDescent="0.4">
      <c r="E13" s="103" t="s">
        <v>275</v>
      </c>
      <c r="G13" s="123">
        <f>+(G9+G8)/((1+(G10))^G11)</f>
        <v>108.90287769784172</v>
      </c>
      <c r="H13" s="108"/>
    </row>
    <row r="14" spans="2:9" ht="16.5" customHeight="1" x14ac:dyDescent="0.35">
      <c r="B14" s="2" t="s">
        <v>270</v>
      </c>
      <c r="C14" s="41">
        <f>+'Fig.13.1'!E17</f>
        <v>110174.5054945055</v>
      </c>
    </row>
    <row r="15" spans="2:9" x14ac:dyDescent="0.35">
      <c r="B15" s="2" t="s">
        <v>287</v>
      </c>
      <c r="C15" s="125">
        <f>+C14*G13</f>
        <v>11998320.697288323</v>
      </c>
    </row>
    <row r="16" spans="2:9" x14ac:dyDescent="0.35">
      <c r="B16" s="2" t="s">
        <v>31</v>
      </c>
      <c r="C16" s="125">
        <f>-'Fig.13.1'!G17</f>
        <v>-3450000</v>
      </c>
    </row>
    <row r="17" spans="2:9" ht="15" thickBot="1" x14ac:dyDescent="0.4">
      <c r="B17" s="2" t="s">
        <v>284</v>
      </c>
      <c r="C17" s="125">
        <f>+'Fig.13.1'!H17</f>
        <v>1150000</v>
      </c>
    </row>
    <row r="18" spans="2:9" ht="15" thickBot="1" x14ac:dyDescent="0.4">
      <c r="B18" s="103" t="s">
        <v>271</v>
      </c>
      <c r="C18" s="122">
        <f>+C15+C16+C17</f>
        <v>9698320.6972883232</v>
      </c>
    </row>
    <row r="19" spans="2:9" x14ac:dyDescent="0.35">
      <c r="I19" s="98" t="s"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2B35-A374-42CE-A8D3-F0EF87305D53}">
  <dimension ref="A1:J13"/>
  <sheetViews>
    <sheetView showGridLines="0" workbookViewId="0">
      <selection activeCell="B4" sqref="B4:J12"/>
    </sheetView>
  </sheetViews>
  <sheetFormatPr defaultRowHeight="14.5" x14ac:dyDescent="0.35"/>
  <cols>
    <col min="1" max="1" width="4.26953125" customWidth="1"/>
    <col min="2" max="2" width="30.6328125" customWidth="1"/>
    <col min="3" max="3" width="11" bestFit="1" customWidth="1"/>
    <col min="4" max="4" width="7.90625" customWidth="1"/>
    <col min="5" max="5" width="3.1796875" customWidth="1"/>
    <col min="6" max="6" width="10.6328125" customWidth="1"/>
  </cols>
  <sheetData>
    <row r="1" spans="1:10" ht="20" x14ac:dyDescent="0.4">
      <c r="A1" s="19"/>
      <c r="B1" s="100" t="s">
        <v>40</v>
      </c>
      <c r="C1" s="53"/>
      <c r="D1" s="1"/>
      <c r="E1" s="1"/>
      <c r="F1" s="1"/>
      <c r="G1" s="1"/>
      <c r="H1" s="1"/>
      <c r="I1" s="1"/>
      <c r="J1" s="1"/>
    </row>
    <row r="2" spans="1:10" ht="10.5" customHeight="1" x14ac:dyDescent="0.35">
      <c r="A2" s="19"/>
      <c r="B2" s="22" t="s">
        <v>41</v>
      </c>
      <c r="C2" s="21"/>
    </row>
    <row r="4" spans="1:10" x14ac:dyDescent="0.35">
      <c r="A4" s="19"/>
      <c r="B4" s="88" t="s">
        <v>279</v>
      </c>
      <c r="C4" s="90"/>
      <c r="D4" s="90"/>
      <c r="E4" s="90"/>
      <c r="F4" s="90"/>
      <c r="G4" s="90"/>
      <c r="H4" s="90"/>
      <c r="I4" s="90"/>
      <c r="J4" s="101"/>
    </row>
    <row r="5" spans="1:10" x14ac:dyDescent="0.35">
      <c r="A5" s="19"/>
    </row>
    <row r="6" spans="1:10" x14ac:dyDescent="0.35">
      <c r="A6" s="19"/>
      <c r="B6" s="118" t="s">
        <v>280</v>
      </c>
      <c r="C6" s="119"/>
      <c r="D6" s="117"/>
      <c r="F6" s="118" t="s">
        <v>281</v>
      </c>
      <c r="G6" s="119"/>
      <c r="H6" s="117"/>
      <c r="I6" s="117"/>
      <c r="J6" s="117"/>
    </row>
    <row r="7" spans="1:10" x14ac:dyDescent="0.35">
      <c r="A7" s="19"/>
      <c r="B7" s="2" t="s">
        <v>272</v>
      </c>
      <c r="C7" s="105">
        <f>+H7</f>
        <v>1.1000000000000001</v>
      </c>
      <c r="F7" s="2" t="s">
        <v>116</v>
      </c>
      <c r="H7" s="105">
        <f>'Fig.13.2'!G8</f>
        <v>1.1000000000000001</v>
      </c>
      <c r="I7" s="32" t="s">
        <v>117</v>
      </c>
    </row>
    <row r="8" spans="1:10" x14ac:dyDescent="0.35">
      <c r="A8" s="19"/>
      <c r="B8" s="2" t="s">
        <v>282</v>
      </c>
      <c r="C8" s="104">
        <f>+'Fig.13.2'!C12</f>
        <v>0.112</v>
      </c>
      <c r="F8" s="2" t="s">
        <v>118</v>
      </c>
      <c r="H8" s="105">
        <f>+'DO NOT POST'!H17+H7</f>
        <v>114.85</v>
      </c>
    </row>
    <row r="9" spans="1:10" ht="15" thickBot="1" x14ac:dyDescent="0.4">
      <c r="A9" s="19"/>
      <c r="B9" s="2" t="s">
        <v>119</v>
      </c>
      <c r="C9" s="120">
        <v>0.1</v>
      </c>
      <c r="F9" s="2" t="s">
        <v>283</v>
      </c>
      <c r="H9" s="121">
        <f>+'DO NOT POST'!H17</f>
        <v>113.75</v>
      </c>
    </row>
    <row r="10" spans="1:10" ht="15" thickBot="1" x14ac:dyDescent="0.4">
      <c r="A10" s="19"/>
      <c r="B10" s="103" t="s">
        <v>286</v>
      </c>
      <c r="C10" s="123">
        <f>+(C7*(1+C9))/(C8-C9)</f>
        <v>100.83333333333337</v>
      </c>
      <c r="F10" s="103" t="s">
        <v>120</v>
      </c>
      <c r="H10" s="112">
        <f>+(H7+(H8-H9))/H9</f>
        <v>1.9340659340659292E-2</v>
      </c>
    </row>
    <row r="11" spans="1:10" ht="15" thickBot="1" x14ac:dyDescent="0.4">
      <c r="A11" s="19"/>
    </row>
    <row r="12" spans="1:10" ht="17" customHeight="1" thickBot="1" x14ac:dyDescent="0.4">
      <c r="A12" s="19"/>
      <c r="B12" s="109" t="s">
        <v>271</v>
      </c>
      <c r="C12" s="124">
        <f>+'Fig.13.9'!C9</f>
        <v>13409262.637362642</v>
      </c>
    </row>
    <row r="13" spans="1:10" x14ac:dyDescent="0.35">
      <c r="A13" s="19"/>
      <c r="J13" s="98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2CEC-E663-4E11-A73C-ACED1439FD8E}">
  <dimension ref="A1:L27"/>
  <sheetViews>
    <sheetView showGridLines="0" workbookViewId="0">
      <selection activeCell="B4" sqref="B4:L26"/>
    </sheetView>
  </sheetViews>
  <sheetFormatPr defaultRowHeight="14.5" x14ac:dyDescent="0.35"/>
  <cols>
    <col min="2" max="2" width="30.7265625" customWidth="1"/>
    <col min="3" max="3" width="12.7265625" customWidth="1"/>
    <col min="4" max="4" width="7.90625" bestFit="1" customWidth="1"/>
    <col min="5" max="5" width="11.81640625" customWidth="1"/>
    <col min="6" max="6" width="10.90625" bestFit="1" customWidth="1"/>
    <col min="7" max="7" width="10.08984375" bestFit="1" customWidth="1"/>
    <col min="8" max="8" width="9.1796875" bestFit="1" customWidth="1"/>
    <col min="9" max="9" width="12.54296875" bestFit="1" customWidth="1"/>
    <col min="10" max="10" width="9.1796875" bestFit="1" customWidth="1"/>
    <col min="11" max="11" width="8" bestFit="1" customWidth="1"/>
    <col min="12" max="12" width="6.36328125" customWidth="1"/>
  </cols>
  <sheetData>
    <row r="1" spans="1:12" ht="20" x14ac:dyDescent="0.4">
      <c r="A1" s="19"/>
      <c r="B1" s="20" t="s">
        <v>40</v>
      </c>
      <c r="C1" s="21"/>
    </row>
    <row r="2" spans="1:12" ht="10.5" customHeight="1" x14ac:dyDescent="0.35">
      <c r="A2" s="19"/>
      <c r="B2" s="22" t="s">
        <v>41</v>
      </c>
      <c r="C2" s="21"/>
    </row>
    <row r="3" spans="1:12" ht="10.5" customHeight="1" x14ac:dyDescent="0.35">
      <c r="A3" s="19"/>
      <c r="B3" s="22"/>
      <c r="C3" s="21"/>
    </row>
    <row r="4" spans="1:12" x14ac:dyDescent="0.35">
      <c r="A4" s="19"/>
      <c r="B4" s="88" t="s">
        <v>289</v>
      </c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ht="8.25" customHeight="1" x14ac:dyDescent="0.35">
      <c r="A5" s="19"/>
      <c r="B5" s="102"/>
    </row>
    <row r="6" spans="1:12" ht="11.25" customHeight="1" x14ac:dyDescent="0.35">
      <c r="A6" s="19"/>
      <c r="B6" s="103"/>
      <c r="C6" s="172" t="s">
        <v>295</v>
      </c>
      <c r="D6" s="169" t="s">
        <v>84</v>
      </c>
      <c r="E6" s="169" t="s">
        <v>85</v>
      </c>
      <c r="F6" s="169" t="s">
        <v>86</v>
      </c>
      <c r="G6" s="169" t="s">
        <v>87</v>
      </c>
      <c r="H6" s="169" t="s">
        <v>88</v>
      </c>
      <c r="I6" s="170" t="s">
        <v>89</v>
      </c>
      <c r="J6" s="169" t="s">
        <v>121</v>
      </c>
      <c r="K6" s="169" t="s">
        <v>122</v>
      </c>
    </row>
    <row r="7" spans="1:12" ht="7.5" customHeight="1" thickBot="1" x14ac:dyDescent="0.4">
      <c r="A7" s="19"/>
      <c r="B7" s="103"/>
      <c r="D7" s="19"/>
      <c r="E7" s="19"/>
      <c r="F7" s="19"/>
      <c r="G7" s="19"/>
      <c r="H7" s="19"/>
    </row>
    <row r="8" spans="1:12" ht="44" thickBot="1" x14ac:dyDescent="0.4">
      <c r="A8" s="19"/>
      <c r="B8" s="91" t="s">
        <v>90</v>
      </c>
      <c r="C8" s="128" t="s">
        <v>91</v>
      </c>
      <c r="D8" s="92" t="str">
        <f>+'Fig.13.1'!D8</f>
        <v xml:space="preserve">Current
Stock 
Price </v>
      </c>
      <c r="E8" s="92" t="s">
        <v>92</v>
      </c>
      <c r="F8" s="92" t="s">
        <v>123</v>
      </c>
      <c r="G8" s="93" t="s">
        <v>124</v>
      </c>
      <c r="H8" s="94" t="s">
        <v>125</v>
      </c>
      <c r="I8" s="95" t="s">
        <v>94</v>
      </c>
      <c r="J8" s="93" t="s">
        <v>126</v>
      </c>
      <c r="K8" s="129" t="s">
        <v>127</v>
      </c>
      <c r="L8" s="95" t="s">
        <v>128</v>
      </c>
    </row>
    <row r="9" spans="1:12" ht="15.65" customHeight="1" x14ac:dyDescent="0.35">
      <c r="A9" s="19"/>
      <c r="B9" s="131" t="s">
        <v>95</v>
      </c>
      <c r="C9" s="132" t="s">
        <v>96</v>
      </c>
      <c r="D9" s="133">
        <v>122.85</v>
      </c>
      <c r="E9" s="134">
        <v>53300</v>
      </c>
      <c r="F9" s="134">
        <f t="shared" ref="F9:F15" si="0">+E9*D9</f>
        <v>6547905</v>
      </c>
      <c r="G9" s="135">
        <v>1276000</v>
      </c>
      <c r="H9" s="136">
        <v>41570</v>
      </c>
      <c r="I9" s="137">
        <f t="shared" ref="I9:I15" si="1">+F9+G9-H9</f>
        <v>7782335</v>
      </c>
      <c r="J9" s="135">
        <v>531740</v>
      </c>
      <c r="K9" s="138">
        <f t="shared" ref="K9:K15" si="2">+I9/J9</f>
        <v>14.635601985932976</v>
      </c>
      <c r="L9" s="139">
        <v>1.27</v>
      </c>
    </row>
    <row r="10" spans="1:12" ht="15.65" customHeight="1" x14ac:dyDescent="0.35">
      <c r="A10" s="19"/>
      <c r="B10" s="131" t="s">
        <v>129</v>
      </c>
      <c r="C10" s="132" t="s">
        <v>100</v>
      </c>
      <c r="D10" s="133">
        <v>146.35</v>
      </c>
      <c r="E10" s="134">
        <v>266450</v>
      </c>
      <c r="F10" s="134">
        <f t="shared" si="0"/>
        <v>38994957.5</v>
      </c>
      <c r="G10" s="135">
        <v>9690000</v>
      </c>
      <c r="H10" s="136">
        <v>1210000</v>
      </c>
      <c r="I10" s="137">
        <f t="shared" si="1"/>
        <v>47474957.5</v>
      </c>
      <c r="J10" s="135">
        <v>2270000</v>
      </c>
      <c r="K10" s="138">
        <f t="shared" si="2"/>
        <v>20.914078193832598</v>
      </c>
      <c r="L10" s="139">
        <v>1.25</v>
      </c>
    </row>
    <row r="11" spans="1:12" ht="15.65" customHeight="1" x14ac:dyDescent="0.35">
      <c r="A11" s="19"/>
      <c r="B11" s="140" t="s">
        <v>130</v>
      </c>
      <c r="C11" s="141" t="s">
        <v>131</v>
      </c>
      <c r="D11" s="142">
        <v>68.28</v>
      </c>
      <c r="E11" s="143">
        <v>175390</v>
      </c>
      <c r="F11" s="134">
        <f t="shared" si="0"/>
        <v>11975629.200000001</v>
      </c>
      <c r="G11" s="144">
        <v>3080000</v>
      </c>
      <c r="H11" s="145">
        <v>1360000</v>
      </c>
      <c r="I11" s="137">
        <f t="shared" si="1"/>
        <v>13695629.200000001</v>
      </c>
      <c r="J11" s="144">
        <v>749000</v>
      </c>
      <c r="K11" s="138">
        <f t="shared" si="2"/>
        <v>18.285219225634179</v>
      </c>
      <c r="L11" s="139">
        <v>0.97</v>
      </c>
    </row>
    <row r="12" spans="1:12" ht="15.65" customHeight="1" x14ac:dyDescent="0.35">
      <c r="A12" s="19"/>
      <c r="B12" s="140" t="s">
        <v>105</v>
      </c>
      <c r="C12" s="146" t="s">
        <v>106</v>
      </c>
      <c r="D12" s="142">
        <v>15.86</v>
      </c>
      <c r="E12" s="143">
        <v>19680</v>
      </c>
      <c r="F12" s="134">
        <f t="shared" si="0"/>
        <v>312124.79999999999</v>
      </c>
      <c r="G12" s="144">
        <v>461240</v>
      </c>
      <c r="H12" s="145">
        <v>14310</v>
      </c>
      <c r="I12" s="137">
        <f t="shared" si="1"/>
        <v>759054.8</v>
      </c>
      <c r="J12" s="144">
        <v>93000</v>
      </c>
      <c r="K12" s="138">
        <f t="shared" si="2"/>
        <v>8.1618795698924735</v>
      </c>
      <c r="L12" s="139">
        <v>1.58</v>
      </c>
    </row>
    <row r="13" spans="1:12" ht="15.65" customHeight="1" x14ac:dyDescent="0.35">
      <c r="A13" s="19"/>
      <c r="B13" s="140" t="s">
        <v>107</v>
      </c>
      <c r="C13" s="146" t="s">
        <v>108</v>
      </c>
      <c r="D13" s="142">
        <v>172.52</v>
      </c>
      <c r="E13" s="143">
        <v>308120</v>
      </c>
      <c r="F13" s="134">
        <f t="shared" si="0"/>
        <v>53156862.400000006</v>
      </c>
      <c r="G13" s="144">
        <v>11200000</v>
      </c>
      <c r="H13" s="145">
        <v>507000</v>
      </c>
      <c r="I13" s="137">
        <f t="shared" si="1"/>
        <v>63849862.400000006</v>
      </c>
      <c r="J13" s="144">
        <v>3760000</v>
      </c>
      <c r="K13" s="138">
        <f t="shared" si="2"/>
        <v>16.981346382978725</v>
      </c>
      <c r="L13" s="139">
        <v>1.59</v>
      </c>
    </row>
    <row r="14" spans="1:12" ht="15.65" customHeight="1" x14ac:dyDescent="0.35">
      <c r="A14" s="19"/>
      <c r="B14" s="140" t="s">
        <v>132</v>
      </c>
      <c r="C14" s="146" t="s">
        <v>133</v>
      </c>
      <c r="D14" s="142">
        <v>13.75</v>
      </c>
      <c r="E14" s="143">
        <v>224840</v>
      </c>
      <c r="F14" s="134">
        <f t="shared" si="0"/>
        <v>3091550</v>
      </c>
      <c r="G14" s="144">
        <v>4910000</v>
      </c>
      <c r="H14" s="145">
        <v>971000</v>
      </c>
      <c r="I14" s="137">
        <f t="shared" si="1"/>
        <v>7030550</v>
      </c>
      <c r="J14" s="144">
        <v>484000</v>
      </c>
      <c r="K14" s="138">
        <f t="shared" si="2"/>
        <v>14.525929752066116</v>
      </c>
      <c r="L14" s="139">
        <v>2</v>
      </c>
    </row>
    <row r="15" spans="1:12" ht="15.65" customHeight="1" thickBot="1" x14ac:dyDescent="0.4">
      <c r="A15" s="19"/>
      <c r="B15" s="147" t="s">
        <v>134</v>
      </c>
      <c r="C15" s="148" t="s">
        <v>323</v>
      </c>
      <c r="D15" s="149">
        <v>77.34</v>
      </c>
      <c r="E15" s="150">
        <v>86360</v>
      </c>
      <c r="F15" s="151">
        <f t="shared" si="0"/>
        <v>6679082.4000000004</v>
      </c>
      <c r="G15" s="152">
        <v>2090000</v>
      </c>
      <c r="H15" s="153">
        <v>161000</v>
      </c>
      <c r="I15" s="154">
        <f t="shared" si="1"/>
        <v>8608082.4000000004</v>
      </c>
      <c r="J15" s="152">
        <v>601000</v>
      </c>
      <c r="K15" s="155">
        <f t="shared" si="2"/>
        <v>14.322932445923461</v>
      </c>
      <c r="L15" s="156">
        <v>1.43</v>
      </c>
    </row>
    <row r="16" spans="1:12" ht="15.65" customHeight="1" thickBot="1" x14ac:dyDescent="0.4">
      <c r="A16" s="19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/>
    </row>
    <row r="17" spans="1:12" ht="15.65" customHeight="1" thickBot="1" x14ac:dyDescent="0.4">
      <c r="A17" s="19"/>
      <c r="B17" s="159" t="s">
        <v>61</v>
      </c>
      <c r="C17" s="391" t="s">
        <v>135</v>
      </c>
      <c r="D17" s="160">
        <f>+'Fig.13.1'!D17</f>
        <v>113.75</v>
      </c>
      <c r="E17" s="161">
        <f>+'Fig.13.1'!E17</f>
        <v>110174.5054945055</v>
      </c>
      <c r="F17" s="161">
        <f>+E17*D17</f>
        <v>12532350</v>
      </c>
      <c r="G17" s="162">
        <f>+'Fig.13.1'!G17</f>
        <v>3450000</v>
      </c>
      <c r="H17" s="163">
        <f>+'Fig.13.1'!H17</f>
        <v>1150000</v>
      </c>
      <c r="I17" s="164">
        <f>+G17+F17-H17</f>
        <v>14832350</v>
      </c>
      <c r="J17" s="162">
        <f>+'Fig. 13.6'!E19</f>
        <v>939000</v>
      </c>
      <c r="K17" s="165">
        <f>+I17/J17</f>
        <v>15.795899893503728</v>
      </c>
      <c r="L17" s="166">
        <f>'Fig.13.2'!C9</f>
        <v>1.4</v>
      </c>
    </row>
    <row r="18" spans="1:12" x14ac:dyDescent="0.35">
      <c r="A18" s="19"/>
      <c r="B18" s="103"/>
      <c r="D18" s="41"/>
      <c r="E18" s="41"/>
      <c r="K18" s="106"/>
    </row>
    <row r="19" spans="1:12" x14ac:dyDescent="0.35">
      <c r="A19" s="19"/>
      <c r="B19" s="103" t="s">
        <v>136</v>
      </c>
      <c r="C19" s="167">
        <f>+J17</f>
        <v>939000</v>
      </c>
      <c r="D19" s="168">
        <f>+K19</f>
        <v>15.750205958507092</v>
      </c>
      <c r="J19" s="103" t="s">
        <v>137</v>
      </c>
      <c r="K19" s="130">
        <f>(SUM(K9:K15)-MAX(K9:K15)-MIN(K9:K15))/(COUNT(K9:K15)-2)</f>
        <v>15.750205958507092</v>
      </c>
      <c r="L19" s="130">
        <f>AVERAGE(L9:L17)</f>
        <v>1.43625</v>
      </c>
    </row>
    <row r="20" spans="1:12" ht="15" thickBot="1" x14ac:dyDescent="0.4">
      <c r="A20" s="19"/>
      <c r="B20" s="103"/>
      <c r="F20" s="103"/>
      <c r="G20" s="130"/>
      <c r="H20" s="130"/>
    </row>
    <row r="21" spans="1:12" ht="15" thickBot="1" x14ac:dyDescent="0.4">
      <c r="A21" s="19"/>
      <c r="B21" s="109" t="s">
        <v>271</v>
      </c>
      <c r="C21" s="124">
        <f>+C19*D19</f>
        <v>14789443.39503816</v>
      </c>
      <c r="F21" s="103"/>
      <c r="G21" s="130"/>
      <c r="H21" s="130"/>
      <c r="K21" s="2"/>
    </row>
    <row r="22" spans="1:12" x14ac:dyDescent="0.35">
      <c r="B22" s="103" t="s">
        <v>31</v>
      </c>
      <c r="C22" s="16">
        <f>-G17</f>
        <v>-3450000</v>
      </c>
    </row>
    <row r="23" spans="1:12" x14ac:dyDescent="0.35">
      <c r="B23" s="103" t="s">
        <v>284</v>
      </c>
      <c r="C23" s="16">
        <f>+H17</f>
        <v>1150000</v>
      </c>
    </row>
    <row r="24" spans="1:12" ht="15" thickBot="1" x14ac:dyDescent="0.4">
      <c r="B24" s="103" t="s">
        <v>285</v>
      </c>
      <c r="C24" s="127">
        <f>SUM(C21:C23)</f>
        <v>12489443.39503816</v>
      </c>
    </row>
    <row r="25" spans="1:12" ht="15.5" thickTop="1" thickBot="1" x14ac:dyDescent="0.4">
      <c r="B25" s="103" t="s">
        <v>145</v>
      </c>
      <c r="C25" s="16">
        <f>+E17</f>
        <v>110174.5054945055</v>
      </c>
    </row>
    <row r="26" spans="1:12" ht="15" thickBot="1" x14ac:dyDescent="0.4">
      <c r="B26" s="103" t="s">
        <v>75</v>
      </c>
      <c r="C26" s="123">
        <f>+C24/C25</f>
        <v>113.36055777133502</v>
      </c>
    </row>
    <row r="27" spans="1:12" x14ac:dyDescent="0.35">
      <c r="L27" s="98" t="s">
        <v>322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9362-0F51-4F90-92F1-F9C69CCEB04D}">
  <dimension ref="A1:N31"/>
  <sheetViews>
    <sheetView showGridLines="0" workbookViewId="0">
      <selection activeCell="B4" sqref="B4:J30"/>
    </sheetView>
  </sheetViews>
  <sheetFormatPr defaultRowHeight="14.5" x14ac:dyDescent="0.35"/>
  <cols>
    <col min="1" max="1" width="5.54296875" customWidth="1"/>
    <col min="2" max="2" width="22.26953125" customWidth="1"/>
    <col min="3" max="3" width="16.453125" bestFit="1" customWidth="1"/>
    <col min="4" max="4" width="11" customWidth="1"/>
    <col min="5" max="5" width="11.36328125" customWidth="1"/>
    <col min="6" max="6" width="9.90625" customWidth="1"/>
    <col min="8" max="8" width="10.36328125" customWidth="1"/>
    <col min="10" max="10" width="8.36328125" customWidth="1"/>
    <col min="11" max="11" width="3.36328125" customWidth="1"/>
  </cols>
  <sheetData>
    <row r="1" spans="1:14" ht="20" x14ac:dyDescent="0.4">
      <c r="A1" s="19"/>
      <c r="B1" s="20" t="s">
        <v>40</v>
      </c>
      <c r="C1" s="21"/>
    </row>
    <row r="2" spans="1:14" ht="10.5" customHeight="1" x14ac:dyDescent="0.35">
      <c r="A2" s="19"/>
      <c r="B2" s="22" t="s">
        <v>41</v>
      </c>
      <c r="C2" s="21"/>
    </row>
    <row r="4" spans="1:14" x14ac:dyDescent="0.35">
      <c r="A4" s="19"/>
      <c r="B4" s="101" t="s">
        <v>297</v>
      </c>
      <c r="C4" s="199"/>
      <c r="D4" s="199"/>
      <c r="E4" s="199"/>
      <c r="F4" s="199"/>
      <c r="G4" s="199"/>
      <c r="H4" s="199"/>
      <c r="I4" s="199"/>
      <c r="J4" s="199"/>
    </row>
    <row r="5" spans="1:14" ht="4.5" customHeight="1" x14ac:dyDescent="0.35">
      <c r="A5" s="19"/>
    </row>
    <row r="6" spans="1:14" ht="16.5" customHeight="1" x14ac:dyDescent="0.35">
      <c r="A6" s="19"/>
      <c r="C6" s="98" t="s">
        <v>294</v>
      </c>
      <c r="D6" s="169" t="s">
        <v>138</v>
      </c>
      <c r="E6" s="169" t="s">
        <v>85</v>
      </c>
      <c r="F6" s="169" t="s">
        <v>139</v>
      </c>
      <c r="G6" s="169" t="s">
        <v>140</v>
      </c>
      <c r="H6" s="169" t="s">
        <v>141</v>
      </c>
      <c r="I6" s="169" t="s">
        <v>121</v>
      </c>
      <c r="J6" s="169" t="s">
        <v>122</v>
      </c>
      <c r="M6" s="19"/>
      <c r="N6" s="19"/>
    </row>
    <row r="7" spans="1:14" ht="11.25" customHeight="1" thickBot="1" x14ac:dyDescent="0.4">
      <c r="A7" s="19"/>
      <c r="D7" s="19"/>
      <c r="E7" s="19"/>
      <c r="F7" s="19"/>
      <c r="G7" s="19"/>
      <c r="H7" s="19"/>
      <c r="I7" s="44"/>
      <c r="J7" s="19"/>
      <c r="M7" s="19"/>
      <c r="N7" s="19"/>
    </row>
    <row r="8" spans="1:14" ht="45" customHeight="1" thickBot="1" x14ac:dyDescent="0.4">
      <c r="A8" s="19"/>
      <c r="B8" s="173" t="s">
        <v>142</v>
      </c>
      <c r="C8" s="174" t="s">
        <v>143</v>
      </c>
      <c r="D8" s="174" t="s">
        <v>144</v>
      </c>
      <c r="E8" s="174" t="s">
        <v>145</v>
      </c>
      <c r="F8" s="174" t="s">
        <v>146</v>
      </c>
      <c r="G8" s="174" t="s">
        <v>147</v>
      </c>
      <c r="H8" s="174" t="s">
        <v>290</v>
      </c>
      <c r="I8" s="174" t="s">
        <v>298</v>
      </c>
      <c r="J8" s="175" t="s">
        <v>127</v>
      </c>
    </row>
    <row r="9" spans="1:14" ht="15" customHeight="1" x14ac:dyDescent="0.35">
      <c r="A9" s="19"/>
      <c r="B9" s="177" t="s">
        <v>292</v>
      </c>
      <c r="C9" s="178" t="s">
        <v>157</v>
      </c>
      <c r="D9" s="179">
        <v>19.5</v>
      </c>
      <c r="E9" s="180">
        <v>177560000</v>
      </c>
      <c r="F9" s="180">
        <f>+E9*D9/1000000</f>
        <v>3462.42</v>
      </c>
      <c r="G9" s="180">
        <f>2700-396.77</f>
        <v>2303.23</v>
      </c>
      <c r="H9" s="180">
        <f>+G9+F9</f>
        <v>5765.65</v>
      </c>
      <c r="I9" s="180">
        <v>356.39</v>
      </c>
      <c r="J9" s="181">
        <f>+H9/I9</f>
        <v>16.177923061814305</v>
      </c>
    </row>
    <row r="10" spans="1:14" ht="15" customHeight="1" x14ac:dyDescent="0.35">
      <c r="A10" s="19"/>
      <c r="B10" s="177" t="s">
        <v>154</v>
      </c>
      <c r="C10" s="178" t="s">
        <v>293</v>
      </c>
      <c r="D10" s="179">
        <v>72.08</v>
      </c>
      <c r="E10" s="180">
        <v>154000000</v>
      </c>
      <c r="F10" s="180">
        <f>+E10*D10/1000000</f>
        <v>11100.32</v>
      </c>
      <c r="G10" s="180">
        <v>1090</v>
      </c>
      <c r="H10" s="180">
        <f>+G10+F10</f>
        <v>12190.32</v>
      </c>
      <c r="I10" s="180">
        <v>980</v>
      </c>
      <c r="J10" s="181">
        <f>+H10/I10</f>
        <v>12.439102040816326</v>
      </c>
    </row>
    <row r="11" spans="1:14" s="43" customFormat="1" ht="15.75" customHeight="1" x14ac:dyDescent="0.35">
      <c r="A11" s="19"/>
      <c r="B11" s="177" t="s">
        <v>99</v>
      </c>
      <c r="C11" s="178" t="s">
        <v>157</v>
      </c>
      <c r="D11" s="179">
        <v>47.5</v>
      </c>
      <c r="E11" s="180">
        <v>390400000</v>
      </c>
      <c r="F11" s="180">
        <f>+E11*D11/1000000</f>
        <v>18544</v>
      </c>
      <c r="G11" s="180">
        <v>6180</v>
      </c>
      <c r="H11" s="180">
        <f>+F11+G11</f>
        <v>24724</v>
      </c>
      <c r="I11" s="180">
        <v>1680</v>
      </c>
      <c r="J11" s="181">
        <f t="shared" ref="J11:J21" si="0">+H11/I11</f>
        <v>14.716666666666667</v>
      </c>
    </row>
    <row r="12" spans="1:14" s="43" customFormat="1" ht="26.25" customHeight="1" x14ac:dyDescent="0.35">
      <c r="A12" s="19"/>
      <c r="B12" s="177" t="s">
        <v>148</v>
      </c>
      <c r="C12" s="178" t="s">
        <v>149</v>
      </c>
      <c r="D12" s="179">
        <v>82</v>
      </c>
      <c r="E12" s="180">
        <v>33078000</v>
      </c>
      <c r="F12" s="180">
        <f>+E12*D12/1000000</f>
        <v>2712.3960000000002</v>
      </c>
      <c r="G12" s="180">
        <f>273.825+4.853</f>
        <v>278.678</v>
      </c>
      <c r="H12" s="180">
        <f t="shared" ref="H12:H18" si="1">+F12+G12</f>
        <v>2991.0740000000001</v>
      </c>
      <c r="I12" s="180">
        <f>+H12/31.9</f>
        <v>93.764075235109729</v>
      </c>
      <c r="J12" s="181">
        <f t="shared" si="0"/>
        <v>31.9</v>
      </c>
    </row>
    <row r="13" spans="1:14" s="43" customFormat="1" ht="12" customHeight="1" x14ac:dyDescent="0.35">
      <c r="A13" s="19"/>
      <c r="B13" s="182" t="s">
        <v>150</v>
      </c>
      <c r="C13" s="183" t="s">
        <v>151</v>
      </c>
      <c r="D13" s="184">
        <v>45</v>
      </c>
      <c r="E13" s="185">
        <v>73335000</v>
      </c>
      <c r="F13" s="180">
        <f>+E13*D13/1000000</f>
        <v>3300.0749999999998</v>
      </c>
      <c r="G13" s="185">
        <v>123.5</v>
      </c>
      <c r="H13" s="180">
        <f t="shared" si="1"/>
        <v>3423.5749999999998</v>
      </c>
      <c r="I13" s="185">
        <v>187.2</v>
      </c>
      <c r="J13" s="186">
        <f t="shared" si="0"/>
        <v>18.288327991452991</v>
      </c>
    </row>
    <row r="14" spans="1:14" s="43" customFormat="1" ht="12" customHeight="1" x14ac:dyDescent="0.35">
      <c r="A14" s="19"/>
      <c r="B14" s="182" t="s">
        <v>152</v>
      </c>
      <c r="C14" s="183" t="s">
        <v>153</v>
      </c>
      <c r="D14" s="184"/>
      <c r="E14" s="185"/>
      <c r="F14" s="185">
        <v>5578</v>
      </c>
      <c r="G14" s="185">
        <v>0</v>
      </c>
      <c r="H14" s="180">
        <f t="shared" si="1"/>
        <v>5578</v>
      </c>
      <c r="I14" s="185">
        <v>504</v>
      </c>
      <c r="J14" s="186">
        <f t="shared" si="0"/>
        <v>11.067460317460318</v>
      </c>
    </row>
    <row r="15" spans="1:14" s="43" customFormat="1" ht="12" customHeight="1" x14ac:dyDescent="0.35">
      <c r="A15" s="19"/>
      <c r="B15" s="187" t="s">
        <v>154</v>
      </c>
      <c r="C15" s="183" t="s">
        <v>155</v>
      </c>
      <c r="D15" s="184"/>
      <c r="E15" s="185"/>
      <c r="F15" s="185"/>
      <c r="G15" s="185"/>
      <c r="H15" s="185">
        <v>4096</v>
      </c>
      <c r="I15" s="185">
        <f>+H15/13</f>
        <v>315.07692307692309</v>
      </c>
      <c r="J15" s="186">
        <f t="shared" si="0"/>
        <v>13</v>
      </c>
    </row>
    <row r="16" spans="1:14" s="43" customFormat="1" ht="12" customHeight="1" x14ac:dyDescent="0.35">
      <c r="A16" s="19"/>
      <c r="B16" s="187" t="s">
        <v>103</v>
      </c>
      <c r="C16" s="178" t="s">
        <v>157</v>
      </c>
      <c r="D16" s="184">
        <v>12.22</v>
      </c>
      <c r="E16" s="185">
        <v>203000000</v>
      </c>
      <c r="F16" s="180">
        <f t="shared" ref="F16:F18" si="2">+E16*D16/1000000</f>
        <v>2480.66</v>
      </c>
      <c r="G16" s="185">
        <v>925.71</v>
      </c>
      <c r="H16" s="180">
        <f t="shared" si="1"/>
        <v>3406.37</v>
      </c>
      <c r="I16" s="185">
        <v>229.7</v>
      </c>
      <c r="J16" s="186">
        <f t="shared" si="0"/>
        <v>14.829647366129734</v>
      </c>
    </row>
    <row r="17" spans="1:11" s="43" customFormat="1" ht="12" customHeight="1" x14ac:dyDescent="0.35">
      <c r="A17" s="19"/>
      <c r="B17" s="182" t="s">
        <v>156</v>
      </c>
      <c r="C17" s="183" t="s">
        <v>157</v>
      </c>
      <c r="D17" s="184">
        <v>1.1499999999999999</v>
      </c>
      <c r="E17" s="185">
        <v>172053000</v>
      </c>
      <c r="F17" s="180">
        <f t="shared" si="2"/>
        <v>197.86094999999997</v>
      </c>
      <c r="G17" s="185">
        <v>2681.96</v>
      </c>
      <c r="H17" s="180">
        <f t="shared" si="1"/>
        <v>2879.8209499999998</v>
      </c>
      <c r="I17" s="185">
        <v>275.18</v>
      </c>
      <c r="J17" s="186">
        <f t="shared" si="0"/>
        <v>10.465226215567991</v>
      </c>
    </row>
    <row r="18" spans="1:11" s="43" customFormat="1" ht="12" customHeight="1" x14ac:dyDescent="0.35">
      <c r="A18" s="19"/>
      <c r="B18" s="182" t="s">
        <v>101</v>
      </c>
      <c r="C18" s="183" t="s">
        <v>158</v>
      </c>
      <c r="D18" s="184">
        <v>24</v>
      </c>
      <c r="E18" s="185">
        <v>19583000</v>
      </c>
      <c r="F18" s="180">
        <f t="shared" si="2"/>
        <v>469.99200000000002</v>
      </c>
      <c r="G18" s="185">
        <v>765.2</v>
      </c>
      <c r="H18" s="180">
        <f t="shared" si="1"/>
        <v>1235.192</v>
      </c>
      <c r="I18" s="185">
        <v>123.07</v>
      </c>
      <c r="J18" s="186">
        <f t="shared" si="0"/>
        <v>10.036499553099862</v>
      </c>
    </row>
    <row r="19" spans="1:11" s="43" customFormat="1" ht="12" customHeight="1" x14ac:dyDescent="0.35">
      <c r="A19" s="19"/>
      <c r="B19" s="182" t="s">
        <v>159</v>
      </c>
      <c r="C19" s="183" t="s">
        <v>157</v>
      </c>
      <c r="D19" s="184">
        <v>24</v>
      </c>
      <c r="E19" s="185">
        <v>40284000</v>
      </c>
      <c r="F19" s="185">
        <f>+E19*D19/1000000</f>
        <v>966.81600000000003</v>
      </c>
      <c r="G19" s="185">
        <v>217.29</v>
      </c>
      <c r="H19" s="180">
        <f t="shared" ref="H19:H21" si="3">+F19+G19</f>
        <v>1184.106</v>
      </c>
      <c r="I19" s="185">
        <v>90.07</v>
      </c>
      <c r="J19" s="186">
        <f t="shared" si="0"/>
        <v>13.14650827134451</v>
      </c>
    </row>
    <row r="20" spans="1:11" s="43" customFormat="1" ht="12" customHeight="1" x14ac:dyDescent="0.35">
      <c r="A20" s="19"/>
      <c r="B20" s="188" t="s">
        <v>160</v>
      </c>
      <c r="C20" s="189" t="s">
        <v>157</v>
      </c>
      <c r="D20" s="190">
        <v>12.25</v>
      </c>
      <c r="E20" s="191">
        <v>44808000</v>
      </c>
      <c r="F20" s="191">
        <f>+E20*D20/1000000</f>
        <v>548.89800000000002</v>
      </c>
      <c r="G20" s="191">
        <v>243.6</v>
      </c>
      <c r="H20" s="180">
        <f t="shared" si="3"/>
        <v>792.49800000000005</v>
      </c>
      <c r="I20" s="191">
        <v>55.12</v>
      </c>
      <c r="J20" s="192">
        <f t="shared" si="0"/>
        <v>14.377685050798259</v>
      </c>
    </row>
    <row r="21" spans="1:11" s="43" customFormat="1" ht="12" customHeight="1" thickBot="1" x14ac:dyDescent="0.4">
      <c r="A21" s="19"/>
      <c r="B21" s="193" t="s">
        <v>161</v>
      </c>
      <c r="C21" s="194" t="s">
        <v>157</v>
      </c>
      <c r="D21" s="195">
        <v>19.93</v>
      </c>
      <c r="E21" s="196">
        <v>95077000</v>
      </c>
      <c r="F21" s="196">
        <f>+E21*D21/1000000</f>
        <v>1894.8846100000001</v>
      </c>
      <c r="G21" s="196">
        <v>1231.5</v>
      </c>
      <c r="H21" s="197">
        <f t="shared" si="3"/>
        <v>3126.3846100000001</v>
      </c>
      <c r="I21" s="196">
        <v>224.85</v>
      </c>
      <c r="J21" s="198">
        <f t="shared" si="0"/>
        <v>13.904312252612854</v>
      </c>
    </row>
    <row r="22" spans="1:11" x14ac:dyDescent="0.35">
      <c r="A22" s="19"/>
      <c r="I22" s="42" t="s">
        <v>137</v>
      </c>
      <c r="J22" s="176">
        <f>AVERAGE(J9:J21)</f>
        <v>14.949950675981833</v>
      </c>
      <c r="K22" s="45"/>
    </row>
    <row r="23" spans="1:11" ht="13.25" customHeight="1" x14ac:dyDescent="0.35">
      <c r="A23" s="19"/>
      <c r="B23" s="102" t="s">
        <v>12</v>
      </c>
      <c r="C23" s="16">
        <f>+'Fig. 13.4'!C19</f>
        <v>939000</v>
      </c>
    </row>
    <row r="24" spans="1:11" ht="13.25" customHeight="1" thickBot="1" x14ac:dyDescent="0.4">
      <c r="A24" s="19"/>
      <c r="B24" s="102" t="s">
        <v>291</v>
      </c>
      <c r="C24" s="126">
        <f>+J22</f>
        <v>14.949950675981833</v>
      </c>
      <c r="G24" s="168"/>
    </row>
    <row r="25" spans="1:11" ht="15" thickBot="1" x14ac:dyDescent="0.4">
      <c r="B25" s="109" t="s">
        <v>271</v>
      </c>
      <c r="C25" s="124">
        <f>+C23*C24</f>
        <v>14038003.684746942</v>
      </c>
    </row>
    <row r="26" spans="1:11" x14ac:dyDescent="0.35">
      <c r="B26" s="103" t="s">
        <v>31</v>
      </c>
      <c r="C26" s="16">
        <f>+'Fig. 13.4'!C22</f>
        <v>-3450000</v>
      </c>
    </row>
    <row r="27" spans="1:11" x14ac:dyDescent="0.35">
      <c r="B27" s="103" t="s">
        <v>284</v>
      </c>
      <c r="C27" s="16">
        <f>+'Fig. 13.4'!H17</f>
        <v>1150000</v>
      </c>
    </row>
    <row r="28" spans="1:11" ht="15" thickBot="1" x14ac:dyDescent="0.4">
      <c r="B28" s="103" t="s">
        <v>285</v>
      </c>
      <c r="C28" s="171">
        <f>SUM(C25:C27)</f>
        <v>11738003.684746942</v>
      </c>
    </row>
    <row r="29" spans="1:11" ht="15.5" thickTop="1" thickBot="1" x14ac:dyDescent="0.4">
      <c r="B29" s="103" t="s">
        <v>145</v>
      </c>
      <c r="C29" s="16">
        <f>+'Fig. 13.4'!E17</f>
        <v>110174.5054945055</v>
      </c>
      <c r="J29" s="98"/>
    </row>
    <row r="30" spans="1:11" ht="15" thickBot="1" x14ac:dyDescent="0.4">
      <c r="B30" s="103" t="s">
        <v>75</v>
      </c>
      <c r="C30" s="123">
        <f>+C28/C29</f>
        <v>106.54010773238575</v>
      </c>
      <c r="J30" s="98"/>
    </row>
    <row r="31" spans="1:11" x14ac:dyDescent="0.35">
      <c r="J31" s="98" t="s">
        <v>326</v>
      </c>
    </row>
  </sheetData>
  <phoneticPr fontId="2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42C0-7730-4A4A-AE0D-C0EC57F181EF}">
  <dimension ref="A1:M44"/>
  <sheetViews>
    <sheetView showGridLines="0" topLeftCell="A24" workbookViewId="0">
      <selection activeCell="C42" sqref="C42"/>
    </sheetView>
  </sheetViews>
  <sheetFormatPr defaultRowHeight="14.5" x14ac:dyDescent="0.35"/>
  <cols>
    <col min="2" max="2" width="37.08984375" customWidth="1"/>
    <col min="3" max="3" width="12.6328125" customWidth="1"/>
    <col min="4" max="4" width="12.7265625" customWidth="1"/>
    <col min="5" max="5" width="11.54296875" customWidth="1"/>
    <col min="6" max="7" width="11.26953125" customWidth="1"/>
    <col min="8" max="9" width="11.08984375" customWidth="1"/>
    <col min="10" max="10" width="11.26953125" customWidth="1"/>
    <col min="11" max="11" width="11" customWidth="1"/>
    <col min="13" max="13" width="2.54296875" customWidth="1"/>
  </cols>
  <sheetData>
    <row r="1" spans="1:13" ht="20" x14ac:dyDescent="0.4">
      <c r="A1" s="19"/>
      <c r="B1" s="20" t="s">
        <v>40</v>
      </c>
      <c r="C1" s="21"/>
    </row>
    <row r="2" spans="1:13" ht="10.5" customHeight="1" x14ac:dyDescent="0.35">
      <c r="A2" s="19"/>
      <c r="B2" s="22" t="s">
        <v>41</v>
      </c>
      <c r="C2" s="21"/>
    </row>
    <row r="4" spans="1:13" s="113" customFormat="1" ht="17.5" customHeight="1" x14ac:dyDescent="0.35">
      <c r="A4" s="266"/>
      <c r="B4" s="267" t="s">
        <v>299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</row>
    <row r="5" spans="1:13" ht="11.5" customHeight="1" x14ac:dyDescent="0.35">
      <c r="A5" s="19"/>
      <c r="B5" s="103"/>
      <c r="C5" s="34"/>
      <c r="D5" s="34"/>
      <c r="E5" s="209" t="s">
        <v>162</v>
      </c>
      <c r="F5" s="210">
        <v>1</v>
      </c>
      <c r="G5" s="210">
        <v>2</v>
      </c>
      <c r="H5" s="210">
        <v>3</v>
      </c>
      <c r="I5" s="210">
        <v>4</v>
      </c>
      <c r="J5" s="210">
        <v>5</v>
      </c>
      <c r="K5" s="210">
        <v>6</v>
      </c>
    </row>
    <row r="6" spans="1:13" x14ac:dyDescent="0.35">
      <c r="A6" s="19"/>
      <c r="C6" s="211" t="s">
        <v>163</v>
      </c>
      <c r="D6" s="212" t="s">
        <v>164</v>
      </c>
      <c r="E6" s="213" t="s">
        <v>165</v>
      </c>
      <c r="J6" s="214" t="s">
        <v>2</v>
      </c>
    </row>
    <row r="7" spans="1:13" ht="15" thickBot="1" x14ac:dyDescent="0.4">
      <c r="A7" s="19"/>
      <c r="C7" s="215" t="s">
        <v>166</v>
      </c>
      <c r="D7" s="216" t="s">
        <v>166</v>
      </c>
      <c r="E7" s="275">
        <v>2022</v>
      </c>
      <c r="F7" s="276">
        <v>2023</v>
      </c>
      <c r="G7" s="276">
        <v>2024</v>
      </c>
      <c r="H7" s="276">
        <v>2025</v>
      </c>
      <c r="I7" s="276">
        <v>2026</v>
      </c>
      <c r="J7" s="277">
        <v>2027</v>
      </c>
      <c r="K7" s="276">
        <v>2028</v>
      </c>
    </row>
    <row r="8" spans="1:13" x14ac:dyDescent="0.35">
      <c r="A8" s="19"/>
      <c r="B8" t="s">
        <v>9</v>
      </c>
      <c r="C8" s="282"/>
      <c r="D8" s="217"/>
      <c r="E8" s="218">
        <v>5891000</v>
      </c>
      <c r="F8" s="4">
        <f t="shared" ref="F8:K8" si="0">+E8*(1+F9)</f>
        <v>6185550</v>
      </c>
      <c r="G8" s="4">
        <f t="shared" si="0"/>
        <v>6804105.0000000009</v>
      </c>
      <c r="H8" s="4">
        <f t="shared" si="0"/>
        <v>7484515.5000000019</v>
      </c>
      <c r="I8" s="4">
        <f t="shared" si="0"/>
        <v>8045854.1625000015</v>
      </c>
      <c r="J8" s="5">
        <f t="shared" si="0"/>
        <v>8649293.2246875018</v>
      </c>
      <c r="K8" s="46">
        <f t="shared" si="0"/>
        <v>9081757.8859218769</v>
      </c>
    </row>
    <row r="9" spans="1:13" x14ac:dyDescent="0.35">
      <c r="A9" s="19"/>
      <c r="B9" t="s">
        <v>167</v>
      </c>
      <c r="C9" s="283"/>
      <c r="D9" s="219"/>
      <c r="E9" s="220"/>
      <c r="F9" s="120">
        <v>0.05</v>
      </c>
      <c r="G9" s="120">
        <v>0.1</v>
      </c>
      <c r="H9" s="120">
        <v>0.1</v>
      </c>
      <c r="I9" s="120">
        <v>7.4999999999999997E-2</v>
      </c>
      <c r="J9" s="221">
        <v>7.4999999999999997E-2</v>
      </c>
      <c r="K9" s="222">
        <v>0.05</v>
      </c>
      <c r="L9" s="223"/>
    </row>
    <row r="10" spans="1:13" x14ac:dyDescent="0.35">
      <c r="A10" s="19"/>
      <c r="B10" t="s">
        <v>168</v>
      </c>
      <c r="C10" s="283">
        <f>-E10/E8</f>
        <v>0.78136139874384658</v>
      </c>
      <c r="D10" s="219">
        <v>0.78</v>
      </c>
      <c r="E10" s="218">
        <v>-4603000</v>
      </c>
      <c r="F10" s="4">
        <f t="shared" ref="F10:K10" si="1">-$D$10*F8</f>
        <v>-4824729</v>
      </c>
      <c r="G10" s="4">
        <f t="shared" si="1"/>
        <v>-5307201.9000000013</v>
      </c>
      <c r="H10" s="4">
        <f t="shared" si="1"/>
        <v>-5837922.0900000017</v>
      </c>
      <c r="I10" s="4">
        <f t="shared" si="1"/>
        <v>-6275766.2467500018</v>
      </c>
      <c r="J10" s="5">
        <f t="shared" si="1"/>
        <v>-6746448.7152562514</v>
      </c>
      <c r="K10" s="46">
        <f t="shared" si="1"/>
        <v>-7083771.1510190638</v>
      </c>
    </row>
    <row r="11" spans="1:13" x14ac:dyDescent="0.35">
      <c r="A11" s="19"/>
      <c r="B11" t="s">
        <v>169</v>
      </c>
      <c r="C11" s="283">
        <f>-E11/E8</f>
        <v>0.12103208283822781</v>
      </c>
      <c r="D11" s="219">
        <v>0.12</v>
      </c>
      <c r="E11" s="224">
        <f>-890000+(939000-762000)</f>
        <v>-713000</v>
      </c>
      <c r="F11" s="6">
        <f t="shared" ref="F11:K11" si="2">-$D$11*F8</f>
        <v>-742266</v>
      </c>
      <c r="G11" s="6">
        <f t="shared" si="2"/>
        <v>-816492.60000000009</v>
      </c>
      <c r="H11" s="6">
        <f t="shared" si="2"/>
        <v>-898141.86000000022</v>
      </c>
      <c r="I11" s="6">
        <f t="shared" si="2"/>
        <v>-965502.49950000015</v>
      </c>
      <c r="J11" s="7">
        <f t="shared" si="2"/>
        <v>-1037915.1869625002</v>
      </c>
      <c r="K11" s="47">
        <f t="shared" si="2"/>
        <v>-1089810.9463106252</v>
      </c>
    </row>
    <row r="12" spans="1:13" x14ac:dyDescent="0.35">
      <c r="A12" s="19"/>
      <c r="B12" t="s">
        <v>170</v>
      </c>
      <c r="C12" s="284"/>
      <c r="D12" s="225"/>
      <c r="E12" s="220">
        <f>SUM(E8:E11)</f>
        <v>575000</v>
      </c>
      <c r="F12" s="4">
        <f t="shared" ref="F12:K12" si="3">+F8+F10+F11</f>
        <v>618555</v>
      </c>
      <c r="G12" s="4">
        <f t="shared" si="3"/>
        <v>680410.49999999953</v>
      </c>
      <c r="H12" s="4">
        <f t="shared" si="3"/>
        <v>748451.54999999993</v>
      </c>
      <c r="I12" s="4">
        <f t="shared" si="3"/>
        <v>804585.41624999954</v>
      </c>
      <c r="J12" s="5">
        <f t="shared" si="3"/>
        <v>864929.32246875018</v>
      </c>
      <c r="K12" s="46">
        <f t="shared" si="3"/>
        <v>908175.78859218792</v>
      </c>
      <c r="M12" s="16"/>
    </row>
    <row r="13" spans="1:13" x14ac:dyDescent="0.35">
      <c r="A13" s="19"/>
      <c r="B13" t="s">
        <v>171</v>
      </c>
      <c r="C13" s="283"/>
      <c r="D13" s="219">
        <v>0.22</v>
      </c>
      <c r="E13" s="220">
        <v>0</v>
      </c>
      <c r="F13" s="4">
        <f t="shared" ref="F13:K13" si="4">-$D$13*F12</f>
        <v>-136082.1</v>
      </c>
      <c r="G13" s="4">
        <f t="shared" si="4"/>
        <v>-149690.30999999991</v>
      </c>
      <c r="H13" s="4">
        <f t="shared" si="4"/>
        <v>-164659.34099999999</v>
      </c>
      <c r="I13" s="4">
        <f t="shared" si="4"/>
        <v>-177008.79157499989</v>
      </c>
      <c r="J13" s="5">
        <f t="shared" si="4"/>
        <v>-190284.45094312503</v>
      </c>
      <c r="K13" s="46">
        <f t="shared" si="4"/>
        <v>-199798.67349028133</v>
      </c>
    </row>
    <row r="14" spans="1:13" x14ac:dyDescent="0.35">
      <c r="A14" s="19"/>
      <c r="B14" t="s">
        <v>172</v>
      </c>
      <c r="C14" s="283">
        <f>+E14/E8</f>
        <v>6.1789169920217282E-2</v>
      </c>
      <c r="D14" s="219">
        <v>0.06</v>
      </c>
      <c r="E14" s="218">
        <v>364000</v>
      </c>
      <c r="F14" s="4">
        <f t="shared" ref="F14:K14" si="5">+$D$14*F8</f>
        <v>371133</v>
      </c>
      <c r="G14" s="4">
        <f t="shared" si="5"/>
        <v>408246.30000000005</v>
      </c>
      <c r="H14" s="4">
        <f t="shared" si="5"/>
        <v>449070.93000000011</v>
      </c>
      <c r="I14" s="4">
        <f t="shared" si="5"/>
        <v>482751.24975000008</v>
      </c>
      <c r="J14" s="5">
        <f t="shared" si="5"/>
        <v>518957.59348125011</v>
      </c>
      <c r="K14" s="46">
        <f t="shared" si="5"/>
        <v>544905.47315531259</v>
      </c>
    </row>
    <row r="15" spans="1:13" x14ac:dyDescent="0.35">
      <c r="A15" s="19"/>
      <c r="B15" s="2" t="s">
        <v>18</v>
      </c>
      <c r="C15" s="283">
        <f>-E15/E8</f>
        <v>7.6479375318282122E-3</v>
      </c>
      <c r="D15" s="219">
        <v>0.01</v>
      </c>
      <c r="E15" s="218">
        <v>-45054</v>
      </c>
      <c r="F15" s="4">
        <f t="shared" ref="F15:K15" si="6">-$D$15*F8</f>
        <v>-61855.5</v>
      </c>
      <c r="G15" s="4">
        <f t="shared" si="6"/>
        <v>-68041.050000000017</v>
      </c>
      <c r="H15" s="4">
        <f t="shared" si="6"/>
        <v>-74845.155000000013</v>
      </c>
      <c r="I15" s="4">
        <f t="shared" si="6"/>
        <v>-80458.541625000013</v>
      </c>
      <c r="J15" s="5">
        <f t="shared" si="6"/>
        <v>-86492.932246875018</v>
      </c>
      <c r="K15" s="46">
        <f t="shared" si="6"/>
        <v>-90817.578859218775</v>
      </c>
    </row>
    <row r="16" spans="1:13" x14ac:dyDescent="0.35">
      <c r="A16" s="19"/>
      <c r="B16" t="s">
        <v>173</v>
      </c>
      <c r="C16" s="283">
        <f>-E16/E8</f>
        <v>1.8842301816329995E-2</v>
      </c>
      <c r="D16" s="219">
        <v>0.03</v>
      </c>
      <c r="E16" s="218">
        <v>-111000</v>
      </c>
      <c r="F16" s="4">
        <f t="shared" ref="F16:K16" si="7">-$D$16*F8</f>
        <v>-185566.5</v>
      </c>
      <c r="G16" s="4">
        <f t="shared" si="7"/>
        <v>-204123.15000000002</v>
      </c>
      <c r="H16" s="4">
        <f t="shared" si="7"/>
        <v>-224535.46500000005</v>
      </c>
      <c r="I16" s="4">
        <f t="shared" si="7"/>
        <v>-241375.62487500004</v>
      </c>
      <c r="J16" s="5">
        <f t="shared" si="7"/>
        <v>-259478.79674062505</v>
      </c>
      <c r="K16" s="46">
        <f t="shared" si="7"/>
        <v>-272452.73657765629</v>
      </c>
    </row>
    <row r="17" spans="1:11" ht="15" thickBot="1" x14ac:dyDescent="0.4">
      <c r="A17" s="19"/>
      <c r="B17" t="s">
        <v>174</v>
      </c>
      <c r="C17" s="48"/>
      <c r="E17" s="226">
        <f t="shared" ref="E17" si="8">SUM(E12:E16)</f>
        <v>782946</v>
      </c>
      <c r="F17" s="227">
        <f t="shared" ref="F17:K17" si="9">SUM(F12:F16)</f>
        <v>606183.9</v>
      </c>
      <c r="G17" s="227">
        <f t="shared" si="9"/>
        <v>666802.28999999957</v>
      </c>
      <c r="H17" s="227">
        <f t="shared" si="9"/>
        <v>733482.51899999985</v>
      </c>
      <c r="I17" s="227">
        <f t="shared" si="9"/>
        <v>788493.70792499953</v>
      </c>
      <c r="J17" s="226">
        <f t="shared" si="9"/>
        <v>847630.73601937527</v>
      </c>
      <c r="K17" s="228">
        <f t="shared" si="9"/>
        <v>890012.27282034396</v>
      </c>
    </row>
    <row r="18" spans="1:11" ht="7.5" customHeight="1" thickTop="1" x14ac:dyDescent="0.35">
      <c r="A18" s="19"/>
      <c r="B18" s="34"/>
      <c r="C18" s="34"/>
      <c r="D18" s="34"/>
      <c r="E18" s="6"/>
      <c r="F18" s="6"/>
      <c r="G18" s="6"/>
      <c r="H18" s="6"/>
      <c r="I18" s="6"/>
      <c r="J18" s="7"/>
      <c r="K18" s="47"/>
    </row>
    <row r="19" spans="1:11" x14ac:dyDescent="0.35">
      <c r="A19" s="19"/>
      <c r="B19" s="200" t="s">
        <v>12</v>
      </c>
      <c r="C19" s="203"/>
      <c r="D19" s="203"/>
      <c r="E19" s="229">
        <f t="shared" ref="E19:K19" si="10">+E12+E14</f>
        <v>939000</v>
      </c>
      <c r="F19" s="229">
        <f t="shared" si="10"/>
        <v>989688</v>
      </c>
      <c r="G19" s="229">
        <f t="shared" si="10"/>
        <v>1088656.7999999996</v>
      </c>
      <c r="H19" s="229">
        <f t="shared" si="10"/>
        <v>1197522.48</v>
      </c>
      <c r="I19" s="229">
        <f t="shared" si="10"/>
        <v>1287336.6659999997</v>
      </c>
      <c r="J19" s="230">
        <f t="shared" si="10"/>
        <v>1383886.9159500003</v>
      </c>
      <c r="K19" s="231">
        <f t="shared" si="10"/>
        <v>1453081.2617475004</v>
      </c>
    </row>
    <row r="20" spans="1:11" ht="12" customHeight="1" x14ac:dyDescent="0.35">
      <c r="A20" s="19"/>
      <c r="B20" s="232" t="s">
        <v>175</v>
      </c>
      <c r="C20" s="232"/>
      <c r="D20" s="232"/>
      <c r="E20" s="233">
        <f>+'Fig.13.1'!G17</f>
        <v>3450000</v>
      </c>
      <c r="F20" s="233">
        <f t="shared" ref="F20:K20" si="11">+E20-(0.05*$E$20)</f>
        <v>3277500</v>
      </c>
      <c r="G20" s="233">
        <f t="shared" si="11"/>
        <v>3105000</v>
      </c>
      <c r="H20" s="233">
        <f t="shared" si="11"/>
        <v>2932500</v>
      </c>
      <c r="I20" s="233">
        <f t="shared" si="11"/>
        <v>2760000</v>
      </c>
      <c r="J20" s="234">
        <f t="shared" si="11"/>
        <v>2587500</v>
      </c>
      <c r="K20" s="235">
        <f t="shared" si="11"/>
        <v>2415000</v>
      </c>
    </row>
    <row r="21" spans="1:11" ht="7.5" customHeight="1" x14ac:dyDescent="0.35">
      <c r="A21" s="19"/>
      <c r="J21" s="204"/>
    </row>
    <row r="22" spans="1:11" ht="15" thickBot="1" x14ac:dyDescent="0.4">
      <c r="A22" s="19"/>
      <c r="B22" s="236" t="s">
        <v>176</v>
      </c>
      <c r="C22" s="237" t="s">
        <v>166</v>
      </c>
      <c r="E22" s="238" t="s">
        <v>177</v>
      </c>
      <c r="J22" s="204"/>
    </row>
    <row r="23" spans="1:11" x14ac:dyDescent="0.35">
      <c r="A23" s="19"/>
      <c r="B23" t="s">
        <v>178</v>
      </c>
      <c r="C23" s="126">
        <f>+'Fig. 13.4'!D19</f>
        <v>15.750205958507092</v>
      </c>
      <c r="E23" s="49"/>
      <c r="F23" s="32" t="s">
        <v>179</v>
      </c>
      <c r="J23" s="205">
        <f>+$C$23*J19</f>
        <v>21796503.949495696</v>
      </c>
    </row>
    <row r="24" spans="1:11" x14ac:dyDescent="0.35">
      <c r="A24" s="19"/>
      <c r="B24" t="s">
        <v>180</v>
      </c>
      <c r="C24" s="239">
        <f>+J42</f>
        <v>9.4561211326530253E-2</v>
      </c>
      <c r="E24" s="50">
        <f>+K9</f>
        <v>0.05</v>
      </c>
      <c r="F24" s="32" t="s">
        <v>181</v>
      </c>
      <c r="J24" s="5">
        <f>+K17/(C24-E24)</f>
        <v>19972802.496292565</v>
      </c>
    </row>
    <row r="25" spans="1:11" x14ac:dyDescent="0.35">
      <c r="A25" s="19"/>
      <c r="B25" t="s">
        <v>137</v>
      </c>
      <c r="E25" s="223"/>
      <c r="J25" s="51">
        <f>+(J23+J24)/2</f>
        <v>20884653.222894132</v>
      </c>
    </row>
    <row r="26" spans="1:11" x14ac:dyDescent="0.35">
      <c r="A26" s="19"/>
      <c r="B26" t="s">
        <v>182</v>
      </c>
      <c r="E26" s="16"/>
      <c r="J26" s="205">
        <f>-J20</f>
        <v>-2587500</v>
      </c>
    </row>
    <row r="27" spans="1:11" x14ac:dyDescent="0.35">
      <c r="A27" s="19"/>
      <c r="B27" t="s">
        <v>183</v>
      </c>
      <c r="E27" s="16"/>
      <c r="J27" s="206">
        <v>0</v>
      </c>
    </row>
    <row r="28" spans="1:11" x14ac:dyDescent="0.35">
      <c r="A28" s="19"/>
      <c r="B28" t="s">
        <v>184</v>
      </c>
      <c r="J28" s="205">
        <f>+J26+J25</f>
        <v>18297153.222894132</v>
      </c>
    </row>
    <row r="29" spans="1:11" x14ac:dyDescent="0.35">
      <c r="A29" s="19"/>
      <c r="E29" s="278"/>
      <c r="J29" s="204"/>
    </row>
    <row r="30" spans="1:11" ht="15" thickBot="1" x14ac:dyDescent="0.4">
      <c r="A30" s="19"/>
      <c r="B30" t="s">
        <v>33</v>
      </c>
      <c r="F30" s="240">
        <f>+F17</f>
        <v>606183.9</v>
      </c>
      <c r="G30" s="240">
        <f>+G17</f>
        <v>666802.28999999957</v>
      </c>
      <c r="H30" s="240">
        <f>+H17</f>
        <v>733482.51899999985</v>
      </c>
      <c r="I30" s="240">
        <f>+I17</f>
        <v>788493.70792499953</v>
      </c>
      <c r="J30" s="240">
        <f>+J28+J17</f>
        <v>19144783.958913509</v>
      </c>
    </row>
    <row r="31" spans="1:11" ht="15.5" thickTop="1" thickBot="1" x14ac:dyDescent="0.4">
      <c r="A31" s="19"/>
      <c r="B31" t="s">
        <v>300</v>
      </c>
      <c r="C31" s="16">
        <f>SUM(F31:J31)</f>
        <v>13393174.786316535</v>
      </c>
      <c r="E31" s="279">
        <f>+G37</f>
        <v>0.112</v>
      </c>
      <c r="F31" s="41">
        <f>+F30/(1+$E$31)^F5</f>
        <v>545129.40647482011</v>
      </c>
      <c r="G31" s="41">
        <f>+G30/(1+$E$31)^G5</f>
        <v>539246.715038041</v>
      </c>
      <c r="H31" s="41">
        <f>+H30/(1+$E$31)^H5</f>
        <v>533427.50588295446</v>
      </c>
      <c r="I31" s="41">
        <f>+I30/(1+$E$31)^I5</f>
        <v>515678.56908648892</v>
      </c>
      <c r="J31" s="41">
        <f>+J30/(1+$E$31)^J5</f>
        <v>11259692.58983423</v>
      </c>
    </row>
    <row r="32" spans="1:11" ht="15" thickBot="1" x14ac:dyDescent="0.4">
      <c r="A32" s="19"/>
      <c r="B32" t="s">
        <v>145</v>
      </c>
      <c r="C32" s="41">
        <f>+'Fig.13.1'!E17</f>
        <v>110174.5054945055</v>
      </c>
    </row>
    <row r="33" spans="1:10" ht="18.5" customHeight="1" thickBot="1" x14ac:dyDescent="0.4">
      <c r="A33" s="19"/>
      <c r="B33" s="86" t="s">
        <v>75</v>
      </c>
      <c r="C33" s="345">
        <f>+C31/C32</f>
        <v>121.56328477448409</v>
      </c>
      <c r="E33" s="251" t="s">
        <v>302</v>
      </c>
      <c r="F33" s="252"/>
      <c r="G33" s="253"/>
      <c r="I33" s="251" t="s">
        <v>324</v>
      </c>
      <c r="J33" s="254"/>
    </row>
    <row r="34" spans="1:10" x14ac:dyDescent="0.35">
      <c r="A34" s="19"/>
      <c r="B34" t="s">
        <v>285</v>
      </c>
      <c r="C34" s="74">
        <f>+C31</f>
        <v>13393174.786316535</v>
      </c>
      <c r="E34" s="242" t="s">
        <v>185</v>
      </c>
      <c r="F34" s="103"/>
      <c r="G34" s="273">
        <f>+'Fig.13.2'!C8</f>
        <v>3.5000000000000003E-2</v>
      </c>
      <c r="I34" s="244">
        <v>150000</v>
      </c>
      <c r="J34" s="82"/>
    </row>
    <row r="35" spans="1:10" x14ac:dyDescent="0.35">
      <c r="A35" s="19"/>
      <c r="B35" t="s">
        <v>36</v>
      </c>
      <c r="C35" s="74">
        <f>E20</f>
        <v>3450000</v>
      </c>
      <c r="E35" s="242" t="s">
        <v>186</v>
      </c>
      <c r="F35" s="103"/>
      <c r="G35" s="245">
        <v>5.5E-2</v>
      </c>
      <c r="I35" s="83">
        <f>+I34/E20</f>
        <v>4.3478260869565216E-2</v>
      </c>
      <c r="J35" s="246" t="s">
        <v>187</v>
      </c>
    </row>
    <row r="36" spans="1:10" ht="15" thickBot="1" x14ac:dyDescent="0.4">
      <c r="A36" s="19"/>
      <c r="B36" t="s">
        <v>37</v>
      </c>
      <c r="C36" s="74">
        <f>-+'Fig.13.1'!H17</f>
        <v>-1150000</v>
      </c>
      <c r="E36" s="242" t="s">
        <v>188</v>
      </c>
      <c r="F36" s="103"/>
      <c r="G36" s="274">
        <f>+'Fig. 13.4'!L17</f>
        <v>1.4</v>
      </c>
      <c r="I36" s="207"/>
      <c r="J36" s="208"/>
    </row>
    <row r="37" spans="1:10" ht="15" thickBot="1" x14ac:dyDescent="0.4">
      <c r="A37" s="19"/>
      <c r="B37" s="8" t="s">
        <v>271</v>
      </c>
      <c r="C37" s="250">
        <f>SUM(C34:C36)</f>
        <v>15693174.786316536</v>
      </c>
      <c r="E37" s="248" t="s">
        <v>303</v>
      </c>
      <c r="F37" s="249"/>
      <c r="G37" s="265">
        <f>+G34+(G35*G36)</f>
        <v>0.112</v>
      </c>
      <c r="J37" s="14"/>
    </row>
    <row r="38" spans="1:10" ht="15" thickBot="1" x14ac:dyDescent="0.4">
      <c r="A38" s="19"/>
    </row>
    <row r="39" spans="1:10" ht="17" customHeight="1" thickBot="1" x14ac:dyDescent="0.4">
      <c r="A39" s="19"/>
      <c r="C39" s="241"/>
      <c r="E39" s="256" t="s">
        <v>189</v>
      </c>
      <c r="F39" s="257"/>
      <c r="G39" s="262" t="s">
        <v>190</v>
      </c>
      <c r="H39" s="255" t="s">
        <v>301</v>
      </c>
      <c r="I39" s="262" t="s">
        <v>191</v>
      </c>
      <c r="J39" s="264" t="s">
        <v>192</v>
      </c>
    </row>
    <row r="40" spans="1:10" x14ac:dyDescent="0.35">
      <c r="A40" s="19"/>
      <c r="C40" s="241"/>
      <c r="E40" s="260" t="s">
        <v>71</v>
      </c>
      <c r="F40" s="16">
        <f>+'Fig. 13.4'!G17</f>
        <v>3450000</v>
      </c>
      <c r="G40" s="269">
        <f>+F40/SUM($F$40:$F$41)</f>
        <v>0.22332524470479084</v>
      </c>
      <c r="H40" s="258">
        <f>+I35</f>
        <v>4.3478260869565216E-2</v>
      </c>
      <c r="I40" s="270">
        <f>+H40*(1-D13)</f>
        <v>3.3913043478260872E-2</v>
      </c>
      <c r="J40" s="271">
        <f>+I40*G40</f>
        <v>7.5736387334668209E-3</v>
      </c>
    </row>
    <row r="41" spans="1:10" x14ac:dyDescent="0.35">
      <c r="A41" s="19"/>
      <c r="C41" s="241"/>
      <c r="E41" s="260" t="s">
        <v>325</v>
      </c>
      <c r="F41" s="16">
        <f>+'Fig.13.2'!C15</f>
        <v>11998320.697288323</v>
      </c>
      <c r="G41" s="269">
        <f>+F41/SUM($F$40:$F$41)</f>
        <v>0.77667475529520913</v>
      </c>
      <c r="H41" s="258">
        <f>+G37</f>
        <v>0.112</v>
      </c>
      <c r="I41" s="263">
        <f>+G37</f>
        <v>0.112</v>
      </c>
      <c r="J41" s="271">
        <f>+I41*G41</f>
        <v>8.6987572593063431E-2</v>
      </c>
    </row>
    <row r="42" spans="1:10" ht="15" thickBot="1" x14ac:dyDescent="0.4">
      <c r="A42" s="19"/>
      <c r="C42" s="241"/>
      <c r="E42" s="207"/>
      <c r="F42" s="261">
        <f>+F41+F40</f>
        <v>15448320.697288323</v>
      </c>
      <c r="G42" s="272">
        <f>SUM(G40:G41)</f>
        <v>1</v>
      </c>
      <c r="H42" s="259"/>
      <c r="I42" s="259"/>
      <c r="J42" s="281">
        <f>SUM(J40:J41)</f>
        <v>9.4561211326530253E-2</v>
      </c>
    </row>
    <row r="44" spans="1:10" x14ac:dyDescent="0.35">
      <c r="J44" s="98" t="s">
        <v>296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2B7B-C494-41F4-97BA-AB310CB90784}">
  <dimension ref="A1:O35"/>
  <sheetViews>
    <sheetView showGridLines="0" topLeftCell="B18" zoomScaleNormal="100" workbookViewId="0">
      <selection activeCell="B35" sqref="B35"/>
    </sheetView>
  </sheetViews>
  <sheetFormatPr defaultRowHeight="14.5" x14ac:dyDescent="0.35"/>
  <cols>
    <col min="1" max="1" width="3.54296875" customWidth="1"/>
    <col min="2" max="2" width="34" customWidth="1"/>
    <col min="3" max="3" width="12.6328125" customWidth="1"/>
    <col min="4" max="4" width="12.7265625" bestFit="1" customWidth="1"/>
    <col min="5" max="5" width="11.54296875" bestFit="1" customWidth="1"/>
    <col min="6" max="6" width="11.08984375" bestFit="1" customWidth="1"/>
    <col min="7" max="7" width="11.7265625" bestFit="1" customWidth="1"/>
    <col min="8" max="8" width="10.6328125" bestFit="1" customWidth="1"/>
    <col min="9" max="9" width="10.08984375" customWidth="1"/>
    <col min="10" max="11" width="10.6328125" bestFit="1" customWidth="1"/>
    <col min="12" max="12" width="11.54296875" customWidth="1"/>
    <col min="13" max="13" width="11.08984375" customWidth="1"/>
    <col min="14" max="14" width="2.26953125" customWidth="1"/>
  </cols>
  <sheetData>
    <row r="1" spans="1:12" ht="20" x14ac:dyDescent="0.4">
      <c r="A1" s="19"/>
      <c r="B1" s="20" t="s">
        <v>40</v>
      </c>
      <c r="C1" s="21"/>
    </row>
    <row r="2" spans="1:12" ht="10.5" customHeight="1" x14ac:dyDescent="0.35">
      <c r="A2" s="19"/>
      <c r="B2" s="22" t="s">
        <v>41</v>
      </c>
      <c r="C2" s="21"/>
    </row>
    <row r="4" spans="1:12" x14ac:dyDescent="0.35">
      <c r="A4" s="19"/>
      <c r="B4" s="101" t="s">
        <v>304</v>
      </c>
      <c r="C4" s="90"/>
      <c r="D4" s="90"/>
      <c r="E4" s="90"/>
      <c r="F4" s="90"/>
      <c r="G4" s="90"/>
      <c r="H4" s="90"/>
      <c r="I4" s="90"/>
      <c r="J4" s="90"/>
      <c r="K4" s="90"/>
    </row>
    <row r="5" spans="1:12" s="2" customFormat="1" x14ac:dyDescent="0.35">
      <c r="A5" s="54"/>
      <c r="B5" s="103"/>
      <c r="L5"/>
    </row>
    <row r="6" spans="1:12" s="2" customFormat="1" ht="58" x14ac:dyDescent="0.35">
      <c r="A6" s="54"/>
      <c r="B6" s="291" t="s">
        <v>199</v>
      </c>
      <c r="C6" s="292" t="s">
        <v>203</v>
      </c>
      <c r="D6" s="291" t="s">
        <v>201</v>
      </c>
      <c r="E6" s="292" t="s">
        <v>204</v>
      </c>
      <c r="F6" s="292" t="s">
        <v>205</v>
      </c>
      <c r="G6" s="293" t="s">
        <v>213</v>
      </c>
      <c r="H6" s="293" t="s">
        <v>220</v>
      </c>
      <c r="I6" s="293" t="s">
        <v>232</v>
      </c>
      <c r="L6"/>
    </row>
    <row r="7" spans="1:12" s="2" customFormat="1" x14ac:dyDescent="0.35">
      <c r="A7" s="54"/>
      <c r="B7" t="s">
        <v>200</v>
      </c>
      <c r="C7" s="294">
        <f>+'Fig.13.1'!D17</f>
        <v>113.75</v>
      </c>
      <c r="D7" s="295">
        <v>0</v>
      </c>
      <c r="E7" s="294">
        <f>+C7*(1+D7)</f>
        <v>113.75</v>
      </c>
      <c r="F7" s="296">
        <f>+'Fig.13.1'!E17</f>
        <v>110174.5054945055</v>
      </c>
      <c r="G7" s="297">
        <f>+F7*E7</f>
        <v>12532350</v>
      </c>
      <c r="H7" s="298">
        <f>+G7/$G$10</f>
        <v>0.75762016843691171</v>
      </c>
      <c r="I7" s="106">
        <f>+G7/'Fig. 13.6'!$E$19</f>
        <v>13.346485623003195</v>
      </c>
      <c r="L7" s="24"/>
    </row>
    <row r="8" spans="1:12" s="2" customFormat="1" x14ac:dyDescent="0.35">
      <c r="A8" s="54"/>
      <c r="B8" t="s">
        <v>206</v>
      </c>
      <c r="G8" s="297">
        <f>+'Fig.13.1'!G17</f>
        <v>3450000</v>
      </c>
      <c r="H8" s="298">
        <f>+G8/$G$10</f>
        <v>0.20856340439800558</v>
      </c>
      <c r="I8" s="106">
        <f>+G8/'Fig. 13.6'!$E$19</f>
        <v>3.6741214057507987</v>
      </c>
      <c r="L8" s="24"/>
    </row>
    <row r="9" spans="1:12" s="2" customFormat="1" x14ac:dyDescent="0.35">
      <c r="A9" s="54"/>
      <c r="B9" t="s">
        <v>202</v>
      </c>
      <c r="C9" s="104">
        <v>3.5000000000000003E-2</v>
      </c>
      <c r="G9" s="110">
        <f>+C9*(1+G7+G8)</f>
        <v>559382.28500000003</v>
      </c>
      <c r="H9" s="298">
        <f>+G9/$G$10</f>
        <v>3.3816427165082728E-2</v>
      </c>
      <c r="I9" s="106">
        <f>+G9/'Fig. 13.6'!$E$19</f>
        <v>0.59572128328008522</v>
      </c>
      <c r="L9" s="24"/>
    </row>
    <row r="10" spans="1:12" s="2" customFormat="1" ht="15" thickBot="1" x14ac:dyDescent="0.4">
      <c r="A10" s="54"/>
      <c r="B10" t="s">
        <v>217</v>
      </c>
      <c r="G10" s="299">
        <f>SUM(G7:G9)</f>
        <v>16541732.285</v>
      </c>
      <c r="H10" s="300">
        <f>+G10/$G$10</f>
        <v>1</v>
      </c>
      <c r="I10" s="301">
        <f>+G10/'Fig. 13.6'!$E$19</f>
        <v>17.616328312034078</v>
      </c>
      <c r="L10" s="24"/>
    </row>
    <row r="11" spans="1:12" s="2" customFormat="1" ht="15" thickBot="1" x14ac:dyDescent="0.4">
      <c r="A11" s="54"/>
      <c r="B11"/>
      <c r="L11" s="24"/>
    </row>
    <row r="12" spans="1:12" s="2" customFormat="1" ht="47.4" customHeight="1" x14ac:dyDescent="0.35">
      <c r="A12" s="54"/>
      <c r="B12" s="291" t="s">
        <v>207</v>
      </c>
      <c r="C12" s="293" t="s">
        <v>219</v>
      </c>
      <c r="D12" s="292" t="s">
        <v>209</v>
      </c>
      <c r="E12" s="292" t="s">
        <v>210</v>
      </c>
      <c r="F12" s="293" t="s">
        <v>211</v>
      </c>
      <c r="G12" s="293" t="s">
        <v>212</v>
      </c>
      <c r="H12" s="291" t="s">
        <v>208</v>
      </c>
      <c r="I12" s="302" t="s">
        <v>305</v>
      </c>
      <c r="J12" s="290"/>
      <c r="K12" s="303"/>
      <c r="L12" s="24"/>
    </row>
    <row r="13" spans="1:12" s="2" customFormat="1" x14ac:dyDescent="0.35">
      <c r="A13" s="54"/>
      <c r="B13" t="s">
        <v>214</v>
      </c>
      <c r="C13" s="304">
        <v>3.5</v>
      </c>
      <c r="D13" s="219">
        <v>0.05</v>
      </c>
      <c r="E13" s="305">
        <f>+D13*(1-'Fig. 13.6'!$D$13)</f>
        <v>3.9000000000000007E-2</v>
      </c>
      <c r="F13" s="306">
        <f>+H13*E13</f>
        <v>7.7484931923500798E-3</v>
      </c>
      <c r="G13" s="110">
        <f>ROUND(+C13*'Fig. 13.6'!$E$19,0)</f>
        <v>3286500</v>
      </c>
      <c r="H13" s="307">
        <f>+G13/$G$17</f>
        <v>0.19867931262436098</v>
      </c>
      <c r="I13" s="242" t="s">
        <v>185</v>
      </c>
      <c r="K13" s="243">
        <f>+'Fig.13.2'!C8</f>
        <v>3.5000000000000003E-2</v>
      </c>
      <c r="L13" s="24"/>
    </row>
    <row r="14" spans="1:12" s="2" customFormat="1" x14ac:dyDescent="0.35">
      <c r="A14" s="54"/>
      <c r="B14" t="s">
        <v>215</v>
      </c>
      <c r="C14" s="304">
        <v>2.5</v>
      </c>
      <c r="D14" s="219">
        <v>0.08</v>
      </c>
      <c r="E14" s="305">
        <f>+D14*(1-'Fig. 13.6'!$D$13)</f>
        <v>6.2400000000000004E-2</v>
      </c>
      <c r="F14" s="306">
        <f>+H14*E14</f>
        <v>8.8554207912572326E-3</v>
      </c>
      <c r="G14" s="233">
        <f>ROUND(+C14*'Fig. 13.6'!$E$19,0)</f>
        <v>2347500</v>
      </c>
      <c r="H14" s="307">
        <f>+G14/$G$17</f>
        <v>0.14191379473168642</v>
      </c>
      <c r="I14" s="242" t="s">
        <v>186</v>
      </c>
      <c r="K14" s="245">
        <f>+'Fig.13.2'!C10</f>
        <v>5.5E-2</v>
      </c>
      <c r="L14" s="24"/>
    </row>
    <row r="15" spans="1:12" s="2" customFormat="1" x14ac:dyDescent="0.35">
      <c r="A15" s="54"/>
      <c r="B15" t="s">
        <v>231</v>
      </c>
      <c r="C15" s="39">
        <f>+G15/'Fig. 13.6'!$E$19</f>
        <v>6</v>
      </c>
      <c r="D15" s="219"/>
      <c r="E15" s="305"/>
      <c r="F15" s="306"/>
      <c r="G15" s="110">
        <f>+G14+G13</f>
        <v>5634000</v>
      </c>
      <c r="H15" s="307">
        <f>+G15/$G$17</f>
        <v>0.34059310735604736</v>
      </c>
      <c r="I15" s="242" t="s">
        <v>188</v>
      </c>
      <c r="K15" s="247">
        <f>+'Fig. 13.4'!L17</f>
        <v>1.4</v>
      </c>
      <c r="L15" s="24"/>
    </row>
    <row r="16" spans="1:12" s="2" customFormat="1" ht="15" thickBot="1" x14ac:dyDescent="0.4">
      <c r="A16" s="54"/>
      <c r="B16" t="s">
        <v>216</v>
      </c>
      <c r="C16" s="39">
        <f>+G16/'Fig. 13.6'!$E$19</f>
        <v>11.61632831203408</v>
      </c>
      <c r="D16" s="309">
        <f>+'Fig. 13.6'!G37</f>
        <v>0.112</v>
      </c>
      <c r="E16" s="75">
        <f>+D16</f>
        <v>0.112</v>
      </c>
      <c r="F16" s="306">
        <f>+H16*E16</f>
        <v>7.3853571976122689E-2</v>
      </c>
      <c r="G16" s="110">
        <f>+G17-G14-G13</f>
        <v>10907732.285</v>
      </c>
      <c r="H16" s="307">
        <f>+G16/$G$17</f>
        <v>0.65940689264395258</v>
      </c>
      <c r="I16" s="242" t="s">
        <v>312</v>
      </c>
      <c r="K16" s="327">
        <f>+K13+(K14*K15)</f>
        <v>0.112</v>
      </c>
      <c r="L16" s="24"/>
    </row>
    <row r="17" spans="1:12" s="2" customFormat="1" ht="15.5" thickTop="1" thickBot="1" x14ac:dyDescent="0.4">
      <c r="A17" s="54"/>
      <c r="B17" t="s">
        <v>218</v>
      </c>
      <c r="C17" s="308"/>
      <c r="F17" s="326">
        <f>SUM(F13:F16)</f>
        <v>9.0457485959729994E-2</v>
      </c>
      <c r="G17" s="240">
        <f>+G10</f>
        <v>16541732.285</v>
      </c>
      <c r="H17" s="307">
        <f>+G17/$G$17</f>
        <v>1</v>
      </c>
      <c r="I17" s="310"/>
      <c r="J17" s="288"/>
      <c r="K17" s="289"/>
      <c r="L17" s="24"/>
    </row>
    <row r="18" spans="1:12" s="2" customFormat="1" ht="15" thickTop="1" x14ac:dyDescent="0.35">
      <c r="A18" s="54"/>
      <c r="B18"/>
      <c r="L18" s="24"/>
    </row>
    <row r="19" spans="1:12" s="318" customFormat="1" ht="18.5" customHeight="1" x14ac:dyDescent="0.35">
      <c r="A19" s="314"/>
      <c r="B19" s="315" t="s">
        <v>223</v>
      </c>
      <c r="C19" s="316">
        <f>+'Fig. 13.6'!E7</f>
        <v>2022</v>
      </c>
      <c r="D19" s="317">
        <f>+C19+1</f>
        <v>2023</v>
      </c>
      <c r="E19" s="317">
        <f t="shared" ref="E19:K19" si="0">+D19+1</f>
        <v>2024</v>
      </c>
      <c r="F19" s="317">
        <f t="shared" si="0"/>
        <v>2025</v>
      </c>
      <c r="G19" s="317">
        <f t="shared" si="0"/>
        <v>2026</v>
      </c>
      <c r="H19" s="317">
        <f t="shared" si="0"/>
        <v>2027</v>
      </c>
      <c r="I19" s="317">
        <f t="shared" si="0"/>
        <v>2028</v>
      </c>
      <c r="J19" s="317">
        <f t="shared" si="0"/>
        <v>2029</v>
      </c>
      <c r="K19" s="317">
        <f t="shared" si="0"/>
        <v>2030</v>
      </c>
    </row>
    <row r="20" spans="1:12" s="2" customFormat="1" x14ac:dyDescent="0.35">
      <c r="A20" s="54"/>
      <c r="B20" s="8" t="str">
        <f>+B13</f>
        <v>Bank Loan</v>
      </c>
    </row>
    <row r="21" spans="1:12" s="2" customFormat="1" x14ac:dyDescent="0.35">
      <c r="A21" s="54"/>
      <c r="B21" t="s">
        <v>224</v>
      </c>
      <c r="C21" s="59">
        <f>+G13</f>
        <v>3286500</v>
      </c>
      <c r="D21" s="296">
        <f>+C21-D22</f>
        <v>3286500</v>
      </c>
      <c r="E21" s="296">
        <f>+D21-E22</f>
        <v>3186500</v>
      </c>
      <c r="F21" s="296">
        <f t="shared" ref="F21:K21" si="1">+E21-F22</f>
        <v>3061500</v>
      </c>
      <c r="G21" s="296">
        <f t="shared" si="1"/>
        <v>2911500</v>
      </c>
      <c r="H21" s="296">
        <f t="shared" si="1"/>
        <v>2711500</v>
      </c>
      <c r="I21" s="296">
        <f t="shared" si="1"/>
        <v>2461500</v>
      </c>
      <c r="J21" s="296">
        <f t="shared" si="1"/>
        <v>2111500</v>
      </c>
      <c r="K21" s="296">
        <f t="shared" si="1"/>
        <v>0</v>
      </c>
    </row>
    <row r="22" spans="1:12" s="2" customFormat="1" x14ac:dyDescent="0.35">
      <c r="A22" s="54"/>
      <c r="B22" t="s">
        <v>226</v>
      </c>
      <c r="D22" s="311">
        <v>0</v>
      </c>
      <c r="E22" s="393">
        <v>100000</v>
      </c>
      <c r="F22" s="393">
        <v>125000</v>
      </c>
      <c r="G22" s="393">
        <v>150000</v>
      </c>
      <c r="H22" s="393">
        <v>200000</v>
      </c>
      <c r="I22" s="393">
        <v>250000</v>
      </c>
      <c r="J22" s="393">
        <v>350000</v>
      </c>
      <c r="K22" s="393">
        <f>+J21</f>
        <v>2111500</v>
      </c>
    </row>
    <row r="23" spans="1:12" s="2" customFormat="1" x14ac:dyDescent="0.35">
      <c r="A23" s="54"/>
      <c r="B23" t="s">
        <v>227</v>
      </c>
      <c r="C23" s="312"/>
      <c r="D23" s="296">
        <f t="shared" ref="D23:K23" si="2">+C21*$D$13</f>
        <v>164325</v>
      </c>
      <c r="E23" s="296">
        <f t="shared" si="2"/>
        <v>164325</v>
      </c>
      <c r="F23" s="296">
        <f t="shared" si="2"/>
        <v>159325</v>
      </c>
      <c r="G23" s="296">
        <f t="shared" si="2"/>
        <v>153075</v>
      </c>
      <c r="H23" s="296">
        <f t="shared" si="2"/>
        <v>145575</v>
      </c>
      <c r="I23" s="296">
        <f t="shared" si="2"/>
        <v>135575</v>
      </c>
      <c r="J23" s="296">
        <f t="shared" si="2"/>
        <v>123075</v>
      </c>
      <c r="K23" s="296">
        <f t="shared" si="2"/>
        <v>105575</v>
      </c>
    </row>
    <row r="24" spans="1:12" ht="15" thickBot="1" x14ac:dyDescent="0.4">
      <c r="A24" s="54"/>
      <c r="B24" t="s">
        <v>225</v>
      </c>
      <c r="C24" s="2"/>
      <c r="D24" s="55">
        <f>+D22+D23</f>
        <v>164325</v>
      </c>
      <c r="E24" s="55">
        <f>+E22+E23</f>
        <v>264325</v>
      </c>
      <c r="F24" s="55">
        <f t="shared" ref="F24:K24" si="3">+F22+F23</f>
        <v>284325</v>
      </c>
      <c r="G24" s="55">
        <f t="shared" si="3"/>
        <v>303075</v>
      </c>
      <c r="H24" s="55">
        <f t="shared" si="3"/>
        <v>345575</v>
      </c>
      <c r="I24" s="55">
        <f t="shared" si="3"/>
        <v>385575</v>
      </c>
      <c r="J24" s="55">
        <f t="shared" si="3"/>
        <v>473075</v>
      </c>
      <c r="K24" s="55">
        <f t="shared" si="3"/>
        <v>2217075</v>
      </c>
    </row>
    <row r="25" spans="1:12" x14ac:dyDescent="0.35">
      <c r="A25" s="54"/>
      <c r="C25" s="2"/>
      <c r="D25" s="298">
        <v>0.05</v>
      </c>
      <c r="E25" s="298">
        <v>5.5E-2</v>
      </c>
      <c r="F25" s="298"/>
      <c r="G25" s="298"/>
      <c r="H25" s="298"/>
      <c r="I25" s="298"/>
      <c r="J25" s="298"/>
      <c r="K25" s="298"/>
    </row>
    <row r="26" spans="1:12" x14ac:dyDescent="0.35">
      <c r="A26" s="54"/>
      <c r="B26" s="8" t="str">
        <f>+B14</f>
        <v>Corporate Bonds</v>
      </c>
      <c r="C26" s="2"/>
      <c r="D26" s="2"/>
      <c r="E26" s="2"/>
      <c r="F26" s="2"/>
      <c r="G26" s="2"/>
      <c r="H26" s="2"/>
      <c r="I26" s="2"/>
      <c r="J26" s="2"/>
      <c r="K26" s="2"/>
    </row>
    <row r="27" spans="1:12" x14ac:dyDescent="0.35">
      <c r="A27" s="54"/>
      <c r="B27" t="s">
        <v>224</v>
      </c>
      <c r="C27" s="59">
        <f>+G14</f>
        <v>2347500</v>
      </c>
      <c r="D27" s="296">
        <f t="shared" ref="D27:K27" si="4">+C27-D28</f>
        <v>2347500</v>
      </c>
      <c r="E27" s="296">
        <f t="shared" si="4"/>
        <v>2347500</v>
      </c>
      <c r="F27" s="296">
        <f t="shared" si="4"/>
        <v>2347500</v>
      </c>
      <c r="G27" s="296">
        <f t="shared" si="4"/>
        <v>2347500</v>
      </c>
      <c r="H27" s="296">
        <f t="shared" si="4"/>
        <v>2347500</v>
      </c>
      <c r="I27" s="296">
        <f t="shared" si="4"/>
        <v>2347500</v>
      </c>
      <c r="J27" s="296">
        <f t="shared" si="4"/>
        <v>2347500</v>
      </c>
      <c r="K27" s="296">
        <f t="shared" si="4"/>
        <v>2347500</v>
      </c>
    </row>
    <row r="28" spans="1:12" x14ac:dyDescent="0.35">
      <c r="A28" s="54"/>
      <c r="B28" t="s">
        <v>226</v>
      </c>
      <c r="C28" s="2"/>
      <c r="D28" s="296">
        <v>0</v>
      </c>
      <c r="E28" s="296">
        <v>0</v>
      </c>
      <c r="F28" s="296">
        <v>0</v>
      </c>
      <c r="G28" s="296">
        <v>0</v>
      </c>
      <c r="H28" s="296">
        <v>0</v>
      </c>
      <c r="I28" s="296">
        <v>0</v>
      </c>
      <c r="J28" s="296">
        <v>0</v>
      </c>
      <c r="K28" s="296">
        <v>0</v>
      </c>
    </row>
    <row r="29" spans="1:12" x14ac:dyDescent="0.35">
      <c r="A29" s="54"/>
      <c r="B29" t="s">
        <v>227</v>
      </c>
      <c r="C29" s="312"/>
      <c r="D29" s="296">
        <f t="shared" ref="D29:K29" si="5">+C27*$D$14</f>
        <v>187800</v>
      </c>
      <c r="E29" s="296">
        <f t="shared" si="5"/>
        <v>187800</v>
      </c>
      <c r="F29" s="296">
        <f t="shared" si="5"/>
        <v>187800</v>
      </c>
      <c r="G29" s="296">
        <f t="shared" si="5"/>
        <v>187800</v>
      </c>
      <c r="H29" s="296">
        <f t="shared" si="5"/>
        <v>187800</v>
      </c>
      <c r="I29" s="296">
        <f t="shared" si="5"/>
        <v>187800</v>
      </c>
      <c r="J29" s="296">
        <f t="shared" si="5"/>
        <v>187800</v>
      </c>
      <c r="K29" s="296">
        <f t="shared" si="5"/>
        <v>187800</v>
      </c>
    </row>
    <row r="30" spans="1:12" ht="15" thickBot="1" x14ac:dyDescent="0.4">
      <c r="A30" s="54"/>
      <c r="B30" t="s">
        <v>225</v>
      </c>
      <c r="C30" s="2"/>
      <c r="D30" s="313">
        <f t="shared" ref="D30:K30" si="6">+D29+D28</f>
        <v>187800</v>
      </c>
      <c r="E30" s="313">
        <f t="shared" si="6"/>
        <v>187800</v>
      </c>
      <c r="F30" s="313">
        <f t="shared" si="6"/>
        <v>187800</v>
      </c>
      <c r="G30" s="313">
        <f t="shared" si="6"/>
        <v>187800</v>
      </c>
      <c r="H30" s="313">
        <f t="shared" si="6"/>
        <v>187800</v>
      </c>
      <c r="I30" s="313">
        <f t="shared" si="6"/>
        <v>187800</v>
      </c>
      <c r="J30" s="313">
        <f t="shared" si="6"/>
        <v>187800</v>
      </c>
      <c r="K30" s="313">
        <f t="shared" si="6"/>
        <v>187800</v>
      </c>
    </row>
    <row r="31" spans="1:12" x14ac:dyDescent="0.35">
      <c r="A31" s="54"/>
      <c r="C31" s="2"/>
      <c r="D31" s="2"/>
      <c r="E31" s="2"/>
      <c r="F31" s="2"/>
      <c r="G31" s="2"/>
      <c r="H31" s="2"/>
      <c r="I31" s="2"/>
      <c r="J31" s="2"/>
      <c r="K31" s="2"/>
    </row>
    <row r="32" spans="1:12" x14ac:dyDescent="0.35">
      <c r="A32" s="54"/>
      <c r="B32" t="s">
        <v>229</v>
      </c>
      <c r="C32" s="2"/>
      <c r="D32" s="59">
        <f t="shared" ref="D32" si="7">+D30+D24</f>
        <v>352125</v>
      </c>
      <c r="E32" s="59">
        <f t="shared" ref="E32:K32" si="8">+E30+E24</f>
        <v>452125</v>
      </c>
      <c r="F32" s="59">
        <f t="shared" si="8"/>
        <v>472125</v>
      </c>
      <c r="G32" s="59">
        <f t="shared" si="8"/>
        <v>490875</v>
      </c>
      <c r="H32" s="59">
        <f t="shared" si="8"/>
        <v>533375</v>
      </c>
      <c r="I32" s="59">
        <f t="shared" si="8"/>
        <v>573375</v>
      </c>
      <c r="J32" s="59">
        <f t="shared" si="8"/>
        <v>660875</v>
      </c>
      <c r="K32" s="59">
        <f t="shared" si="8"/>
        <v>2404875</v>
      </c>
    </row>
    <row r="33" spans="1:15" x14ac:dyDescent="0.35">
      <c r="A33" s="54"/>
      <c r="B33" t="s">
        <v>230</v>
      </c>
      <c r="C33" s="2"/>
      <c r="D33" s="59">
        <f t="shared" ref="D33" si="9">+D27+D21</f>
        <v>5634000</v>
      </c>
      <c r="E33" s="59">
        <f t="shared" ref="E33:K33" si="10">+E27+E21</f>
        <v>5534000</v>
      </c>
      <c r="F33" s="59">
        <f t="shared" si="10"/>
        <v>5409000</v>
      </c>
      <c r="G33" s="59">
        <f t="shared" si="10"/>
        <v>5259000</v>
      </c>
      <c r="H33" s="59">
        <f t="shared" si="10"/>
        <v>5059000</v>
      </c>
      <c r="I33" s="59">
        <f t="shared" si="10"/>
        <v>4809000</v>
      </c>
      <c r="J33" s="59">
        <f t="shared" si="10"/>
        <v>4459000</v>
      </c>
      <c r="K33" s="59">
        <f t="shared" si="10"/>
        <v>2347500</v>
      </c>
    </row>
    <row r="35" spans="1:15" x14ac:dyDescent="0.35">
      <c r="K35" s="98" t="s">
        <v>327</v>
      </c>
      <c r="L35" s="14"/>
      <c r="M35" s="14"/>
      <c r="N35" s="14"/>
      <c r="O35" s="1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DD1E-F0E9-445D-BBB5-DB1B465E483F}">
  <dimension ref="A1:M48"/>
  <sheetViews>
    <sheetView showGridLines="0" topLeftCell="A28" workbookViewId="0">
      <selection activeCell="E44" sqref="E44"/>
    </sheetView>
  </sheetViews>
  <sheetFormatPr defaultRowHeight="14.5" x14ac:dyDescent="0.35"/>
  <cols>
    <col min="2" max="2" width="37.08984375" customWidth="1"/>
    <col min="3" max="3" width="12.6328125" customWidth="1"/>
    <col min="4" max="4" width="12.7265625" customWidth="1"/>
    <col min="5" max="5" width="14.26953125" customWidth="1"/>
    <col min="6" max="7" width="11.26953125" customWidth="1"/>
    <col min="8" max="9" width="11.08984375" customWidth="1"/>
    <col min="10" max="10" width="11.26953125" customWidth="1"/>
    <col min="11" max="11" width="11" customWidth="1"/>
    <col min="12" max="12" width="3.26953125" customWidth="1"/>
    <col min="13" max="14" width="9.36328125" customWidth="1"/>
  </cols>
  <sheetData>
    <row r="1" spans="1:13" ht="20" x14ac:dyDescent="0.4">
      <c r="A1" s="19"/>
      <c r="B1" s="20" t="s">
        <v>40</v>
      </c>
      <c r="C1" s="21"/>
    </row>
    <row r="2" spans="1:13" ht="10.5" customHeight="1" x14ac:dyDescent="0.35">
      <c r="A2" s="19"/>
      <c r="B2" s="22" t="s">
        <v>41</v>
      </c>
      <c r="C2" s="21"/>
    </row>
    <row r="4" spans="1:13" s="113" customFormat="1" ht="17.5" customHeight="1" x14ac:dyDescent="0.35">
      <c r="A4" s="266"/>
      <c r="B4" s="101" t="s">
        <v>304</v>
      </c>
      <c r="C4" s="268"/>
      <c r="D4" s="268"/>
      <c r="E4" s="268"/>
      <c r="F4" s="268"/>
      <c r="G4" s="268"/>
      <c r="H4" s="268"/>
      <c r="I4" s="268"/>
      <c r="J4" s="268"/>
      <c r="K4" s="268"/>
      <c r="L4"/>
    </row>
    <row r="5" spans="1:13" ht="11.5" customHeight="1" x14ac:dyDescent="0.35">
      <c r="A5" s="19"/>
      <c r="B5" s="103"/>
      <c r="C5" s="34"/>
      <c r="D5" s="34"/>
      <c r="E5" s="201" t="s">
        <v>162</v>
      </c>
      <c r="F5" s="202">
        <v>1</v>
      </c>
      <c r="G5" s="202">
        <v>2</v>
      </c>
      <c r="H5" s="202">
        <v>3</v>
      </c>
      <c r="I5" s="202">
        <v>4</v>
      </c>
      <c r="J5" s="202">
        <v>5</v>
      </c>
      <c r="K5" s="202">
        <v>6</v>
      </c>
    </row>
    <row r="6" spans="1:13" x14ac:dyDescent="0.35">
      <c r="A6" s="19"/>
      <c r="C6" s="211" t="s">
        <v>163</v>
      </c>
      <c r="D6" s="212" t="s">
        <v>164</v>
      </c>
      <c r="E6" s="213" t="s">
        <v>165</v>
      </c>
      <c r="J6" s="328" t="s">
        <v>2</v>
      </c>
    </row>
    <row r="7" spans="1:13" x14ac:dyDescent="0.35">
      <c r="A7" s="19"/>
      <c r="C7" s="323" t="s">
        <v>166</v>
      </c>
      <c r="D7" s="291" t="s">
        <v>166</v>
      </c>
      <c r="E7" s="324">
        <f>+'Fig. 13.6'!E7</f>
        <v>2022</v>
      </c>
      <c r="F7" s="325">
        <f>+'Fig. 13.6'!F7</f>
        <v>2023</v>
      </c>
      <c r="G7" s="325">
        <f>+'Fig. 13.6'!G7</f>
        <v>2024</v>
      </c>
      <c r="H7" s="325">
        <f>+'Fig. 13.6'!H7</f>
        <v>2025</v>
      </c>
      <c r="I7" s="325">
        <f>+'Fig. 13.6'!I7</f>
        <v>2026</v>
      </c>
      <c r="J7" s="329">
        <f>+'Fig. 13.6'!J7</f>
        <v>2027</v>
      </c>
      <c r="K7" s="325">
        <f>+'Fig. 13.6'!K7</f>
        <v>2028</v>
      </c>
    </row>
    <row r="8" spans="1:13" x14ac:dyDescent="0.35">
      <c r="A8" s="19"/>
      <c r="B8" t="s">
        <v>9</v>
      </c>
      <c r="C8" s="282"/>
      <c r="D8" s="217"/>
      <c r="E8" s="5">
        <f>+'Fig. 13.6'!E8</f>
        <v>5891000</v>
      </c>
      <c r="F8" s="4">
        <f>+'Fig. 13.6'!F8</f>
        <v>6185550</v>
      </c>
      <c r="G8" s="4">
        <f>+'Fig. 13.6'!G8</f>
        <v>6804105.0000000009</v>
      </c>
      <c r="H8" s="4">
        <f>+'Fig. 13.6'!H8</f>
        <v>7484515.5000000019</v>
      </c>
      <c r="I8" s="4">
        <f>+'Fig. 13.6'!I8</f>
        <v>8045854.1625000015</v>
      </c>
      <c r="J8" s="330">
        <f>+'Fig. 13.6'!J8</f>
        <v>8649293.2246875018</v>
      </c>
      <c r="K8" s="4">
        <f>+'Fig. 13.6'!K8</f>
        <v>9081757.8859218769</v>
      </c>
    </row>
    <row r="9" spans="1:13" x14ac:dyDescent="0.35">
      <c r="A9" s="19"/>
      <c r="B9" t="s">
        <v>167</v>
      </c>
      <c r="C9" s="283"/>
      <c r="D9" s="219"/>
      <c r="E9" s="220"/>
      <c r="F9" s="394">
        <f>+F8/E8-1</f>
        <v>5.0000000000000044E-2</v>
      </c>
      <c r="G9" s="394">
        <f t="shared" ref="G9:K9" si="0">+G8/F8-1</f>
        <v>0.10000000000000009</v>
      </c>
      <c r="H9" s="394">
        <f t="shared" si="0"/>
        <v>0.10000000000000009</v>
      </c>
      <c r="I9" s="394">
        <f t="shared" si="0"/>
        <v>7.4999999999999956E-2</v>
      </c>
      <c r="J9" s="395">
        <f t="shared" si="0"/>
        <v>7.4999999999999956E-2</v>
      </c>
      <c r="K9" s="394">
        <f t="shared" si="0"/>
        <v>5.0000000000000044E-2</v>
      </c>
    </row>
    <row r="10" spans="1:13" x14ac:dyDescent="0.35">
      <c r="A10" s="19"/>
      <c r="B10" t="s">
        <v>168</v>
      </c>
      <c r="C10" s="283">
        <f>-E10/E8</f>
        <v>0.78136139874384658</v>
      </c>
      <c r="D10" s="219">
        <v>0.76</v>
      </c>
      <c r="E10" s="5">
        <f>+'Fig. 13.6'!E10</f>
        <v>-4603000</v>
      </c>
      <c r="F10" s="4">
        <f t="shared" ref="F10:K10" si="1">-$D$10*F8</f>
        <v>-4701018</v>
      </c>
      <c r="G10" s="4">
        <f t="shared" si="1"/>
        <v>-5171119.8000000007</v>
      </c>
      <c r="H10" s="4">
        <f t="shared" si="1"/>
        <v>-5688231.7800000012</v>
      </c>
      <c r="I10" s="4">
        <f t="shared" si="1"/>
        <v>-6114849.1635000017</v>
      </c>
      <c r="J10" s="330">
        <f t="shared" si="1"/>
        <v>-6573462.8507625014</v>
      </c>
      <c r="K10" s="4">
        <f t="shared" si="1"/>
        <v>-6902135.9933006261</v>
      </c>
    </row>
    <row r="11" spans="1:13" x14ac:dyDescent="0.35">
      <c r="A11" s="19"/>
      <c r="B11" t="s">
        <v>169</v>
      </c>
      <c r="C11" s="283">
        <f>-E11/E8</f>
        <v>0.12103208283822781</v>
      </c>
      <c r="D11" s="219">
        <v>0.1</v>
      </c>
      <c r="E11" s="7">
        <f>+'Fig. 13.6'!E11</f>
        <v>-713000</v>
      </c>
      <c r="F11" s="6">
        <f t="shared" ref="F11:K11" si="2">-$D$11*F8</f>
        <v>-618555</v>
      </c>
      <c r="G11" s="6">
        <f t="shared" si="2"/>
        <v>-680410.50000000012</v>
      </c>
      <c r="H11" s="6">
        <f t="shared" si="2"/>
        <v>-748451.55000000028</v>
      </c>
      <c r="I11" s="6">
        <f t="shared" si="2"/>
        <v>-804585.41625000024</v>
      </c>
      <c r="J11" s="331">
        <f t="shared" si="2"/>
        <v>-864929.32246875018</v>
      </c>
      <c r="K11" s="6">
        <f t="shared" si="2"/>
        <v>-908175.78859218769</v>
      </c>
    </row>
    <row r="12" spans="1:13" x14ac:dyDescent="0.35">
      <c r="A12" s="19"/>
      <c r="B12" t="s">
        <v>307</v>
      </c>
      <c r="C12" s="284"/>
      <c r="D12" s="225"/>
      <c r="E12" s="220">
        <f>SUM(E8:E11)</f>
        <v>575000</v>
      </c>
      <c r="F12" s="4">
        <f t="shared" ref="F12:K12" si="3">+F8+F10+F11</f>
        <v>865977</v>
      </c>
      <c r="G12" s="4">
        <f t="shared" si="3"/>
        <v>952574.70000000007</v>
      </c>
      <c r="H12" s="4">
        <f t="shared" si="3"/>
        <v>1047832.1700000004</v>
      </c>
      <c r="I12" s="4">
        <f t="shared" si="3"/>
        <v>1126419.5827499996</v>
      </c>
      <c r="J12" s="330">
        <f t="shared" si="3"/>
        <v>1210901.0514562503</v>
      </c>
      <c r="K12" s="4">
        <f t="shared" si="3"/>
        <v>1271446.1040290631</v>
      </c>
      <c r="M12" s="16"/>
    </row>
    <row r="13" spans="1:13" x14ac:dyDescent="0.35">
      <c r="A13" s="19"/>
      <c r="B13" t="s">
        <v>308</v>
      </c>
      <c r="C13" s="284"/>
      <c r="D13" s="225">
        <v>7</v>
      </c>
      <c r="E13" s="220"/>
      <c r="F13" s="4">
        <f>-'Fig. 13.7'!$G$9/'Fig 13.8'!$D$13</f>
        <v>-79911.755000000005</v>
      </c>
      <c r="G13" s="4">
        <f>-'Fig. 13.7'!$G$9/'Fig 13.8'!$D$13</f>
        <v>-79911.755000000005</v>
      </c>
      <c r="H13" s="4">
        <f>-'Fig. 13.7'!$G$9/'Fig 13.8'!$D$13</f>
        <v>-79911.755000000005</v>
      </c>
      <c r="I13" s="4">
        <f>-'Fig. 13.7'!$G$9/'Fig 13.8'!$D$13</f>
        <v>-79911.755000000005</v>
      </c>
      <c r="J13" s="330">
        <f>-'Fig. 13.7'!$G$9/'Fig 13.8'!$D$13*3</f>
        <v>-239735.26500000001</v>
      </c>
      <c r="K13" s="4"/>
      <c r="M13" s="16"/>
    </row>
    <row r="14" spans="1:13" x14ac:dyDescent="0.35">
      <c r="A14" s="19"/>
      <c r="B14" t="s">
        <v>306</v>
      </c>
      <c r="C14" s="284"/>
      <c r="D14" s="225"/>
      <c r="E14" s="220"/>
      <c r="F14" s="320">
        <f>-'Fig. 13.7'!D23-'Fig. 13.7'!D29</f>
        <v>-352125</v>
      </c>
      <c r="G14" s="6">
        <f>-'Fig. 13.7'!E23-'Fig. 13.7'!E29</f>
        <v>-352125</v>
      </c>
      <c r="H14" s="6">
        <f>-'Fig. 13.7'!F23-'Fig. 13.7'!F29</f>
        <v>-347125</v>
      </c>
      <c r="I14" s="6">
        <f>-'Fig. 13.7'!G23-'Fig. 13.7'!G29</f>
        <v>-340875</v>
      </c>
      <c r="J14" s="331">
        <f>-'Fig. 13.7'!H23-'Fig. 13.7'!H29</f>
        <v>-333375</v>
      </c>
      <c r="K14" s="6">
        <f>-'Fig. 13.7'!I23-'Fig. 13.7'!I29</f>
        <v>-323375</v>
      </c>
      <c r="M14" s="16"/>
    </row>
    <row r="15" spans="1:13" x14ac:dyDescent="0.35">
      <c r="A15" s="19"/>
      <c r="B15" t="s">
        <v>221</v>
      </c>
      <c r="C15" s="284"/>
      <c r="D15" s="225"/>
      <c r="E15" s="220"/>
      <c r="F15" s="319">
        <f>SUM(F12:F14)</f>
        <v>433940.245</v>
      </c>
      <c r="G15" s="4">
        <f t="shared" ref="G15:K15" si="4">SUM(G12:G14)</f>
        <v>520537.94500000007</v>
      </c>
      <c r="H15" s="4">
        <f t="shared" si="4"/>
        <v>620795.41500000039</v>
      </c>
      <c r="I15" s="4">
        <f t="shared" si="4"/>
        <v>705632.82774999959</v>
      </c>
      <c r="J15" s="330">
        <f t="shared" si="4"/>
        <v>637790.78645625024</v>
      </c>
      <c r="K15" s="4">
        <f t="shared" si="4"/>
        <v>948071.10402906314</v>
      </c>
      <c r="M15" s="16"/>
    </row>
    <row r="16" spans="1:13" x14ac:dyDescent="0.35">
      <c r="A16" s="19"/>
      <c r="B16" t="s">
        <v>171</v>
      </c>
      <c r="C16" s="283"/>
      <c r="D16" s="219">
        <f>'Fig. 13.6'!D13</f>
        <v>0.22</v>
      </c>
      <c r="E16" s="220">
        <v>0</v>
      </c>
      <c r="F16" s="4">
        <f>-$D$16*F15</f>
        <v>-95466.853900000002</v>
      </c>
      <c r="G16" s="4">
        <f t="shared" ref="G16:K16" si="5">-$D$16*G15</f>
        <v>-114518.34790000001</v>
      </c>
      <c r="H16" s="4">
        <f t="shared" si="5"/>
        <v>-136574.99130000008</v>
      </c>
      <c r="I16" s="4">
        <f t="shared" si="5"/>
        <v>-155239.22210499991</v>
      </c>
      <c r="J16" s="330">
        <f t="shared" si="5"/>
        <v>-140313.97302037507</v>
      </c>
      <c r="K16" s="4">
        <f t="shared" si="5"/>
        <v>-208575.64288639388</v>
      </c>
    </row>
    <row r="17" spans="1:11" x14ac:dyDescent="0.35">
      <c r="A17" s="19"/>
      <c r="B17" t="s">
        <v>172</v>
      </c>
      <c r="C17" s="283">
        <f>+E17/E8</f>
        <v>6.1789169920217282E-2</v>
      </c>
      <c r="D17" s="219">
        <f>'Fig. 13.6'!D14</f>
        <v>0.06</v>
      </c>
      <c r="E17" s="396">
        <f>'Fig. 13.6'!E14</f>
        <v>364000</v>
      </c>
      <c r="F17" s="4">
        <f t="shared" ref="F17:K17" si="6">+$D$17*F8</f>
        <v>371133</v>
      </c>
      <c r="G17" s="4">
        <f t="shared" si="6"/>
        <v>408246.30000000005</v>
      </c>
      <c r="H17" s="4">
        <f t="shared" si="6"/>
        <v>449070.93000000011</v>
      </c>
      <c r="I17" s="4">
        <f t="shared" si="6"/>
        <v>482751.24975000008</v>
      </c>
      <c r="J17" s="330">
        <f t="shared" si="6"/>
        <v>518957.59348125011</v>
      </c>
      <c r="K17" s="4">
        <f t="shared" si="6"/>
        <v>544905.47315531259</v>
      </c>
    </row>
    <row r="18" spans="1:11" x14ac:dyDescent="0.35">
      <c r="A18" s="19"/>
      <c r="B18" t="s">
        <v>222</v>
      </c>
      <c r="C18" s="283"/>
      <c r="D18" s="219"/>
      <c r="E18" s="396"/>
      <c r="F18" s="4">
        <f>-F13</f>
        <v>79911.755000000005</v>
      </c>
      <c r="G18" s="4">
        <f t="shared" ref="G18:K18" si="7">-G13</f>
        <v>79911.755000000005</v>
      </c>
      <c r="H18" s="4">
        <f t="shared" si="7"/>
        <v>79911.755000000005</v>
      </c>
      <c r="I18" s="4">
        <f t="shared" si="7"/>
        <v>79911.755000000005</v>
      </c>
      <c r="J18" s="330">
        <f t="shared" si="7"/>
        <v>239735.26500000001</v>
      </c>
      <c r="K18" s="4">
        <f t="shared" si="7"/>
        <v>0</v>
      </c>
    </row>
    <row r="19" spans="1:11" x14ac:dyDescent="0.35">
      <c r="A19" s="19"/>
      <c r="B19" s="2" t="s">
        <v>18</v>
      </c>
      <c r="C19" s="283">
        <f>-E19/E8</f>
        <v>7.6479375318282122E-3</v>
      </c>
      <c r="D19" s="219">
        <f>'Fig. 13.6'!D15</f>
        <v>0.01</v>
      </c>
      <c r="E19" s="396">
        <f>'Fig. 13.6'!E15</f>
        <v>-45054</v>
      </c>
      <c r="F19" s="4">
        <f t="shared" ref="F19:K19" si="8">-$D$19*F8</f>
        <v>-61855.5</v>
      </c>
      <c r="G19" s="4">
        <f t="shared" si="8"/>
        <v>-68041.050000000017</v>
      </c>
      <c r="H19" s="4">
        <f t="shared" si="8"/>
        <v>-74845.155000000013</v>
      </c>
      <c r="I19" s="4">
        <f t="shared" si="8"/>
        <v>-80458.541625000013</v>
      </c>
      <c r="J19" s="330">
        <f t="shared" si="8"/>
        <v>-86492.932246875018</v>
      </c>
      <c r="K19" s="4">
        <f t="shared" si="8"/>
        <v>-90817.578859218775</v>
      </c>
    </row>
    <row r="20" spans="1:11" x14ac:dyDescent="0.35">
      <c r="A20" s="19"/>
      <c r="B20" t="s">
        <v>173</v>
      </c>
      <c r="C20" s="283">
        <f>-E20/E8</f>
        <v>1.8842301816329995E-2</v>
      </c>
      <c r="D20" s="219">
        <v>0.02</v>
      </c>
      <c r="E20" s="396">
        <f>'Fig. 13.6'!E16</f>
        <v>-111000</v>
      </c>
      <c r="F20" s="4">
        <f t="shared" ref="F20:K20" si="9">-$D$20*F8</f>
        <v>-123711</v>
      </c>
      <c r="G20" s="4">
        <f t="shared" si="9"/>
        <v>-136082.10000000003</v>
      </c>
      <c r="H20" s="4">
        <f t="shared" si="9"/>
        <v>-149690.31000000003</v>
      </c>
      <c r="I20" s="4">
        <f t="shared" si="9"/>
        <v>-160917.08325000003</v>
      </c>
      <c r="J20" s="330">
        <f t="shared" si="9"/>
        <v>-172985.86449375004</v>
      </c>
      <c r="K20" s="6">
        <f t="shared" si="9"/>
        <v>-181635.15771843755</v>
      </c>
    </row>
    <row r="21" spans="1:11" ht="15" thickBot="1" x14ac:dyDescent="0.4">
      <c r="A21" s="19"/>
      <c r="B21" t="s">
        <v>311</v>
      </c>
      <c r="C21" s="48"/>
      <c r="E21" s="226">
        <f t="shared" ref="E21" si="10">SUM(E12:E20)</f>
        <v>782946</v>
      </c>
      <c r="F21" s="227">
        <f t="shared" ref="F21:K21" si="11">SUM(F12:F20)</f>
        <v>1037891.8911000001</v>
      </c>
      <c r="G21" s="227">
        <f t="shared" si="11"/>
        <v>1210592.4470999998</v>
      </c>
      <c r="H21" s="227">
        <f t="shared" si="11"/>
        <v>1409463.0587000006</v>
      </c>
      <c r="I21" s="227">
        <f t="shared" si="11"/>
        <v>1577313.8132699989</v>
      </c>
      <c r="J21" s="332">
        <f t="shared" si="11"/>
        <v>1634481.6616327506</v>
      </c>
      <c r="K21" s="227">
        <f t="shared" si="11"/>
        <v>1960019.3017493885</v>
      </c>
    </row>
    <row r="22" spans="1:11" ht="15" thickTop="1" x14ac:dyDescent="0.35">
      <c r="A22" s="19"/>
      <c r="B22" t="s">
        <v>309</v>
      </c>
      <c r="E22" s="321"/>
      <c r="F22" s="322">
        <f>-'Fig. 13.7'!E22-'Fig. 13.7'!E28</f>
        <v>-100000</v>
      </c>
      <c r="G22" s="321">
        <v>-100000</v>
      </c>
      <c r="H22" s="321">
        <v>-100000</v>
      </c>
      <c r="I22" s="321">
        <v>-100000</v>
      </c>
      <c r="J22" s="333">
        <v>-100000</v>
      </c>
      <c r="K22" s="321">
        <v>-100000</v>
      </c>
    </row>
    <row r="23" spans="1:11" ht="15" thickBot="1" x14ac:dyDescent="0.4">
      <c r="A23" s="19"/>
      <c r="B23" t="s">
        <v>310</v>
      </c>
      <c r="E23" s="321"/>
      <c r="F23" s="227">
        <f>+F21+F22</f>
        <v>937891.89110000012</v>
      </c>
      <c r="G23" s="227">
        <f t="shared" ref="G23:K23" si="12">+G21+G22</f>
        <v>1110592.4470999998</v>
      </c>
      <c r="H23" s="227">
        <f t="shared" si="12"/>
        <v>1309463.0587000006</v>
      </c>
      <c r="I23" s="227">
        <f t="shared" si="12"/>
        <v>1477313.8132699989</v>
      </c>
      <c r="J23" s="332">
        <f t="shared" si="12"/>
        <v>1534481.6616327506</v>
      </c>
      <c r="K23" s="227">
        <f t="shared" si="12"/>
        <v>1860019.3017493885</v>
      </c>
    </row>
    <row r="24" spans="1:11" ht="7.5" customHeight="1" thickTop="1" x14ac:dyDescent="0.35">
      <c r="A24" s="19"/>
      <c r="B24" s="34"/>
      <c r="C24" s="34"/>
      <c r="D24" s="34"/>
      <c r="E24" s="6"/>
      <c r="F24" s="6"/>
      <c r="G24" s="6"/>
      <c r="H24" s="6"/>
      <c r="I24" s="6"/>
      <c r="J24" s="331"/>
      <c r="K24" s="4"/>
    </row>
    <row r="25" spans="1:11" x14ac:dyDescent="0.35">
      <c r="A25" s="19"/>
      <c r="B25" s="200" t="s">
        <v>12</v>
      </c>
      <c r="C25" s="203"/>
      <c r="D25" s="203"/>
      <c r="E25" s="229">
        <f t="shared" ref="E25:K25" si="13">+E12+E17</f>
        <v>939000</v>
      </c>
      <c r="F25" s="229">
        <f t="shared" si="13"/>
        <v>1237110</v>
      </c>
      <c r="G25" s="229">
        <f t="shared" si="13"/>
        <v>1360821</v>
      </c>
      <c r="H25" s="229">
        <f t="shared" si="13"/>
        <v>1496903.1000000006</v>
      </c>
      <c r="I25" s="229">
        <f t="shared" si="13"/>
        <v>1609170.8324999996</v>
      </c>
      <c r="J25" s="334">
        <f t="shared" si="13"/>
        <v>1729858.6449375004</v>
      </c>
      <c r="K25" s="392">
        <f t="shared" si="13"/>
        <v>1816351.5771843758</v>
      </c>
    </row>
    <row r="26" spans="1:11" ht="12" customHeight="1" x14ac:dyDescent="0.35">
      <c r="A26" s="19"/>
      <c r="B26" s="232" t="s">
        <v>175</v>
      </c>
      <c r="C26" s="232"/>
      <c r="D26" s="232"/>
      <c r="E26" s="233">
        <f>+'Fig. 13.7'!D33</f>
        <v>5634000</v>
      </c>
      <c r="F26" s="233">
        <f>+'Fig. 13.7'!E33</f>
        <v>5534000</v>
      </c>
      <c r="G26" s="233">
        <f>+'Fig. 13.7'!F33</f>
        <v>5409000</v>
      </c>
      <c r="H26" s="233">
        <f>+'Fig. 13.7'!G33</f>
        <v>5259000</v>
      </c>
      <c r="I26" s="233">
        <f>+'Fig. 13.7'!H33</f>
        <v>5059000</v>
      </c>
      <c r="J26" s="335">
        <f>+'Fig. 13.7'!I33</f>
        <v>4809000</v>
      </c>
      <c r="K26" s="233">
        <f>+'Fig. 13.7'!J33</f>
        <v>4459000</v>
      </c>
    </row>
    <row r="27" spans="1:11" ht="7.5" customHeight="1" x14ac:dyDescent="0.35">
      <c r="A27" s="19"/>
      <c r="J27" s="48"/>
    </row>
    <row r="28" spans="1:11" ht="15" thickBot="1" x14ac:dyDescent="0.4">
      <c r="A28" s="19"/>
      <c r="B28" s="236" t="s">
        <v>176</v>
      </c>
      <c r="C28" s="237" t="s">
        <v>166</v>
      </c>
      <c r="E28" s="238" t="s">
        <v>177</v>
      </c>
      <c r="J28" s="48"/>
    </row>
    <row r="29" spans="1:11" x14ac:dyDescent="0.35">
      <c r="A29" s="19"/>
      <c r="B29" t="s">
        <v>178</v>
      </c>
      <c r="C29" s="39">
        <f>+'Fig. 13.7'!C16</f>
        <v>11.61632831203408</v>
      </c>
      <c r="E29" s="49"/>
      <c r="F29" s="32" t="s">
        <v>179</v>
      </c>
      <c r="J29" s="336">
        <f>+$C$29*J25</f>
        <v>20094605.953004394</v>
      </c>
    </row>
    <row r="30" spans="1:11" x14ac:dyDescent="0.35">
      <c r="A30" s="19"/>
      <c r="B30" t="s">
        <v>180</v>
      </c>
      <c r="C30" s="258">
        <f>+'Fig. 13.6'!C24</f>
        <v>9.4561211326530253E-2</v>
      </c>
      <c r="E30" s="50">
        <f>+K9</f>
        <v>5.0000000000000044E-2</v>
      </c>
      <c r="F30" s="32" t="s">
        <v>181</v>
      </c>
      <c r="J30" s="330">
        <f>+K21/(C30-E30)</f>
        <v>43984874.81381505</v>
      </c>
    </row>
    <row r="31" spans="1:11" x14ac:dyDescent="0.35">
      <c r="A31" s="19"/>
      <c r="B31" t="s">
        <v>137</v>
      </c>
      <c r="E31" s="223"/>
      <c r="J31" s="337">
        <f>+(J29+J30)/2</f>
        <v>32039740.383409724</v>
      </c>
    </row>
    <row r="32" spans="1:11" x14ac:dyDescent="0.35">
      <c r="A32" s="19"/>
      <c r="B32" t="s">
        <v>182</v>
      </c>
      <c r="E32" s="16"/>
      <c r="J32" s="336">
        <f>-J26</f>
        <v>-4809000</v>
      </c>
    </row>
    <row r="33" spans="1:11" x14ac:dyDescent="0.35">
      <c r="A33" s="19"/>
      <c r="B33" t="s">
        <v>183</v>
      </c>
      <c r="E33" s="16"/>
      <c r="J33" s="338">
        <v>0</v>
      </c>
    </row>
    <row r="34" spans="1:11" x14ac:dyDescent="0.35">
      <c r="A34" s="19"/>
      <c r="B34" t="s">
        <v>184</v>
      </c>
      <c r="J34" s="336">
        <f>+J32+J31</f>
        <v>27230740.383409724</v>
      </c>
    </row>
    <row r="35" spans="1:11" x14ac:dyDescent="0.35">
      <c r="A35" s="19"/>
      <c r="E35" s="278"/>
      <c r="J35" s="48"/>
    </row>
    <row r="36" spans="1:11" ht="15" thickBot="1" x14ac:dyDescent="0.4">
      <c r="A36" s="19"/>
      <c r="B36" t="s">
        <v>33</v>
      </c>
      <c r="E36" s="341">
        <f>-'Fig. 13.7'!G16</f>
        <v>-10907732.285</v>
      </c>
      <c r="F36" s="240">
        <f>+F23</f>
        <v>937891.89110000012</v>
      </c>
      <c r="G36" s="240">
        <f t="shared" ref="G36:I36" si="14">+G23</f>
        <v>1110592.4470999998</v>
      </c>
      <c r="H36" s="240">
        <f t="shared" si="14"/>
        <v>1309463.0587000006</v>
      </c>
      <c r="I36" s="240">
        <f t="shared" si="14"/>
        <v>1477313.8132699989</v>
      </c>
      <c r="J36" s="339">
        <f>+J23+J34</f>
        <v>28765222.045042474</v>
      </c>
    </row>
    <row r="37" spans="1:11" ht="15.5" thickTop="1" thickBot="1" x14ac:dyDescent="0.4">
      <c r="A37" s="19"/>
      <c r="B37" t="s">
        <v>300</v>
      </c>
      <c r="C37" s="16">
        <f>SUM(F37:J37)</f>
        <v>12162433.46271331</v>
      </c>
      <c r="E37" s="340">
        <v>0.25</v>
      </c>
      <c r="F37" s="41">
        <f>+F36/(1+$E$37)^F5</f>
        <v>750313.51288000005</v>
      </c>
      <c r="G37" s="41">
        <f>+G36/(1+$E$37)^G5</f>
        <v>710779.1661439999</v>
      </c>
      <c r="H37" s="41">
        <f>+H36/(1+$E$37)^H5</f>
        <v>670445.08605440031</v>
      </c>
      <c r="I37" s="41">
        <f>+I36/(1+$E$37)^I5</f>
        <v>605107.73791539157</v>
      </c>
      <c r="J37" s="41">
        <f>+J36/(1+$E$37)^J5</f>
        <v>9425787.9597195182</v>
      </c>
    </row>
    <row r="38" spans="1:11" ht="15" thickBot="1" x14ac:dyDescent="0.4">
      <c r="A38" s="19"/>
      <c r="B38" t="s">
        <v>145</v>
      </c>
      <c r="C38" s="41">
        <f>+'Fig.13.1'!E17</f>
        <v>110174.5054945055</v>
      </c>
    </row>
    <row r="39" spans="1:11" ht="18.5" customHeight="1" thickBot="1" x14ac:dyDescent="0.4">
      <c r="A39" s="19"/>
      <c r="B39" s="8" t="s">
        <v>75</v>
      </c>
      <c r="C39" s="280">
        <f>+C37/C38</f>
        <v>110.39244885305941</v>
      </c>
      <c r="D39" s="98" t="s">
        <v>263</v>
      </c>
      <c r="E39" s="342">
        <f>IRR(E36:J36)</f>
        <v>0.28131987555824955</v>
      </c>
    </row>
    <row r="40" spans="1:11" x14ac:dyDescent="0.35">
      <c r="A40" s="19"/>
      <c r="B40" t="s">
        <v>285</v>
      </c>
      <c r="C40" s="74">
        <f>+C37</f>
        <v>12162433.46271331</v>
      </c>
    </row>
    <row r="41" spans="1:11" x14ac:dyDescent="0.35">
      <c r="A41" s="19"/>
      <c r="B41" t="s">
        <v>36</v>
      </c>
      <c r="C41" s="74">
        <f>+'Fig. 13.6'!E20</f>
        <v>3450000</v>
      </c>
    </row>
    <row r="42" spans="1:11" ht="15" thickBot="1" x14ac:dyDescent="0.4">
      <c r="A42" s="19"/>
      <c r="B42" t="s">
        <v>37</v>
      </c>
      <c r="C42" s="74">
        <f>-+'Fig.13.1'!H17</f>
        <v>-1150000</v>
      </c>
    </row>
    <row r="43" spans="1:11" ht="15" thickBot="1" x14ac:dyDescent="0.4">
      <c r="A43" s="19"/>
      <c r="B43" s="8" t="s">
        <v>271</v>
      </c>
      <c r="C43" s="250">
        <f>SUM(C40:C42)</f>
        <v>14462433.46271331</v>
      </c>
      <c r="J43" s="98"/>
    </row>
    <row r="44" spans="1:11" x14ac:dyDescent="0.35">
      <c r="A44" s="19"/>
      <c r="J44" s="98"/>
      <c r="K44" s="98" t="s">
        <v>329</v>
      </c>
    </row>
    <row r="45" spans="1:11" ht="17" customHeight="1" x14ac:dyDescent="0.35">
      <c r="A45" s="19"/>
      <c r="C45" s="241"/>
    </row>
    <row r="46" spans="1:11" x14ac:dyDescent="0.35">
      <c r="A46" s="19"/>
      <c r="C46" s="241"/>
    </row>
    <row r="47" spans="1:11" x14ac:dyDescent="0.35">
      <c r="A47" s="19"/>
      <c r="C47" s="241"/>
    </row>
    <row r="48" spans="1:11" x14ac:dyDescent="0.35">
      <c r="A48" s="19"/>
      <c r="C48" s="241"/>
    </row>
  </sheetData>
  <phoneticPr fontId="23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5C64-13F8-4258-BBEA-BDF899984654}">
  <dimension ref="A1:J17"/>
  <sheetViews>
    <sheetView showGridLines="0" workbookViewId="0">
      <selection activeCell="L10" sqref="L10"/>
    </sheetView>
  </sheetViews>
  <sheetFormatPr defaultRowHeight="14.5" x14ac:dyDescent="0.35"/>
  <cols>
    <col min="1" max="1" width="3.81640625" customWidth="1"/>
    <col min="2" max="2" width="50.7265625" customWidth="1"/>
    <col min="3" max="8" width="12.1796875" customWidth="1"/>
    <col min="9" max="9" width="2.36328125" customWidth="1"/>
    <col min="10" max="10" width="8.90625" customWidth="1"/>
  </cols>
  <sheetData>
    <row r="1" spans="1:10" ht="20" x14ac:dyDescent="0.4">
      <c r="A1" s="19"/>
      <c r="B1" s="20" t="s">
        <v>40</v>
      </c>
      <c r="C1" s="21"/>
    </row>
    <row r="2" spans="1:10" ht="10.5" customHeight="1" x14ac:dyDescent="0.35">
      <c r="A2" s="19"/>
      <c r="B2" s="22" t="s">
        <v>41</v>
      </c>
      <c r="C2" s="21"/>
    </row>
    <row r="3" spans="1:10" ht="10.5" customHeight="1" x14ac:dyDescent="0.35">
      <c r="A3" s="19"/>
      <c r="B3" s="22"/>
      <c r="C3" s="21"/>
    </row>
    <row r="4" spans="1:10" x14ac:dyDescent="0.35">
      <c r="B4" s="367" t="s">
        <v>69</v>
      </c>
      <c r="C4" s="368"/>
      <c r="D4" s="368"/>
      <c r="E4" s="368"/>
      <c r="F4" s="368"/>
      <c r="G4" s="368"/>
      <c r="H4" s="368"/>
      <c r="J4" s="368"/>
    </row>
    <row r="5" spans="1:10" ht="15" thickBot="1" x14ac:dyDescent="0.4">
      <c r="C5" s="343" t="s">
        <v>70</v>
      </c>
      <c r="D5" s="343" t="s">
        <v>71</v>
      </c>
      <c r="E5" s="343" t="s">
        <v>72</v>
      </c>
      <c r="F5" s="343" t="s">
        <v>73</v>
      </c>
      <c r="G5" s="343" t="s">
        <v>74</v>
      </c>
      <c r="H5" s="366" t="s">
        <v>75</v>
      </c>
      <c r="J5" s="397" t="s">
        <v>332</v>
      </c>
    </row>
    <row r="6" spans="1:10" x14ac:dyDescent="0.35">
      <c r="B6" s="34" t="s">
        <v>76</v>
      </c>
      <c r="C6" s="15">
        <f>+'Fig.13.1'!I17</f>
        <v>14832350</v>
      </c>
      <c r="D6" s="15">
        <f>+'Fig.13.1'!G17</f>
        <v>3450000</v>
      </c>
      <c r="E6" s="15">
        <f>+'Fig. 13.4'!$H$17</f>
        <v>1150000</v>
      </c>
      <c r="F6" s="15">
        <f>+C6-D6+E6</f>
        <v>12532350</v>
      </c>
      <c r="G6" s="15">
        <f>+'Fig.13.1'!$E$17</f>
        <v>110174.5054945055</v>
      </c>
      <c r="H6" s="364">
        <f>+F6/G6</f>
        <v>113.74999999999999</v>
      </c>
      <c r="J6" s="398"/>
    </row>
    <row r="7" spans="1:10" x14ac:dyDescent="0.35">
      <c r="B7" s="34"/>
      <c r="C7" s="15"/>
      <c r="D7" s="15"/>
      <c r="E7" s="15"/>
      <c r="F7" s="15"/>
      <c r="G7" s="15"/>
      <c r="H7" s="364"/>
      <c r="J7" s="398"/>
    </row>
    <row r="8" spans="1:10" x14ac:dyDescent="0.35">
      <c r="B8" s="34" t="s">
        <v>77</v>
      </c>
      <c r="C8" s="15">
        <f>+F8+D8-E8</f>
        <v>14298320.697288323</v>
      </c>
      <c r="D8" s="15">
        <f>+D6</f>
        <v>3450000</v>
      </c>
      <c r="E8" s="15">
        <f>+E6</f>
        <v>1150000</v>
      </c>
      <c r="F8" s="15">
        <f>+H8*G8</f>
        <v>11998320.697288323</v>
      </c>
      <c r="G8" s="15">
        <f>+G6</f>
        <v>110174.5054945055</v>
      </c>
      <c r="H8" s="364">
        <f>+'Fig.13.2'!G13</f>
        <v>108.90287769784172</v>
      </c>
      <c r="J8" s="398" t="str">
        <f>IF(H8&lt;$H$6,"SELL",IF(H8*1.1&gt;$H$6,"BUY","HOLD"))</f>
        <v>SELL</v>
      </c>
    </row>
    <row r="9" spans="1:10" x14ac:dyDescent="0.35">
      <c r="B9" s="34" t="s">
        <v>78</v>
      </c>
      <c r="C9" s="15">
        <f>+F9+D9-E9</f>
        <v>13409262.637362642</v>
      </c>
      <c r="D9" s="15">
        <f>+D8</f>
        <v>3450000</v>
      </c>
      <c r="E9" s="15">
        <f>+E8</f>
        <v>1150000</v>
      </c>
      <c r="F9" s="15">
        <f>+G9*H9</f>
        <v>11109262.637362642</v>
      </c>
      <c r="G9" s="15">
        <f>+G8</f>
        <v>110174.5054945055</v>
      </c>
      <c r="H9" s="364">
        <f>+'Fig. 13.3'!C10</f>
        <v>100.83333333333337</v>
      </c>
      <c r="J9" s="398" t="str">
        <f t="shared" ref="J9:J15" si="0">IF(H9&lt;$H$6,"SELL",IF(H9*1.1&gt;$H$6,"BUY","HOLD"))</f>
        <v>SELL</v>
      </c>
    </row>
    <row r="10" spans="1:10" x14ac:dyDescent="0.35">
      <c r="B10" s="363" t="s">
        <v>79</v>
      </c>
      <c r="C10" s="344">
        <f>+'Fig. 13.4'!C21</f>
        <v>14789443.39503816</v>
      </c>
      <c r="D10" s="15">
        <f>+D6</f>
        <v>3450000</v>
      </c>
      <c r="E10" s="15">
        <f>+'Fig. 13.4'!$H$17</f>
        <v>1150000</v>
      </c>
      <c r="F10" s="15">
        <f>+C10-D10+E10</f>
        <v>12489443.39503816</v>
      </c>
      <c r="G10" s="15">
        <f>+'Fig.13.1'!$E$17</f>
        <v>110174.5054945055</v>
      </c>
      <c r="H10" s="364">
        <f>+F10/G10</f>
        <v>113.36055777133502</v>
      </c>
      <c r="J10" s="398" t="str">
        <f t="shared" si="0"/>
        <v>SELL</v>
      </c>
    </row>
    <row r="11" spans="1:10" x14ac:dyDescent="0.35">
      <c r="B11" s="363" t="s">
        <v>80</v>
      </c>
      <c r="C11" s="344">
        <f>+'Fig. 13.5'!C25</f>
        <v>14038003.684746942</v>
      </c>
      <c r="D11" s="15">
        <f>+D6</f>
        <v>3450000</v>
      </c>
      <c r="E11" s="15">
        <f>+'Fig. 13.4'!$H$17</f>
        <v>1150000</v>
      </c>
      <c r="F11" s="15">
        <f>+C11-D11+E11</f>
        <v>11738003.684746942</v>
      </c>
      <c r="G11" s="15">
        <f>+'Fig.13.1'!$E$17</f>
        <v>110174.5054945055</v>
      </c>
      <c r="H11" s="364">
        <f>+F11/G11</f>
        <v>106.54010773238575</v>
      </c>
      <c r="J11" s="398" t="str">
        <f t="shared" si="0"/>
        <v>SELL</v>
      </c>
    </row>
    <row r="12" spans="1:10" x14ac:dyDescent="0.35">
      <c r="B12" s="34" t="s">
        <v>81</v>
      </c>
      <c r="C12" s="15">
        <f>+'Fig. 13.6'!C37</f>
        <v>15693174.786316536</v>
      </c>
      <c r="D12" s="15">
        <f>+D6</f>
        <v>3450000</v>
      </c>
      <c r="E12" s="15">
        <f>+'Fig. 13.4'!$H$17</f>
        <v>1150000</v>
      </c>
      <c r="F12" s="15">
        <f>+C12-D12+E12</f>
        <v>13393174.786316536</v>
      </c>
      <c r="G12" s="15">
        <f>+'Fig.13.1'!$E$17</f>
        <v>110174.5054945055</v>
      </c>
      <c r="H12" s="364">
        <f>+F12/G12</f>
        <v>121.5632847744841</v>
      </c>
      <c r="J12" s="398" t="str">
        <f t="shared" si="0"/>
        <v>BUY</v>
      </c>
    </row>
    <row r="13" spans="1:10" x14ac:dyDescent="0.35">
      <c r="B13" s="34" t="s">
        <v>233</v>
      </c>
      <c r="C13" s="15">
        <f>+'Fig 13.8'!C43</f>
        <v>14462433.46271331</v>
      </c>
      <c r="D13" s="15">
        <f>+D12</f>
        <v>3450000</v>
      </c>
      <c r="E13" s="15">
        <f>+'Fig. 13.4'!$H$17</f>
        <v>1150000</v>
      </c>
      <c r="F13" s="15">
        <f>+C13-D13+E13</f>
        <v>12162433.46271331</v>
      </c>
      <c r="G13" s="15">
        <f>+'Fig.13.1'!$E$17</f>
        <v>110174.5054945055</v>
      </c>
      <c r="H13" s="364">
        <f>+F13/G13</f>
        <v>110.39244885305941</v>
      </c>
      <c r="J13" s="398" t="str">
        <f t="shared" si="0"/>
        <v>SELL</v>
      </c>
    </row>
    <row r="14" spans="1:10" x14ac:dyDescent="0.35">
      <c r="C14" s="16"/>
      <c r="D14" s="16"/>
      <c r="E14" s="16"/>
      <c r="F14" s="16"/>
      <c r="G14" s="16"/>
      <c r="H14" s="336"/>
      <c r="J14" s="399"/>
    </row>
    <row r="15" spans="1:10" ht="15" thickBot="1" x14ac:dyDescent="0.4">
      <c r="B15" s="103" t="s">
        <v>82</v>
      </c>
      <c r="C15" s="240">
        <f>AVERAGE(C6:C12)</f>
        <v>14510092.533458764</v>
      </c>
      <c r="D15" s="240">
        <f>AVERAGE(D6:D12)</f>
        <v>3450000</v>
      </c>
      <c r="E15" s="240">
        <f>AVERAGE(E6:E12)</f>
        <v>1150000</v>
      </c>
      <c r="F15" s="240">
        <f>AVERAGE(F6:F12)</f>
        <v>12210092.533458767</v>
      </c>
      <c r="G15" s="240"/>
      <c r="H15" s="365">
        <f>AVERAGE(H5:H13)</f>
        <v>110.76323002320562</v>
      </c>
      <c r="J15" s="400" t="str">
        <f t="shared" si="0"/>
        <v>SELL</v>
      </c>
    </row>
    <row r="16" spans="1:10" ht="15" thickTop="1" x14ac:dyDescent="0.35"/>
    <row r="17" spans="10:10" x14ac:dyDescent="0.35">
      <c r="J17" s="98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Fig.13.1</vt:lpstr>
      <vt:lpstr>Fig.13.2</vt:lpstr>
      <vt:lpstr>Fig. 13.3</vt:lpstr>
      <vt:lpstr>Fig. 13.4</vt:lpstr>
      <vt:lpstr>Fig. 13.5</vt:lpstr>
      <vt:lpstr>Fig. 13.6</vt:lpstr>
      <vt:lpstr>Fig. 13.7</vt:lpstr>
      <vt:lpstr>Fig 13.8</vt:lpstr>
      <vt:lpstr>Fig.13.9</vt:lpstr>
      <vt:lpstr>Fig. 13.10</vt:lpstr>
      <vt:lpstr>Fig. 13.11</vt:lpstr>
      <vt:lpstr>DO NOT POST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2018-09-23T13:46:11Z</dcterms:created>
  <dcterms:modified xsi:type="dcterms:W3CDTF">2023-02-21T00:58:25Z</dcterms:modified>
</cp:coreProperties>
</file>