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veru-my.sharepoint.com/personal/stuart_shelly_du_edu/Documents/Columbia/Fall 2022/Week 6 10-24-2022/"/>
    </mc:Choice>
  </mc:AlternateContent>
  <xr:revisionPtr revIDLastSave="35" documentId="8_{55FAF1F7-1153-4813-BADD-DC5D10283B88}" xr6:coauthVersionLast="47" xr6:coauthVersionMax="47" xr10:uidLastSave="{9156EB29-6CE5-436C-9FB4-D8698CFFBA01}"/>
  <bookViews>
    <workbookView xWindow="822" yWindow="924" windowWidth="20076" windowHeight="11082" firstSheet="2" activeTab="7" xr2:uid="{E842CC59-43A4-489D-9067-CAF1784578EE}"/>
  </bookViews>
  <sheets>
    <sheet name="Fig. 11.1" sheetId="1" r:id="rId1"/>
    <sheet name="Fig. 11.2" sheetId="4" r:id="rId2"/>
    <sheet name="Fig. 11.3" sheetId="2" r:id="rId3"/>
    <sheet name="Fig. 11.4" sheetId="7" r:id="rId4"/>
    <sheet name="Fig. 11.5" sheetId="3" r:id="rId5"/>
    <sheet name="Fig. 11.6" sheetId="5" r:id="rId6"/>
    <sheet name="Fig. 11.7" sheetId="8" r:id="rId7"/>
    <sheet name="Fig. 11.8" sheetId="6" r:id="rId8"/>
    <sheet name="Fig. 11.9" sheetId="10" r:id="rId9"/>
    <sheet name="Fig. 11.10" sheetId="11" r:id="rId10"/>
    <sheet name="Fig. 11.11" sheetId="12" r:id="rId11"/>
    <sheet name="Fig. 11.12" sheetId="13" r:id="rId12"/>
    <sheet name="NO NEED TO PRINT" sheetId="9" r:id="rId1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6" l="1"/>
  <c r="H21" i="6"/>
  <c r="H20" i="6"/>
  <c r="D13" i="3"/>
  <c r="H7" i="7"/>
  <c r="G7" i="7"/>
  <c r="F7" i="7"/>
  <c r="D12" i="7"/>
  <c r="D17" i="2"/>
  <c r="C7" i="13"/>
  <c r="C7" i="12"/>
  <c r="K30" i="13"/>
  <c r="K31" i="13" s="1"/>
  <c r="K32" i="13" s="1"/>
  <c r="K30" i="12"/>
  <c r="K31" i="12" s="1"/>
  <c r="K32" i="12" s="1"/>
  <c r="E13" i="3"/>
  <c r="J19" i="6"/>
  <c r="I23" i="6"/>
  <c r="I27" i="6"/>
  <c r="I24" i="6"/>
  <c r="I25" i="6"/>
  <c r="I26" i="6"/>
  <c r="I29" i="6"/>
  <c r="I28" i="6"/>
  <c r="I21" i="6"/>
  <c r="I22" i="6"/>
  <c r="G19" i="6"/>
  <c r="I32" i="6"/>
  <c r="I30" i="6"/>
  <c r="L30" i="6"/>
  <c r="L32" i="6"/>
  <c r="L31" i="6"/>
  <c r="L20" i="6"/>
  <c r="I20" i="6"/>
  <c r="E32" i="6"/>
  <c r="E20" i="6"/>
  <c r="E16" i="6"/>
  <c r="D14" i="6"/>
  <c r="D10" i="6"/>
  <c r="I17" i="2"/>
  <c r="C14" i="13" l="1"/>
  <c r="C14" i="12"/>
  <c r="C14" i="6"/>
  <c r="C20" i="6"/>
  <c r="D20" i="6"/>
  <c r="C21" i="6"/>
  <c r="D21" i="6" s="1"/>
  <c r="C22" i="6"/>
  <c r="D22" i="6" s="1"/>
  <c r="C23" i="6"/>
  <c r="D23" i="6"/>
  <c r="C24" i="6"/>
  <c r="D24" i="6"/>
  <c r="C25" i="6"/>
  <c r="D25" i="6" s="1"/>
  <c r="C26" i="6"/>
  <c r="D26" i="6" s="1"/>
  <c r="C27" i="6"/>
  <c r="D27" i="6"/>
  <c r="K27" i="6" s="1"/>
  <c r="C28" i="6"/>
  <c r="D28" i="6"/>
  <c r="C29" i="6"/>
  <c r="D29" i="6" s="1"/>
  <c r="J20" i="6"/>
  <c r="J21" i="6"/>
  <c r="J22" i="6"/>
  <c r="J23" i="6"/>
  <c r="J24" i="6"/>
  <c r="K24" i="6"/>
  <c r="J25" i="6"/>
  <c r="J26" i="6"/>
  <c r="J27" i="6"/>
  <c r="J28" i="6"/>
  <c r="J29" i="6"/>
  <c r="H19" i="5"/>
  <c r="A34" i="6"/>
  <c r="A35" i="6"/>
  <c r="A36" i="6"/>
  <c r="K46" i="5"/>
  <c r="L35" i="5"/>
  <c r="K33" i="5"/>
  <c r="H7" i="3"/>
  <c r="D13" i="4"/>
  <c r="A33" i="13"/>
  <c r="A32" i="13"/>
  <c r="A31" i="13"/>
  <c r="A30" i="13"/>
  <c r="J29" i="13"/>
  <c r="A29" i="13"/>
  <c r="J28" i="13"/>
  <c r="A28" i="13"/>
  <c r="J27" i="13"/>
  <c r="A27" i="13"/>
  <c r="J26" i="13"/>
  <c r="A26" i="13"/>
  <c r="J25" i="13"/>
  <c r="A25" i="13"/>
  <c r="J24" i="13"/>
  <c r="A24" i="13"/>
  <c r="J23" i="13"/>
  <c r="A23" i="13"/>
  <c r="J22" i="13"/>
  <c r="A22" i="13"/>
  <c r="J21" i="13"/>
  <c r="A21" i="13"/>
  <c r="J20" i="13"/>
  <c r="A20" i="13"/>
  <c r="A19" i="13"/>
  <c r="A18" i="13"/>
  <c r="A17" i="13"/>
  <c r="A16" i="13"/>
  <c r="A15" i="13"/>
  <c r="A14" i="13"/>
  <c r="A13" i="13"/>
  <c r="A12" i="13"/>
  <c r="A11" i="13"/>
  <c r="A10" i="13"/>
  <c r="C9" i="13"/>
  <c r="A9" i="13"/>
  <c r="A8" i="13"/>
  <c r="A7" i="13"/>
  <c r="C6" i="13"/>
  <c r="C29" i="13" s="1"/>
  <c r="D29" i="13" s="1"/>
  <c r="A6" i="13"/>
  <c r="C5" i="13"/>
  <c r="C26" i="13" s="1"/>
  <c r="D26" i="13" s="1"/>
  <c r="A5" i="13"/>
  <c r="A4" i="13"/>
  <c r="A3" i="13"/>
  <c r="A2" i="13"/>
  <c r="A1" i="13"/>
  <c r="C9" i="12"/>
  <c r="C5" i="12"/>
  <c r="C8" i="12"/>
  <c r="C6" i="12"/>
  <c r="C28" i="12" s="1"/>
  <c r="A33" i="12"/>
  <c r="A32" i="12"/>
  <c r="A31" i="12"/>
  <c r="A30" i="12"/>
  <c r="J29" i="12"/>
  <c r="A29" i="12"/>
  <c r="J28" i="12"/>
  <c r="A28" i="12"/>
  <c r="J27" i="12"/>
  <c r="C27" i="12"/>
  <c r="D27" i="12" s="1"/>
  <c r="A27" i="12"/>
  <c r="J26" i="12"/>
  <c r="C26" i="12"/>
  <c r="D26" i="12" s="1"/>
  <c r="K26" i="12" s="1"/>
  <c r="A26" i="12"/>
  <c r="J25" i="12"/>
  <c r="A25" i="12"/>
  <c r="J24" i="12"/>
  <c r="A24" i="12"/>
  <c r="J23" i="12"/>
  <c r="C23" i="12"/>
  <c r="D23" i="12" s="1"/>
  <c r="A23" i="12"/>
  <c r="J22" i="12"/>
  <c r="C22" i="12"/>
  <c r="D22" i="12" s="1"/>
  <c r="K22" i="12" s="1"/>
  <c r="A22" i="12"/>
  <c r="J21" i="12"/>
  <c r="C21" i="12"/>
  <c r="D21" i="12" s="1"/>
  <c r="A21" i="12"/>
  <c r="J20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1" i="12"/>
  <c r="H12" i="11"/>
  <c r="I9" i="11"/>
  <c r="J9" i="11" s="1"/>
  <c r="K9" i="11" s="1"/>
  <c r="E9" i="11"/>
  <c r="L9" i="11" s="1"/>
  <c r="A25" i="11"/>
  <c r="A24" i="11"/>
  <c r="A23" i="11"/>
  <c r="E22" i="11"/>
  <c r="H19" i="11" s="1"/>
  <c r="A22" i="11"/>
  <c r="A21" i="11"/>
  <c r="A20" i="11"/>
  <c r="A19" i="11"/>
  <c r="A18" i="11"/>
  <c r="A17" i="11"/>
  <c r="A16" i="11"/>
  <c r="J15" i="11"/>
  <c r="J12" i="11" s="1"/>
  <c r="A15" i="11"/>
  <c r="A14" i="11"/>
  <c r="L13" i="11"/>
  <c r="K13" i="11"/>
  <c r="J13" i="11"/>
  <c r="I13" i="11"/>
  <c r="H13" i="11"/>
  <c r="A13" i="11"/>
  <c r="A12" i="11"/>
  <c r="L11" i="11"/>
  <c r="K11" i="11"/>
  <c r="J11" i="11"/>
  <c r="I11" i="11"/>
  <c r="H11" i="11"/>
  <c r="A11" i="11"/>
  <c r="L10" i="11"/>
  <c r="K10" i="11"/>
  <c r="J10" i="11"/>
  <c r="I10" i="11"/>
  <c r="H10" i="11"/>
  <c r="A10" i="11"/>
  <c r="A9" i="11"/>
  <c r="D8" i="11"/>
  <c r="K8" i="11" s="1"/>
  <c r="A8" i="11"/>
  <c r="A7" i="11"/>
  <c r="L6" i="11"/>
  <c r="K6" i="11"/>
  <c r="J6" i="11"/>
  <c r="I6" i="11"/>
  <c r="H6" i="11"/>
  <c r="A6" i="11"/>
  <c r="L5" i="11"/>
  <c r="K5" i="11"/>
  <c r="J5" i="11"/>
  <c r="I5" i="11"/>
  <c r="H5" i="11"/>
  <c r="A5" i="11"/>
  <c r="A4" i="11"/>
  <c r="A3" i="11"/>
  <c r="A2" i="11"/>
  <c r="D4" i="10"/>
  <c r="D5" i="10" s="1"/>
  <c r="I19" i="10"/>
  <c r="B19" i="10"/>
  <c r="D17" i="10"/>
  <c r="D14" i="10" s="1"/>
  <c r="D13" i="10"/>
  <c r="D9" i="10"/>
  <c r="K29" i="6" l="1"/>
  <c r="K21" i="6"/>
  <c r="K25" i="6"/>
  <c r="K28" i="6"/>
  <c r="K23" i="6"/>
  <c r="K22" i="6"/>
  <c r="K26" i="6"/>
  <c r="K20" i="6"/>
  <c r="C34" i="6"/>
  <c r="K26" i="13"/>
  <c r="C10" i="13"/>
  <c r="C19" i="13" s="1"/>
  <c r="K29" i="13"/>
  <c r="C21" i="13"/>
  <c r="D21" i="13" s="1"/>
  <c r="C20" i="13"/>
  <c r="D20" i="13" s="1"/>
  <c r="C24" i="13"/>
  <c r="D24" i="13" s="1"/>
  <c r="K24" i="13" s="1"/>
  <c r="C28" i="13"/>
  <c r="D28" i="13" s="1"/>
  <c r="K28" i="13" s="1"/>
  <c r="C23" i="13"/>
  <c r="D23" i="13" s="1"/>
  <c r="K23" i="13" s="1"/>
  <c r="C27" i="13"/>
  <c r="D27" i="13" s="1"/>
  <c r="K27" i="13" s="1"/>
  <c r="C25" i="13"/>
  <c r="D25" i="13" s="1"/>
  <c r="C22" i="13"/>
  <c r="D22" i="13" s="1"/>
  <c r="C10" i="12"/>
  <c r="C19" i="12" s="1"/>
  <c r="D28" i="12"/>
  <c r="K28" i="12" s="1"/>
  <c r="K23" i="12"/>
  <c r="C20" i="12"/>
  <c r="D20" i="12" s="1"/>
  <c r="K20" i="12" s="1"/>
  <c r="C25" i="12"/>
  <c r="D25" i="12" s="1"/>
  <c r="K25" i="12" s="1"/>
  <c r="C29" i="12"/>
  <c r="D29" i="12" s="1"/>
  <c r="K29" i="12" s="1"/>
  <c r="C24" i="12"/>
  <c r="D24" i="12" s="1"/>
  <c r="K24" i="12" s="1"/>
  <c r="K21" i="12"/>
  <c r="K27" i="12"/>
  <c r="E23" i="11"/>
  <c r="I8" i="11"/>
  <c r="I17" i="11" s="1"/>
  <c r="I12" i="11"/>
  <c r="L8" i="11"/>
  <c r="H8" i="11"/>
  <c r="E17" i="11"/>
  <c r="H17" i="11"/>
  <c r="J8" i="11"/>
  <c r="J17" i="11" s="1"/>
  <c r="K15" i="11"/>
  <c r="K12" i="11" s="1"/>
  <c r="D15" i="10"/>
  <c r="E22" i="5"/>
  <c r="H16" i="4"/>
  <c r="H9" i="4"/>
  <c r="H10" i="4"/>
  <c r="H11" i="4"/>
  <c r="H12" i="4"/>
  <c r="H13" i="4"/>
  <c r="H14" i="4"/>
  <c r="H15" i="4"/>
  <c r="H8" i="4"/>
  <c r="H7" i="4"/>
  <c r="K30" i="6" l="1"/>
  <c r="K31" i="6" s="1"/>
  <c r="K22" i="13"/>
  <c r="K21" i="13"/>
  <c r="K20" i="13"/>
  <c r="D32" i="13"/>
  <c r="K25" i="13"/>
  <c r="D32" i="12"/>
  <c r="G22" i="12" s="1"/>
  <c r="H22" i="12" s="1"/>
  <c r="C16" i="12"/>
  <c r="D16" i="12" s="1"/>
  <c r="G29" i="12"/>
  <c r="H29" i="12" s="1"/>
  <c r="G25" i="12"/>
  <c r="H25" i="12" s="1"/>
  <c r="G27" i="12"/>
  <c r="H27" i="12" s="1"/>
  <c r="L15" i="11"/>
  <c r="L12" i="11" s="1"/>
  <c r="C10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5" i="9"/>
  <c r="A174" i="9"/>
  <c r="A173" i="9"/>
  <c r="A172" i="9"/>
  <c r="K171" i="9"/>
  <c r="M171" i="9" s="1"/>
  <c r="A171" i="9"/>
  <c r="M170" i="9"/>
  <c r="K170" i="9"/>
  <c r="A170" i="9"/>
  <c r="K169" i="9"/>
  <c r="M169" i="9" s="1"/>
  <c r="A169" i="9"/>
  <c r="M168" i="9"/>
  <c r="K168" i="9"/>
  <c r="A168" i="9"/>
  <c r="K167" i="9"/>
  <c r="M167" i="9" s="1"/>
  <c r="A167" i="9"/>
  <c r="K166" i="9"/>
  <c r="M166" i="9" s="1"/>
  <c r="A166" i="9"/>
  <c r="K165" i="9"/>
  <c r="M165" i="9" s="1"/>
  <c r="A165" i="9"/>
  <c r="K164" i="9"/>
  <c r="M164" i="9" s="1"/>
  <c r="A164" i="9"/>
  <c r="K163" i="9"/>
  <c r="M163" i="9" s="1"/>
  <c r="A163" i="9"/>
  <c r="M162" i="9"/>
  <c r="K162" i="9"/>
  <c r="A162" i="9"/>
  <c r="K161" i="9"/>
  <c r="M161" i="9" s="1"/>
  <c r="A161" i="9"/>
  <c r="M160" i="9"/>
  <c r="K160" i="9"/>
  <c r="A160" i="9"/>
  <c r="K159" i="9"/>
  <c r="M159" i="9" s="1"/>
  <c r="A159" i="9"/>
  <c r="K158" i="9"/>
  <c r="M158" i="9" s="1"/>
  <c r="A158" i="9"/>
  <c r="K157" i="9"/>
  <c r="M157" i="9" s="1"/>
  <c r="A157" i="9"/>
  <c r="K156" i="9"/>
  <c r="M156" i="9" s="1"/>
  <c r="A156" i="9"/>
  <c r="K155" i="9"/>
  <c r="M155" i="9" s="1"/>
  <c r="A155" i="9"/>
  <c r="M154" i="9"/>
  <c r="K154" i="9"/>
  <c r="J154" i="9"/>
  <c r="J155" i="9" s="1"/>
  <c r="J156" i="9" s="1"/>
  <c r="J157" i="9" s="1"/>
  <c r="J158" i="9" s="1"/>
  <c r="J159" i="9" s="1"/>
  <c r="J160" i="9" s="1"/>
  <c r="J161" i="9" s="1"/>
  <c r="J162" i="9" s="1"/>
  <c r="J163" i="9" s="1"/>
  <c r="J164" i="9" s="1"/>
  <c r="J165" i="9" s="1"/>
  <c r="J166" i="9" s="1"/>
  <c r="J167" i="9" s="1"/>
  <c r="J168" i="9" s="1"/>
  <c r="J169" i="9" s="1"/>
  <c r="J170" i="9" s="1"/>
  <c r="J171" i="9" s="1"/>
  <c r="A154" i="9"/>
  <c r="K153" i="9"/>
  <c r="M153" i="9" s="1"/>
  <c r="J153" i="9"/>
  <c r="C153" i="9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191" i="9" s="1"/>
  <c r="A153" i="9"/>
  <c r="M152" i="9"/>
  <c r="K152" i="9"/>
  <c r="A152" i="9"/>
  <c r="M151" i="9"/>
  <c r="F151" i="9"/>
  <c r="A151" i="9"/>
  <c r="A150" i="9"/>
  <c r="A149" i="9"/>
  <c r="A148" i="9"/>
  <c r="E147" i="9"/>
  <c r="A147" i="9"/>
  <c r="A146" i="9"/>
  <c r="A145" i="9"/>
  <c r="E144" i="9"/>
  <c r="A144" i="9"/>
  <c r="A143" i="9"/>
  <c r="A142" i="9"/>
  <c r="M141" i="9"/>
  <c r="G141" i="9"/>
  <c r="A141" i="9"/>
  <c r="M140" i="9"/>
  <c r="G140" i="9"/>
  <c r="A140" i="9"/>
  <c r="G139" i="9"/>
  <c r="A139" i="9"/>
  <c r="A138" i="9"/>
  <c r="A137" i="9"/>
  <c r="A135" i="9"/>
  <c r="A133" i="9"/>
  <c r="I132" i="9"/>
  <c r="C132" i="9"/>
  <c r="D132" i="9" s="1"/>
  <c r="A132" i="9"/>
  <c r="I131" i="9"/>
  <c r="J131" i="9" s="1"/>
  <c r="C131" i="9"/>
  <c r="D131" i="9" s="1"/>
  <c r="A131" i="9"/>
  <c r="I130" i="9"/>
  <c r="D130" i="9"/>
  <c r="J130" i="9" s="1"/>
  <c r="C130" i="9"/>
  <c r="A130" i="9"/>
  <c r="I129" i="9"/>
  <c r="C129" i="9"/>
  <c r="D129" i="9" s="1"/>
  <c r="A129" i="9"/>
  <c r="I128" i="9"/>
  <c r="C128" i="9"/>
  <c r="D128" i="9" s="1"/>
  <c r="A128" i="9"/>
  <c r="I127" i="9"/>
  <c r="J127" i="9" s="1"/>
  <c r="C127" i="9"/>
  <c r="D127" i="9" s="1"/>
  <c r="A127" i="9"/>
  <c r="I126" i="9"/>
  <c r="D126" i="9"/>
  <c r="C126" i="9"/>
  <c r="A126" i="9"/>
  <c r="I125" i="9"/>
  <c r="C125" i="9"/>
  <c r="D125" i="9" s="1"/>
  <c r="A125" i="9"/>
  <c r="I124" i="9"/>
  <c r="C124" i="9"/>
  <c r="D124" i="9" s="1"/>
  <c r="A124" i="9"/>
  <c r="I123" i="9"/>
  <c r="C123" i="9"/>
  <c r="D123" i="9" s="1"/>
  <c r="A123" i="9"/>
  <c r="I122" i="9"/>
  <c r="C122" i="9"/>
  <c r="D122" i="9" s="1"/>
  <c r="J122" i="9" s="1"/>
  <c r="A122" i="9"/>
  <c r="I121" i="9"/>
  <c r="C121" i="9"/>
  <c r="D121" i="9" s="1"/>
  <c r="A121" i="9"/>
  <c r="I120" i="9"/>
  <c r="C120" i="9"/>
  <c r="D120" i="9" s="1"/>
  <c r="A120" i="9"/>
  <c r="I119" i="9"/>
  <c r="C119" i="9"/>
  <c r="D119" i="9" s="1"/>
  <c r="A119" i="9"/>
  <c r="I118" i="9"/>
  <c r="C118" i="9"/>
  <c r="D118" i="9" s="1"/>
  <c r="J118" i="9" s="1"/>
  <c r="A118" i="9"/>
  <c r="I117" i="9"/>
  <c r="C117" i="9"/>
  <c r="D117" i="9" s="1"/>
  <c r="A117" i="9"/>
  <c r="I116" i="9"/>
  <c r="C116" i="9"/>
  <c r="D116" i="9" s="1"/>
  <c r="A116" i="9"/>
  <c r="I115" i="9"/>
  <c r="J115" i="9" s="1"/>
  <c r="C115" i="9"/>
  <c r="D115" i="9" s="1"/>
  <c r="A115" i="9"/>
  <c r="I114" i="9"/>
  <c r="D114" i="9"/>
  <c r="J114" i="9" s="1"/>
  <c r="C114" i="9"/>
  <c r="A114" i="9"/>
  <c r="I113" i="9"/>
  <c r="C113" i="9"/>
  <c r="D113" i="9" s="1"/>
  <c r="A113" i="9"/>
  <c r="A112" i="9"/>
  <c r="A111" i="9"/>
  <c r="A110" i="9"/>
  <c r="A109" i="9"/>
  <c r="A108" i="9"/>
  <c r="K107" i="9"/>
  <c r="A107" i="9"/>
  <c r="A106" i="9"/>
  <c r="E105" i="9"/>
  <c r="K101" i="9" s="1"/>
  <c r="L101" i="9" s="1"/>
  <c r="A105" i="9"/>
  <c r="A104" i="9"/>
  <c r="A103" i="9"/>
  <c r="A102" i="9"/>
  <c r="A101" i="9"/>
  <c r="A100" i="9"/>
  <c r="A99" i="9"/>
  <c r="A98" i="9"/>
  <c r="A97" i="9"/>
  <c r="A96" i="9"/>
  <c r="A94" i="9"/>
  <c r="A93" i="9"/>
  <c r="A92" i="9"/>
  <c r="I91" i="9"/>
  <c r="C91" i="9"/>
  <c r="D91" i="9" s="1"/>
  <c r="A91" i="9"/>
  <c r="I90" i="9"/>
  <c r="C90" i="9"/>
  <c r="D90" i="9" s="1"/>
  <c r="A90" i="9"/>
  <c r="I89" i="9"/>
  <c r="C89" i="9"/>
  <c r="D89" i="9" s="1"/>
  <c r="A89" i="9"/>
  <c r="I88" i="9"/>
  <c r="C88" i="9"/>
  <c r="D88" i="9" s="1"/>
  <c r="A88" i="9"/>
  <c r="I87" i="9"/>
  <c r="C87" i="9"/>
  <c r="D87" i="9" s="1"/>
  <c r="A87" i="9"/>
  <c r="I86" i="9"/>
  <c r="D86" i="9"/>
  <c r="C86" i="9"/>
  <c r="A86" i="9"/>
  <c r="I85" i="9"/>
  <c r="J85" i="9" s="1"/>
  <c r="D85" i="9"/>
  <c r="C85" i="9"/>
  <c r="A85" i="9"/>
  <c r="I84" i="9"/>
  <c r="C84" i="9"/>
  <c r="D84" i="9" s="1"/>
  <c r="A84" i="9"/>
  <c r="I83" i="9"/>
  <c r="C83" i="9"/>
  <c r="D83" i="9" s="1"/>
  <c r="A83" i="9"/>
  <c r="I82" i="9"/>
  <c r="C82" i="9"/>
  <c r="D82" i="9" s="1"/>
  <c r="A82" i="9"/>
  <c r="A81" i="9"/>
  <c r="A80" i="9"/>
  <c r="A79" i="9"/>
  <c r="A78" i="9"/>
  <c r="A77" i="9"/>
  <c r="A76" i="9"/>
  <c r="A75" i="9"/>
  <c r="A74" i="9"/>
  <c r="A73" i="9"/>
  <c r="A72" i="9"/>
  <c r="A70" i="9"/>
  <c r="E69" i="9"/>
  <c r="A69" i="9"/>
  <c r="A68" i="9"/>
  <c r="A67" i="9"/>
  <c r="H66" i="9"/>
  <c r="A66" i="9"/>
  <c r="A65" i="9"/>
  <c r="E64" i="9"/>
  <c r="A64" i="9"/>
  <c r="A63" i="9"/>
  <c r="I62" i="9"/>
  <c r="J62" i="9" s="1"/>
  <c r="J59" i="9" s="1"/>
  <c r="A62" i="9"/>
  <c r="A61" i="9"/>
  <c r="L60" i="9"/>
  <c r="K60" i="9"/>
  <c r="J60" i="9"/>
  <c r="I60" i="9"/>
  <c r="H60" i="9"/>
  <c r="A60" i="9"/>
  <c r="H59" i="9"/>
  <c r="A59" i="9"/>
  <c r="L58" i="9"/>
  <c r="K58" i="9"/>
  <c r="J58" i="9"/>
  <c r="I58" i="9"/>
  <c r="H58" i="9"/>
  <c r="A58" i="9"/>
  <c r="L57" i="9"/>
  <c r="K57" i="9"/>
  <c r="J57" i="9"/>
  <c r="I57" i="9"/>
  <c r="H57" i="9"/>
  <c r="A57" i="9"/>
  <c r="K56" i="9"/>
  <c r="E56" i="9"/>
  <c r="E70" i="9" s="1"/>
  <c r="A56" i="9"/>
  <c r="I55" i="9"/>
  <c r="H55" i="9"/>
  <c r="H64" i="9" s="1"/>
  <c r="D55" i="9"/>
  <c r="K55" i="9" s="1"/>
  <c r="A55" i="9"/>
  <c r="A54" i="9"/>
  <c r="L53" i="9"/>
  <c r="K53" i="9"/>
  <c r="J53" i="9"/>
  <c r="I53" i="9"/>
  <c r="H53" i="9"/>
  <c r="A53" i="9"/>
  <c r="L52" i="9"/>
  <c r="L56" i="9" s="1"/>
  <c r="K52" i="9"/>
  <c r="J52" i="9"/>
  <c r="J56" i="9" s="1"/>
  <c r="I52" i="9"/>
  <c r="I56" i="9" s="1"/>
  <c r="H52" i="9"/>
  <c r="H56" i="9" s="1"/>
  <c r="A52" i="9"/>
  <c r="A51" i="9"/>
  <c r="A50" i="9"/>
  <c r="A49" i="9"/>
  <c r="A48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C26" i="9"/>
  <c r="A26" i="9"/>
  <c r="A25" i="9"/>
  <c r="A24" i="9"/>
  <c r="A23" i="9"/>
  <c r="A22" i="9"/>
  <c r="I21" i="9"/>
  <c r="C21" i="9"/>
  <c r="A21" i="9"/>
  <c r="A20" i="9"/>
  <c r="A19" i="9"/>
  <c r="A18" i="9"/>
  <c r="E17" i="9"/>
  <c r="E18" i="9" s="1"/>
  <c r="A17" i="9"/>
  <c r="E16" i="9"/>
  <c r="A16" i="9"/>
  <c r="A15" i="9"/>
  <c r="A14" i="9"/>
  <c r="A13" i="9"/>
  <c r="A12" i="9"/>
  <c r="A11" i="9"/>
  <c r="A10" i="9"/>
  <c r="A9" i="9"/>
  <c r="E8" i="9"/>
  <c r="E9" i="9" s="1"/>
  <c r="A8" i="9"/>
  <c r="A7" i="9"/>
  <c r="A6" i="9"/>
  <c r="A5" i="9"/>
  <c r="A4" i="9"/>
  <c r="A3" i="9"/>
  <c r="A21" i="7"/>
  <c r="D17" i="7"/>
  <c r="D16" i="7"/>
  <c r="D18" i="7" s="1"/>
  <c r="D14" i="7"/>
  <c r="A18" i="7"/>
  <c r="A19" i="7"/>
  <c r="A20" i="7"/>
  <c r="A14" i="7"/>
  <c r="A15" i="7"/>
  <c r="A16" i="7"/>
  <c r="A17" i="7"/>
  <c r="A13" i="7"/>
  <c r="I16" i="4"/>
  <c r="A15" i="4"/>
  <c r="A16" i="4"/>
  <c r="A17" i="4"/>
  <c r="A18" i="4"/>
  <c r="A19" i="4"/>
  <c r="A20" i="4"/>
  <c r="I15" i="4"/>
  <c r="G6" i="4"/>
  <c r="G7" i="4"/>
  <c r="G8" i="4" s="1"/>
  <c r="G9" i="4" s="1"/>
  <c r="G10" i="4" s="1"/>
  <c r="G11" i="4" s="1"/>
  <c r="G12" i="4" s="1"/>
  <c r="G13" i="4" s="1"/>
  <c r="G14" i="4" s="1"/>
  <c r="G15" i="4" s="1"/>
  <c r="G16" i="4" s="1"/>
  <c r="I8" i="4"/>
  <c r="I9" i="4"/>
  <c r="I10" i="4"/>
  <c r="I11" i="4"/>
  <c r="I12" i="4"/>
  <c r="I13" i="4"/>
  <c r="I14" i="4"/>
  <c r="I7" i="4"/>
  <c r="A13" i="4"/>
  <c r="A14" i="4"/>
  <c r="A12" i="7"/>
  <c r="A11" i="7"/>
  <c r="A10" i="7"/>
  <c r="A9" i="7"/>
  <c r="A8" i="7"/>
  <c r="A7" i="7"/>
  <c r="A6" i="7"/>
  <c r="A5" i="7"/>
  <c r="A4" i="7"/>
  <c r="A3" i="7"/>
  <c r="A2" i="7"/>
  <c r="A11" i="6"/>
  <c r="A10" i="6"/>
  <c r="A9" i="6"/>
  <c r="A8" i="6"/>
  <c r="A7" i="6"/>
  <c r="A6" i="6"/>
  <c r="A5" i="6"/>
  <c r="A4" i="6"/>
  <c r="A3" i="6"/>
  <c r="A2" i="6"/>
  <c r="A1" i="6"/>
  <c r="A3" i="5"/>
  <c r="L30" i="5"/>
  <c r="L31" i="5"/>
  <c r="L32" i="5"/>
  <c r="L33" i="5"/>
  <c r="L34" i="5"/>
  <c r="L29" i="5"/>
  <c r="K30" i="5"/>
  <c r="K31" i="5"/>
  <c r="K32" i="5"/>
  <c r="J30" i="5"/>
  <c r="K29" i="5"/>
  <c r="J29" i="5"/>
  <c r="E45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29" i="5"/>
  <c r="A44" i="5"/>
  <c r="A45" i="5"/>
  <c r="A46" i="5"/>
  <c r="A47" i="5"/>
  <c r="D8" i="5"/>
  <c r="L8" i="5" s="1"/>
  <c r="E28" i="5"/>
  <c r="A43" i="5"/>
  <c r="D29" i="5"/>
  <c r="D31" i="5" s="1"/>
  <c r="D33" i="5" s="1"/>
  <c r="D35" i="5" s="1"/>
  <c r="D37" i="5" s="1"/>
  <c r="D39" i="5" s="1"/>
  <c r="D41" i="5" s="1"/>
  <c r="D43" i="5" s="1"/>
  <c r="D45" i="5" s="1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23" i="5"/>
  <c r="A22" i="5"/>
  <c r="A21" i="5"/>
  <c r="A20" i="5"/>
  <c r="A19" i="5"/>
  <c r="A18" i="5"/>
  <c r="A17" i="5"/>
  <c r="A16" i="5"/>
  <c r="I15" i="5"/>
  <c r="J15" i="5" s="1"/>
  <c r="J31" i="5" s="1"/>
  <c r="A15" i="5"/>
  <c r="A14" i="5"/>
  <c r="L13" i="5"/>
  <c r="K13" i="5"/>
  <c r="J13" i="5"/>
  <c r="I13" i="5"/>
  <c r="H13" i="5"/>
  <c r="A13" i="5"/>
  <c r="H12" i="5"/>
  <c r="A12" i="5"/>
  <c r="L11" i="5"/>
  <c r="L28" i="5" s="1"/>
  <c r="K11" i="5"/>
  <c r="K28" i="5" s="1"/>
  <c r="J11" i="5"/>
  <c r="J28" i="5" s="1"/>
  <c r="I11" i="5"/>
  <c r="I28" i="5" s="1"/>
  <c r="H11" i="5"/>
  <c r="A11" i="5"/>
  <c r="L10" i="5"/>
  <c r="K10" i="5"/>
  <c r="J10" i="5"/>
  <c r="I10" i="5"/>
  <c r="H10" i="5"/>
  <c r="A10" i="5"/>
  <c r="E9" i="5"/>
  <c r="E23" i="5" s="1"/>
  <c r="A9" i="5"/>
  <c r="A8" i="5"/>
  <c r="A7" i="5"/>
  <c r="L6" i="5"/>
  <c r="K6" i="5"/>
  <c r="J6" i="5"/>
  <c r="I6" i="5"/>
  <c r="H6" i="5"/>
  <c r="A6" i="5"/>
  <c r="L5" i="5"/>
  <c r="L9" i="5" s="1"/>
  <c r="K5" i="5"/>
  <c r="K9" i="5" s="1"/>
  <c r="J5" i="5"/>
  <c r="J9" i="5" s="1"/>
  <c r="I5" i="5"/>
  <c r="I9" i="5" s="1"/>
  <c r="H5" i="5"/>
  <c r="H9" i="5" s="1"/>
  <c r="A5" i="5"/>
  <c r="A4" i="5"/>
  <c r="A2" i="5"/>
  <c r="A24" i="3"/>
  <c r="A15" i="3"/>
  <c r="A16" i="3"/>
  <c r="A17" i="3"/>
  <c r="A18" i="3"/>
  <c r="A19" i="3"/>
  <c r="A20" i="3"/>
  <c r="A21" i="3"/>
  <c r="A22" i="3"/>
  <c r="A23" i="3"/>
  <c r="I7" i="3"/>
  <c r="I21" i="3"/>
  <c r="I9" i="3"/>
  <c r="I10" i="3"/>
  <c r="I11" i="3"/>
  <c r="I12" i="3"/>
  <c r="I13" i="3"/>
  <c r="I14" i="3"/>
  <c r="I15" i="3"/>
  <c r="I16" i="3"/>
  <c r="I17" i="3"/>
  <c r="I18" i="3"/>
  <c r="I19" i="3"/>
  <c r="I20" i="3"/>
  <c r="I8" i="3"/>
  <c r="I23" i="3" s="1"/>
  <c r="H10" i="3"/>
  <c r="H12" i="3" s="1"/>
  <c r="H14" i="3" s="1"/>
  <c r="H16" i="3" s="1"/>
  <c r="H18" i="3" s="1"/>
  <c r="H20" i="3" s="1"/>
  <c r="H9" i="3"/>
  <c r="H11" i="3" s="1"/>
  <c r="H13" i="3" s="1"/>
  <c r="H15" i="3" s="1"/>
  <c r="H17" i="3" s="1"/>
  <c r="H19" i="3" s="1"/>
  <c r="H21" i="3" s="1"/>
  <c r="A3" i="3"/>
  <c r="A4" i="3"/>
  <c r="A5" i="3"/>
  <c r="A6" i="3"/>
  <c r="A7" i="3"/>
  <c r="A8" i="3"/>
  <c r="A9" i="3"/>
  <c r="A10" i="3"/>
  <c r="A11" i="3"/>
  <c r="A12" i="3"/>
  <c r="A13" i="3"/>
  <c r="A14" i="3"/>
  <c r="A2" i="3"/>
  <c r="A12" i="4"/>
  <c r="A11" i="4"/>
  <c r="A10" i="4"/>
  <c r="A9" i="4"/>
  <c r="A8" i="4"/>
  <c r="A7" i="4"/>
  <c r="A6" i="4"/>
  <c r="A5" i="4"/>
  <c r="A4" i="4"/>
  <c r="A3" i="4"/>
  <c r="A2" i="4"/>
  <c r="D12" i="2"/>
  <c r="D20" i="2"/>
  <c r="D18" i="2" s="1"/>
  <c r="H22" i="2"/>
  <c r="B22" i="2"/>
  <c r="D16" i="2"/>
  <c r="D7" i="2"/>
  <c r="D8" i="2" s="1"/>
  <c r="G29" i="13" l="1"/>
  <c r="H29" i="13" s="1"/>
  <c r="G26" i="13"/>
  <c r="H26" i="13" s="1"/>
  <c r="G24" i="13"/>
  <c r="H24" i="13" s="1"/>
  <c r="C16" i="13"/>
  <c r="D16" i="13" s="1"/>
  <c r="G25" i="13"/>
  <c r="H25" i="13" s="1"/>
  <c r="G20" i="13"/>
  <c r="G22" i="13"/>
  <c r="H22" i="13" s="1"/>
  <c r="G28" i="13"/>
  <c r="H28" i="13" s="1"/>
  <c r="G27" i="13"/>
  <c r="H27" i="13" s="1"/>
  <c r="G23" i="13"/>
  <c r="H23" i="13" s="1"/>
  <c r="G21" i="13"/>
  <c r="H21" i="13" s="1"/>
  <c r="G21" i="12"/>
  <c r="H21" i="12" s="1"/>
  <c r="G24" i="12"/>
  <c r="H24" i="12" s="1"/>
  <c r="G28" i="12"/>
  <c r="H28" i="12" s="1"/>
  <c r="G23" i="12"/>
  <c r="H23" i="12" s="1"/>
  <c r="G26" i="12"/>
  <c r="H26" i="12" s="1"/>
  <c r="G20" i="12"/>
  <c r="H20" i="12" s="1"/>
  <c r="K17" i="11"/>
  <c r="L17" i="11"/>
  <c r="D20" i="7"/>
  <c r="J55" i="9"/>
  <c r="J64" i="9" s="1"/>
  <c r="J89" i="9"/>
  <c r="C112" i="9"/>
  <c r="J123" i="9"/>
  <c r="L55" i="9"/>
  <c r="I59" i="9"/>
  <c r="J126" i="9"/>
  <c r="M172" i="9"/>
  <c r="N172" i="9" s="1"/>
  <c r="I18" i="4"/>
  <c r="I19" i="4" s="1"/>
  <c r="I64" i="9"/>
  <c r="K62" i="9"/>
  <c r="L62" i="9" s="1"/>
  <c r="L59" i="9" s="1"/>
  <c r="J119" i="9"/>
  <c r="J124" i="9"/>
  <c r="D32" i="6"/>
  <c r="C19" i="6"/>
  <c r="C35" i="6" s="1"/>
  <c r="J88" i="9"/>
  <c r="J128" i="9"/>
  <c r="F132" i="9"/>
  <c r="G132" i="9" s="1"/>
  <c r="J117" i="9"/>
  <c r="F128" i="9"/>
  <c r="G128" i="9" s="1"/>
  <c r="J121" i="9"/>
  <c r="L64" i="9"/>
  <c r="F86" i="9"/>
  <c r="G86" i="9" s="1"/>
  <c r="J116" i="9"/>
  <c r="F120" i="9"/>
  <c r="G120" i="9" s="1"/>
  <c r="F125" i="9"/>
  <c r="G125" i="9" s="1"/>
  <c r="J125" i="9"/>
  <c r="J132" i="9"/>
  <c r="J84" i="9"/>
  <c r="F91" i="9"/>
  <c r="G91" i="9" s="1"/>
  <c r="D135" i="9"/>
  <c r="F123" i="9" s="1"/>
  <c r="G123" i="9" s="1"/>
  <c r="J113" i="9"/>
  <c r="F119" i="9"/>
  <c r="G119" i="9" s="1"/>
  <c r="J120" i="9"/>
  <c r="F124" i="9"/>
  <c r="G124" i="9" s="1"/>
  <c r="J129" i="9"/>
  <c r="F129" i="9"/>
  <c r="G129" i="9" s="1"/>
  <c r="D93" i="9"/>
  <c r="F88" i="9" s="1"/>
  <c r="G88" i="9" s="1"/>
  <c r="D191" i="9"/>
  <c r="F191" i="9" s="1"/>
  <c r="D190" i="9"/>
  <c r="F190" i="9" s="1"/>
  <c r="D189" i="9"/>
  <c r="F189" i="9" s="1"/>
  <c r="D188" i="9"/>
  <c r="F188" i="9" s="1"/>
  <c r="D187" i="9"/>
  <c r="F187" i="9" s="1"/>
  <c r="D186" i="9"/>
  <c r="F186" i="9" s="1"/>
  <c r="D185" i="9"/>
  <c r="F185" i="9" s="1"/>
  <c r="D184" i="9"/>
  <c r="F184" i="9" s="1"/>
  <c r="D183" i="9"/>
  <c r="F183" i="9" s="1"/>
  <c r="D182" i="9"/>
  <c r="F182" i="9" s="1"/>
  <c r="D181" i="9"/>
  <c r="F181" i="9" s="1"/>
  <c r="D180" i="9"/>
  <c r="F180" i="9" s="1"/>
  <c r="D179" i="9"/>
  <c r="F179" i="9" s="1"/>
  <c r="D178" i="9"/>
  <c r="F178" i="9" s="1"/>
  <c r="D177" i="9"/>
  <c r="F177" i="9" s="1"/>
  <c r="D176" i="9"/>
  <c r="F176" i="9" s="1"/>
  <c r="D171" i="9"/>
  <c r="F171" i="9" s="1"/>
  <c r="D167" i="9"/>
  <c r="F167" i="9" s="1"/>
  <c r="D163" i="9"/>
  <c r="F163" i="9" s="1"/>
  <c r="D159" i="9"/>
  <c r="F159" i="9" s="1"/>
  <c r="D155" i="9"/>
  <c r="F155" i="9" s="1"/>
  <c r="D152" i="9"/>
  <c r="D169" i="9"/>
  <c r="F169" i="9" s="1"/>
  <c r="D165" i="9"/>
  <c r="F165" i="9" s="1"/>
  <c r="D161" i="9"/>
  <c r="F161" i="9" s="1"/>
  <c r="D157" i="9"/>
  <c r="F157" i="9" s="1"/>
  <c r="D153" i="9"/>
  <c r="F153" i="9" s="1"/>
  <c r="D170" i="9"/>
  <c r="F170" i="9" s="1"/>
  <c r="D166" i="9"/>
  <c r="F166" i="9" s="1"/>
  <c r="D162" i="9"/>
  <c r="F162" i="9" s="1"/>
  <c r="D175" i="9"/>
  <c r="F175" i="9" s="1"/>
  <c r="D174" i="9"/>
  <c r="F174" i="9" s="1"/>
  <c r="D173" i="9"/>
  <c r="F173" i="9" s="1"/>
  <c r="D156" i="9"/>
  <c r="F156" i="9" s="1"/>
  <c r="K59" i="9"/>
  <c r="K64" i="9" s="1"/>
  <c r="D158" i="9"/>
  <c r="F158" i="9" s="1"/>
  <c r="D168" i="9"/>
  <c r="F168" i="9" s="1"/>
  <c r="J82" i="9"/>
  <c r="J86" i="9"/>
  <c r="J90" i="9"/>
  <c r="L98" i="9"/>
  <c r="M147" i="9"/>
  <c r="D160" i="9"/>
  <c r="F160" i="9" s="1"/>
  <c r="J83" i="9"/>
  <c r="J87" i="9"/>
  <c r="J91" i="9"/>
  <c r="E143" i="9"/>
  <c r="E145" i="9" s="1"/>
  <c r="D154" i="9"/>
  <c r="F154" i="9" s="1"/>
  <c r="D164" i="9"/>
  <c r="F164" i="9" s="1"/>
  <c r="D172" i="9"/>
  <c r="F172" i="9" s="1"/>
  <c r="J46" i="5"/>
  <c r="E46" i="5"/>
  <c r="I29" i="5"/>
  <c r="I46" i="5" s="1"/>
  <c r="D30" i="5"/>
  <c r="D32" i="5" s="1"/>
  <c r="D34" i="5" s="1"/>
  <c r="D36" i="5" s="1"/>
  <c r="D38" i="5" s="1"/>
  <c r="D40" i="5" s="1"/>
  <c r="D42" i="5" s="1"/>
  <c r="D44" i="5" s="1"/>
  <c r="I8" i="5"/>
  <c r="H8" i="5"/>
  <c r="H17" i="5" s="1"/>
  <c r="E17" i="5"/>
  <c r="K15" i="5"/>
  <c r="J12" i="5"/>
  <c r="I12" i="5"/>
  <c r="J8" i="5"/>
  <c r="K8" i="5"/>
  <c r="G24" i="6" l="1"/>
  <c r="H24" i="6" s="1"/>
  <c r="G20" i="6"/>
  <c r="G29" i="6"/>
  <c r="H29" i="6" s="1"/>
  <c r="G23" i="6"/>
  <c r="H23" i="6" s="1"/>
  <c r="G25" i="6"/>
  <c r="H25" i="6" s="1"/>
  <c r="G28" i="6"/>
  <c r="H28" i="6" s="1"/>
  <c r="G26" i="6"/>
  <c r="H26" i="6" s="1"/>
  <c r="G22" i="6"/>
  <c r="H22" i="6" s="1"/>
  <c r="G21" i="6"/>
  <c r="G27" i="6"/>
  <c r="K32" i="6"/>
  <c r="G30" i="13"/>
  <c r="H20" i="13"/>
  <c r="H30" i="13" s="1"/>
  <c r="H32" i="13" s="1"/>
  <c r="C12" i="13" s="1"/>
  <c r="H30" i="12"/>
  <c r="H32" i="12" s="1"/>
  <c r="C12" i="12" s="1"/>
  <c r="G30" i="12"/>
  <c r="E19" i="11"/>
  <c r="E66" i="9"/>
  <c r="F117" i="9"/>
  <c r="G117" i="9" s="1"/>
  <c r="F127" i="9"/>
  <c r="G127" i="9" s="1"/>
  <c r="J17" i="5"/>
  <c r="F113" i="9"/>
  <c r="F115" i="9"/>
  <c r="G115" i="9" s="1"/>
  <c r="F82" i="9"/>
  <c r="G82" i="9" s="1"/>
  <c r="D147" i="9"/>
  <c r="F152" i="9"/>
  <c r="J133" i="9"/>
  <c r="J135" i="9" s="1"/>
  <c r="E109" i="9" s="1"/>
  <c r="K104" i="9" s="1"/>
  <c r="F85" i="9"/>
  <c r="G85" i="9" s="1"/>
  <c r="F130" i="9"/>
  <c r="G130" i="9" s="1"/>
  <c r="F118" i="9"/>
  <c r="G118" i="9" s="1"/>
  <c r="F126" i="9"/>
  <c r="G126" i="9" s="1"/>
  <c r="F122" i="9"/>
  <c r="G122" i="9" s="1"/>
  <c r="F114" i="9"/>
  <c r="G114" i="9" s="1"/>
  <c r="F83" i="9"/>
  <c r="G83" i="9" s="1"/>
  <c r="F131" i="9"/>
  <c r="G131" i="9" s="1"/>
  <c r="F84" i="9"/>
  <c r="G84" i="9" s="1"/>
  <c r="F121" i="9"/>
  <c r="G121" i="9" s="1"/>
  <c r="F90" i="9"/>
  <c r="G90" i="9" s="1"/>
  <c r="J92" i="9"/>
  <c r="J93" i="9" s="1"/>
  <c r="G113" i="9"/>
  <c r="F87" i="9"/>
  <c r="G87" i="9" s="1"/>
  <c r="F89" i="9"/>
  <c r="G89" i="9" s="1"/>
  <c r="F116" i="9"/>
  <c r="G116" i="9" s="1"/>
  <c r="I17" i="5"/>
  <c r="K12" i="5"/>
  <c r="L15" i="5"/>
  <c r="H30" i="6" l="1"/>
  <c r="G30" i="6"/>
  <c r="H32" i="6"/>
  <c r="C12" i="6" s="1"/>
  <c r="C16" i="6"/>
  <c r="G133" i="9"/>
  <c r="G135" i="9" s="1"/>
  <c r="E107" i="9" s="1"/>
  <c r="E108" i="9" s="1"/>
  <c r="K103" i="9" s="1"/>
  <c r="K105" i="9" s="1"/>
  <c r="K108" i="9" s="1"/>
  <c r="K109" i="9" s="1"/>
  <c r="G93" i="9"/>
  <c r="F147" i="9"/>
  <c r="F192" i="9"/>
  <c r="F133" i="9"/>
  <c r="F92" i="9"/>
  <c r="K17" i="5"/>
  <c r="L12" i="5"/>
  <c r="D16" i="6" l="1"/>
  <c r="L17" i="5"/>
  <c r="E19" i="5" s="1"/>
  <c r="L46" i="5"/>
</calcChain>
</file>

<file path=xl/sharedStrings.xml><?xml version="1.0" encoding="utf-8"?>
<sst xmlns="http://schemas.openxmlformats.org/spreadsheetml/2006/main" count="737" uniqueCount="340">
  <si>
    <t>CORPORATE BOND RATING AGENCIES' SCALES</t>
  </si>
  <si>
    <t>Description</t>
  </si>
  <si>
    <t>Standard &amp; Poor's</t>
  </si>
  <si>
    <t>Moody's</t>
  </si>
  <si>
    <t>Fitch</t>
  </si>
  <si>
    <t>INVESTMENT GRADE</t>
  </si>
  <si>
    <t>Highest Quality (Risk Free)</t>
  </si>
  <si>
    <t>AAA</t>
  </si>
  <si>
    <t>Aaa</t>
  </si>
  <si>
    <t>High Quality</t>
  </si>
  <si>
    <t>AA+</t>
  </si>
  <si>
    <t>Aa1</t>
  </si>
  <si>
    <t>Aa2</t>
  </si>
  <si>
    <t>AA-</t>
  </si>
  <si>
    <t>Aa3</t>
  </si>
  <si>
    <t>Strong Payment Capacity</t>
  </si>
  <si>
    <t>A+</t>
  </si>
  <si>
    <t>A1</t>
  </si>
  <si>
    <t>A2</t>
  </si>
  <si>
    <t>A-</t>
  </si>
  <si>
    <t>A3</t>
  </si>
  <si>
    <t>Adequate Payment Capacity</t>
  </si>
  <si>
    <t>BBB+</t>
  </si>
  <si>
    <t>Baa1</t>
  </si>
  <si>
    <t>BBB</t>
  </si>
  <si>
    <t>Baa2</t>
  </si>
  <si>
    <t>BBB-</t>
  </si>
  <si>
    <t>Baa3</t>
  </si>
  <si>
    <t>Likely to fullfill Obligations</t>
  </si>
  <si>
    <t>NON-INVESTMENT GRADE 
(HIGH YEILD)</t>
  </si>
  <si>
    <t>BB+</t>
  </si>
  <si>
    <t>Ba1</t>
  </si>
  <si>
    <t>BB</t>
  </si>
  <si>
    <t>Ba2</t>
  </si>
  <si>
    <t>BB-</t>
  </si>
  <si>
    <t>Ba3</t>
  </si>
  <si>
    <t>High-risk Obligations</t>
  </si>
  <si>
    <t>B+</t>
  </si>
  <si>
    <t>B1</t>
  </si>
  <si>
    <t>B</t>
  </si>
  <si>
    <t>B2</t>
  </si>
  <si>
    <t>B-</t>
  </si>
  <si>
    <t>B3</t>
  </si>
  <si>
    <t>Current Vulnarable to Default</t>
  </si>
  <si>
    <t xml:space="preserve">DISTRESS </t>
  </si>
  <si>
    <t>CCC+</t>
  </si>
  <si>
    <t>Caa</t>
  </si>
  <si>
    <t>CCC</t>
  </si>
  <si>
    <t>CCC-</t>
  </si>
  <si>
    <t>CC</t>
  </si>
  <si>
    <t>C</t>
  </si>
  <si>
    <t>Default</t>
  </si>
  <si>
    <t>DEFAULT</t>
  </si>
  <si>
    <t>D</t>
  </si>
  <si>
    <t>DDD,DD,D</t>
  </si>
  <si>
    <t>Figure 11.1</t>
  </si>
  <si>
    <t>BOND VALUATION &amp; ANALYSIS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</si>
  <si>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</si>
  <si>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</si>
  <si>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</si>
  <si>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</si>
  <si>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</si>
  <si>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</si>
  <si>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</si>
  <si>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</si>
  <si>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</si>
  <si>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</si>
  <si>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MARKET PRICE/INVOICE PRICE (Manual)</t>
  </si>
  <si>
    <t>Manual Example:</t>
  </si>
  <si>
    <t>Bought (Traded) F&amp;A the 7.50% Corporate Bond at 98.50 on Thursday, January 17, 2019</t>
  </si>
  <si>
    <t>Trading Date  =</t>
  </si>
  <si>
    <t>Settlement Date (T+3 BD) =</t>
  </si>
  <si>
    <t>Market Price =</t>
  </si>
  <si>
    <t>=PRICE(M4,M5,M6,M7,M8,M9)</t>
  </si>
  <si>
    <t>Coupon Rate =</t>
  </si>
  <si>
    <t>=COUPDAYBS(M4,M5,2,1)</t>
  </si>
  <si>
    <t>Coupon Dates =</t>
  </si>
  <si>
    <t xml:space="preserve"> F&amp;A</t>
  </si>
  <si>
    <t>(Feb 28 and Aug 31)</t>
  </si>
  <si>
    <t>=COUPDAYS(M4,M5,2,1)</t>
  </si>
  <si>
    <t>Face Value =</t>
  </si>
  <si>
    <t>=(M12/M13)*M6*100/2</t>
  </si>
  <si>
    <t>Accrued Basis=</t>
  </si>
  <si>
    <t>Days</t>
  </si>
  <si>
    <t>=+M11+M14</t>
  </si>
  <si>
    <t>Market Price Paid =</t>
  </si>
  <si>
    <t>Accrued Expenses =</t>
  </si>
  <si>
    <t xml:space="preserve">Invoice Price = </t>
  </si>
  <si>
    <t>1/22</t>
  </si>
  <si>
    <t>8/31</t>
  </si>
  <si>
    <t>9/30</t>
  </si>
  <si>
    <t>10/31</t>
  </si>
  <si>
    <t>11/30</t>
  </si>
  <si>
    <t>12/31</t>
  </si>
  <si>
    <t>1/31</t>
  </si>
  <si>
    <t>2/28</t>
  </si>
  <si>
    <t>DAYS =</t>
  </si>
  <si>
    <t>Total Days=</t>
  </si>
  <si>
    <t>MARKET PRICE/INVOICE PRICE (Using Excel)</t>
  </si>
  <si>
    <t>CALCULATING THE PRICE</t>
  </si>
  <si>
    <t>CALCULATING THE YTM</t>
  </si>
  <si>
    <t>Settlement Date=</t>
  </si>
  <si>
    <t>Maturity Date=</t>
  </si>
  <si>
    <t>Coupon Rate=</t>
  </si>
  <si>
    <t>Yield to Maturity=</t>
  </si>
  <si>
    <t xml:space="preserve">Market Price = </t>
  </si>
  <si>
    <t>Redemption value %=</t>
  </si>
  <si>
    <t>Coupon Pmts per year=</t>
  </si>
  <si>
    <t>Flat Price (% Par)</t>
  </si>
  <si>
    <t>Yield to Maturity (YTM) =</t>
  </si>
  <si>
    <t>Day since last coupon=</t>
  </si>
  <si>
    <t>Days in coupon period=</t>
  </si>
  <si>
    <t>Accrued Interest=</t>
  </si>
  <si>
    <t>Invoice Price=</t>
  </si>
  <si>
    <t>Current Yield =</t>
  </si>
  <si>
    <t>YIELD TO MAURITY (YTM), YIELD TO CALL (YTC), YIELD TO WORSE (YTW) and CURRENT YIELD (CY)</t>
  </si>
  <si>
    <t>YTM</t>
  </si>
  <si>
    <t>YTC1</t>
  </si>
  <si>
    <t>YTC2</t>
  </si>
  <si>
    <t>YTC3</t>
  </si>
  <si>
    <t>YTC4</t>
  </si>
  <si>
    <t>YTC5</t>
  </si>
  <si>
    <t>Issuance Date =</t>
  </si>
  <si>
    <t>Trading Date =</t>
  </si>
  <si>
    <t>Settlement Date (T+3)</t>
  </si>
  <si>
    <t>Maturity Date / Call Date</t>
  </si>
  <si>
    <t>Coupon Rate</t>
  </si>
  <si>
    <t xml:space="preserve">Market Price </t>
  </si>
  <si>
    <t>Redemption (Final payment % of Par)</t>
  </si>
  <si>
    <t>Frequency (payments per year)</t>
  </si>
  <si>
    <t>Call Provision</t>
  </si>
  <si>
    <t>YTM=</t>
  </si>
  <si>
    <t>YTC=</t>
  </si>
  <si>
    <t>YTW=</t>
  </si>
  <si>
    <t>CY=</t>
  </si>
  <si>
    <t>Face Value</t>
  </si>
  <si>
    <t>Coupon Payment $</t>
  </si>
  <si>
    <t>Years (Term)</t>
  </si>
  <si>
    <t>Years</t>
  </si>
  <si>
    <t>PRICE, ANNUAL DURATION AND CONVEXITY</t>
  </si>
  <si>
    <t>Coup. Rate=</t>
  </si>
  <si>
    <t>Int.Rate =</t>
  </si>
  <si>
    <t>Frequency =</t>
  </si>
  <si>
    <t>Time  until</t>
  </si>
  <si>
    <t>CF</t>
  </si>
  <si>
    <t>PV of CF</t>
  </si>
  <si>
    <t>%</t>
  </si>
  <si>
    <t>Payments</t>
  </si>
  <si>
    <t>Weight</t>
  </si>
  <si>
    <t>Duration</t>
  </si>
  <si>
    <t>t + t^2</t>
  </si>
  <si>
    <t>(t+t^2) x PV(CF)</t>
  </si>
  <si>
    <t>Price=</t>
  </si>
  <si>
    <t>Duration=</t>
  </si>
  <si>
    <t>Convexity =</t>
  </si>
  <si>
    <t>MACAULAY SEMI-ANNUAL DURATION AND CONVEXITY</t>
  </si>
  <si>
    <t>Sensitivity to interest rate movements</t>
  </si>
  <si>
    <t>IRR=</t>
  </si>
  <si>
    <t>If Yield Changes By</t>
  </si>
  <si>
    <t>Bond Price Will Change By</t>
  </si>
  <si>
    <t>Life in Years</t>
  </si>
  <si>
    <t>Yield</t>
  </si>
  <si>
    <t>Modified Duration Predicts</t>
  </si>
  <si>
    <t>Frequency</t>
  </si>
  <si>
    <t>Convexity Adjustment</t>
  </si>
  <si>
    <t>Bond Price</t>
  </si>
  <si>
    <t>Total Predicted Change</t>
  </si>
  <si>
    <t>Macaulay Duration</t>
  </si>
  <si>
    <t>Actual New Price</t>
  </si>
  <si>
    <t>Modified Duration</t>
  </si>
  <si>
    <t>Predicted New Price</t>
  </si>
  <si>
    <t>Convexity</t>
  </si>
  <si>
    <t>Difference</t>
  </si>
  <si>
    <t>Period</t>
  </si>
  <si>
    <t>Cash 
Flow</t>
  </si>
  <si>
    <t>PV Cash Flow</t>
  </si>
  <si>
    <t>Weighted</t>
  </si>
  <si>
    <t>Duration Calc</t>
  </si>
  <si>
    <t>Factor years</t>
  </si>
  <si>
    <t>Convexity
 Calc</t>
  </si>
  <si>
    <t>DURATION AND CONVEXITY FORMULAS</t>
  </si>
  <si>
    <t>PRICE</t>
  </si>
  <si>
    <t xml:space="preserve"> DURATION</t>
  </si>
  <si>
    <t>CONVEXITY</t>
  </si>
  <si>
    <t>BOND PRICING</t>
  </si>
  <si>
    <t>YIELD TO MATURITY</t>
  </si>
  <si>
    <t>Par/Face Value</t>
  </si>
  <si>
    <t>Semi-Annual Coupon =</t>
  </si>
  <si>
    <t>Coupon % =</t>
  </si>
  <si>
    <t>Semi-Annual Payment =</t>
  </si>
  <si>
    <t>every 6 mnts</t>
  </si>
  <si>
    <t>Maturity/Term =</t>
  </si>
  <si>
    <t>yrs</t>
  </si>
  <si>
    <t>Semi-Annual # Paymants =</t>
  </si>
  <si>
    <t>pmts</t>
  </si>
  <si>
    <t>Present Value of Coupon Pmts=</t>
  </si>
  <si>
    <t>=PV(B4/2,G5,-G4)</t>
  </si>
  <si>
    <t>Bond Pricing=</t>
  </si>
  <si>
    <t>Present Value of Principal Pmt=</t>
  </si>
  <si>
    <t>=PV(B4/2,G5,0,-B3,0)</t>
  </si>
  <si>
    <t>Redemption Value=</t>
  </si>
  <si>
    <t xml:space="preserve"> Total</t>
  </si>
  <si>
    <t>Coupon pmts per yr=</t>
  </si>
  <si>
    <t>Net Present Value</t>
  </si>
  <si>
    <t>Long-Form</t>
  </si>
  <si>
    <t>Coupon
Payment</t>
  </si>
  <si>
    <t>Principal
Payment</t>
  </si>
  <si>
    <t>Total Payment</t>
  </si>
  <si>
    <t>IRR =</t>
  </si>
  <si>
    <t>MARKET PRICE / INVOICE PRICE</t>
  </si>
  <si>
    <t>Figure 11.2</t>
  </si>
  <si>
    <t>Trading Date</t>
  </si>
  <si>
    <t xml:space="preserve"> F&amp;A (Feb 28 and Aug 31)</t>
  </si>
  <si>
    <t>Settlement Date 
(T+3 Business Days)</t>
  </si>
  <si>
    <t>Market Price</t>
  </si>
  <si>
    <t>Coupon Dates</t>
  </si>
  <si>
    <t>Accrued Basis</t>
  </si>
  <si>
    <t>I N P U T</t>
  </si>
  <si>
    <t>OUTPUT</t>
  </si>
  <si>
    <t xml:space="preserve">Market Price Paid </t>
  </si>
  <si>
    <t>Accrued Expenses</t>
  </si>
  <si>
    <t>Invoice Price</t>
  </si>
  <si>
    <t>Total Days</t>
  </si>
  <si>
    <t>Semi-Annual Coupon Payment</t>
  </si>
  <si>
    <t xml:space="preserve">     37.50 x (142 / 180) = $29.58</t>
  </si>
  <si>
    <t xml:space="preserve">    $98.50 x 10</t>
  </si>
  <si>
    <t xml:space="preserve">                    142 Days</t>
  </si>
  <si>
    <t xml:space="preserve">  T + 3 + 2 (wekends)</t>
  </si>
  <si>
    <t xml:space="preserve"> = YIELD (SD,MD,CR,MP,R,F)</t>
  </si>
  <si>
    <t>Settlement Date (SD) =</t>
  </si>
  <si>
    <t>Maturity Date (MD) =</t>
  </si>
  <si>
    <t>Coupon Rate (CR) =</t>
  </si>
  <si>
    <t xml:space="preserve">Market Price (MP) = </t>
  </si>
  <si>
    <t>Redemption value % (R) =</t>
  </si>
  <si>
    <t>Coupon Pmts per year (Frequency (F) =</t>
  </si>
  <si>
    <t>Remaining
Dates</t>
  </si>
  <si>
    <t xml:space="preserve"> #
 pmts</t>
  </si>
  <si>
    <t xml:space="preserve"> IRR =</t>
  </si>
  <si>
    <t>=IRR(I7:I21)*2</t>
  </si>
  <si>
    <t>Yield to Maturity Calculation</t>
  </si>
  <si>
    <t>Figure 11.3</t>
  </si>
  <si>
    <t>INTERNAL RATE OR RETURN METHOD</t>
  </si>
  <si>
    <t>EXCEL FORMULAS</t>
  </si>
  <si>
    <t>Coupon 
Dates</t>
  </si>
  <si>
    <t># 
Pmts</t>
  </si>
  <si>
    <t>N/A</t>
  </si>
  <si>
    <t>IRR  =</t>
  </si>
  <si>
    <t>Figure 11.4</t>
  </si>
  <si>
    <t>=IRR(I28:I45)*2</t>
  </si>
  <si>
    <t>=+$E$10/$E$13*$E$21+K12*10</t>
  </si>
  <si>
    <t>=IRR(E28:E45)*2</t>
  </si>
  <si>
    <t>=YIELD(SD,MD,CR,MP,R,F)</t>
  </si>
  <si>
    <t>=YIELD(J9,J9,J11,J12,J13)</t>
  </si>
  <si>
    <t>Settlement Date (T+3) (SD)</t>
  </si>
  <si>
    <t>Maturity Date / Call Date (MD)</t>
  </si>
  <si>
    <t>Coupon Rate (CR)</t>
  </si>
  <si>
    <t>Market Price  (MP)</t>
  </si>
  <si>
    <t>Redemption (Final payment % of Par) (R )</t>
  </si>
  <si>
    <t>Frequency (payments per year) (F)</t>
  </si>
  <si>
    <t>Payment $40</t>
  </si>
  <si>
    <t>Redemption $1020</t>
  </si>
  <si>
    <t xml:space="preserve">MARKET PRICE </t>
  </si>
  <si>
    <t>Coupon
Payment (CP)</t>
  </si>
  <si>
    <t>Present 
Value of 
(CP)</t>
  </si>
  <si>
    <t>#
Pmts</t>
  </si>
  <si>
    <t>Market Price (% Par)</t>
  </si>
  <si>
    <t>Market Value =</t>
  </si>
  <si>
    <t>USING PRESENT VALUE CALCULATIONS</t>
  </si>
  <si>
    <t>USING EXCEL FORMULAS</t>
  </si>
  <si>
    <t>=PRICE(D5,D6,D7,D8,D9,D10)</t>
  </si>
  <si>
    <t>=PRICE(SD,MD,CR,YTM,R,F)</t>
  </si>
  <si>
    <t>Coupon
Dates</t>
  </si>
  <si>
    <t xml:space="preserve">      =SUM(I7:I16)</t>
  </si>
  <si>
    <t>=+D12*10</t>
  </si>
  <si>
    <t>=COUPDAYBS(D5,D6,D10,0)</t>
  </si>
  <si>
    <t>=COUPDAYS(D5,D6,D10,0)</t>
  </si>
  <si>
    <t>=(D16/D17)*D7*1000/2</t>
  </si>
  <si>
    <t>=+D18+D14</t>
  </si>
  <si>
    <t>MARKET PRICE &amp; INVOICE PRICE CALCULATION</t>
  </si>
  <si>
    <t>Figure 11.5</t>
  </si>
  <si>
    <t>Figure 11.6</t>
  </si>
  <si>
    <t>NY</t>
  </si>
  <si>
    <t>PAR</t>
  </si>
  <si>
    <t>DISCOUNT</t>
  </si>
  <si>
    <t>PREMIUM</t>
  </si>
  <si>
    <t>MARKET VALUE</t>
  </si>
  <si>
    <t>YIELDS</t>
  </si>
  <si>
    <t xml:space="preserve">       CY</t>
  </si>
  <si>
    <t xml:space="preserve">         CY</t>
  </si>
  <si>
    <t xml:space="preserve">                        YTM</t>
  </si>
  <si>
    <t xml:space="preserve">               YTC</t>
  </si>
  <si>
    <t>MARKET PRICES VS YIELDS (INVERSE RELATIONSHIP)</t>
  </si>
  <si>
    <t>Figure 11.7</t>
  </si>
  <si>
    <t>The lowest  result between YTM and YTM is YTW</t>
  </si>
  <si>
    <t>BOND PRICE, DURATION &amp; CONVEXITY</t>
  </si>
  <si>
    <t>=-PV(E9/E10,E8*E10,E7*E6/E10,E6)</t>
  </si>
  <si>
    <t>=+E13/(1+E9/E8)/100</t>
  </si>
  <si>
    <t>=SUM(D20:D30)</t>
  </si>
  <si>
    <t>=+G31/2</t>
  </si>
  <si>
    <t>=+F21*B21</t>
  </si>
  <si>
    <t>=+B21+B21^2</t>
  </si>
  <si>
    <t>=+I21*D21</t>
  </si>
  <si>
    <t>=+C21/(1+($E$9/2))^B21</t>
  </si>
  <si>
    <t>=SUM(J20:J30)</t>
  </si>
  <si>
    <t>=SUM(G21:G30)</t>
  </si>
  <si>
    <t>=+E17/E11</t>
  </si>
  <si>
    <t>Figure 11.8</t>
  </si>
  <si>
    <t>A</t>
  </si>
  <si>
    <t>AA</t>
  </si>
  <si>
    <t>Frequency (Coupon Pmts per year)=</t>
  </si>
  <si>
    <t>=+I18/10</t>
  </si>
  <si>
    <t xml:space="preserve"> =+H7/((1+$D$9/2)^F7)</t>
  </si>
  <si>
    <t xml:space="preserve">      or =PV($D$9/2,F7,0,H7)</t>
  </si>
  <si>
    <t>=+$D$8/2*$D$5+$D$5</t>
  </si>
  <si>
    <t xml:space="preserve">=+$D$8/2*$D$5 </t>
  </si>
  <si>
    <t>=+E10*E21/2</t>
  </si>
  <si>
    <t xml:space="preserve"> April 15, October 15</t>
  </si>
  <si>
    <t>10/15</t>
  </si>
  <si>
    <t>2/29</t>
  </si>
  <si>
    <t>1/17</t>
  </si>
  <si>
    <t>Figure 11.9</t>
  </si>
  <si>
    <t xml:space="preserve">                    153 Days</t>
  </si>
  <si>
    <t xml:space="preserve">     31.25 x (153 / 180) = $26.56</t>
  </si>
  <si>
    <t xml:space="preserve">    $97.50 x 10</t>
  </si>
  <si>
    <t>Figure 11.10</t>
  </si>
  <si>
    <t>Non-Collable</t>
  </si>
  <si>
    <t>Remaining Years</t>
  </si>
  <si>
    <t>(Maturity -Settment Date )/365 days)</t>
  </si>
  <si>
    <t>Figure 11.11</t>
  </si>
  <si>
    <t>Figure 11.12</t>
  </si>
  <si>
    <t>=SUM(K20:K29)</t>
  </si>
  <si>
    <t>=NPV(C8/2,C20:C29)</t>
  </si>
  <si>
    <t>=IRR(C19:C29)*2</t>
  </si>
  <si>
    <t>=K30/((1+C8)^2)</t>
  </si>
  <si>
    <t>=K31/(D32*C9^2)</t>
  </si>
  <si>
    <t>=+E22*E13/(E11*10)</t>
  </si>
  <si>
    <t>=+D20/$D$32</t>
  </si>
  <si>
    <t>=+B20+B20^2</t>
  </si>
  <si>
    <t>Sum Convexity Calc</t>
  </si>
  <si>
    <t>Discounted Conv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</si>
</sst>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0.000"/>
    <numFmt numFmtId="166" formatCode="0.000%"/>
    <numFmt numFmtId="167" formatCode="_(* #,##0.000_);_(* \(#,##0.000\);_(* &quot;-&quot;??_);_(@_)"/>
    <numFmt numFmtId="168" formatCode="0.0000%"/>
    <numFmt numFmtId="169" formatCode="_(* #,##0_);_(* \(#,##0\);_(* &quot;-&quot;??_);_(@_)"/>
    <numFmt numFmtId="170" formatCode="0.0000"/>
    <numFmt numFmtId="171" formatCode="0.00000"/>
    <numFmt numFmtId="172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i/>
      <sz val="10"/>
      <color indexed="9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i/>
      <sz val="10"/>
      <color indexed="9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</cellStyleXfs>
  <cellXfs count="347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3" borderId="0" xfId="0" applyFill="1" applyAlignment="1">
      <alignment horizontal="center"/>
    </xf>
    <xf numFmtId="0" fontId="5" fillId="3" borderId="0" xfId="4" applyFill="1" applyAlignment="1">
      <alignment horizontal="center"/>
    </xf>
    <xf numFmtId="0" fontId="6" fillId="4" borderId="0" xfId="4" applyFont="1" applyFill="1"/>
    <xf numFmtId="0" fontId="7" fillId="4" borderId="0" xfId="0" applyFont="1" applyFill="1"/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0" fillId="0" borderId="0" xfId="1" applyFont="1"/>
    <xf numFmtId="165" fontId="9" fillId="0" borderId="0" xfId="0" quotePrefix="1" applyNumberFormat="1" applyFont="1"/>
    <xf numFmtId="166" fontId="0" fillId="0" borderId="0" xfId="3" applyNumberFormat="1" applyFont="1"/>
    <xf numFmtId="0" fontId="9" fillId="0" borderId="0" xfId="0" quotePrefix="1" applyFont="1"/>
    <xf numFmtId="6" fontId="0" fillId="0" borderId="0" xfId="0" applyNumberFormat="1"/>
    <xf numFmtId="8" fontId="0" fillId="0" borderId="0" xfId="0" applyNumberFormat="1"/>
    <xf numFmtId="8" fontId="0" fillId="5" borderId="8" xfId="0" applyNumberFormat="1" applyFill="1" applyBorder="1"/>
    <xf numFmtId="0" fontId="5" fillId="0" borderId="0" xfId="0" quotePrefix="1" applyFont="1" applyAlignment="1">
      <alignment horizontal="center"/>
    </xf>
    <xf numFmtId="8" fontId="10" fillId="0" borderId="0" xfId="0" applyNumberFormat="1" applyFont="1" applyAlignment="1">
      <alignment horizontal="left"/>
    </xf>
    <xf numFmtId="0" fontId="0" fillId="0" borderId="7" xfId="0" applyBorder="1"/>
    <xf numFmtId="0" fontId="10" fillId="0" borderId="0" xfId="0" quotePrefix="1" applyFont="1"/>
    <xf numFmtId="0" fontId="5" fillId="0" borderId="0" xfId="0" quotePrefix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7" fillId="4" borderId="0" xfId="4" applyFont="1" applyFill="1"/>
    <xf numFmtId="0" fontId="5" fillId="0" borderId="0" xfId="4"/>
    <xf numFmtId="0" fontId="11" fillId="0" borderId="0" xfId="4" applyFont="1"/>
    <xf numFmtId="14" fontId="5" fillId="0" borderId="0" xfId="4" applyNumberFormat="1"/>
    <xf numFmtId="14" fontId="10" fillId="0" borderId="0" xfId="4" applyNumberFormat="1" applyFont="1"/>
    <xf numFmtId="166" fontId="5" fillId="0" borderId="0" xfId="5" applyNumberFormat="1"/>
    <xf numFmtId="0" fontId="10" fillId="0" borderId="0" xfId="4" applyFont="1"/>
    <xf numFmtId="166" fontId="10" fillId="0" borderId="0" xfId="4" applyNumberFormat="1" applyFont="1"/>
    <xf numFmtId="167" fontId="10" fillId="0" borderId="0" xfId="6" applyNumberFormat="1" applyFont="1"/>
    <xf numFmtId="0" fontId="12" fillId="0" borderId="0" xfId="4" applyFont="1"/>
    <xf numFmtId="165" fontId="10" fillId="5" borderId="8" xfId="4" quotePrefix="1" applyNumberFormat="1" applyFont="1" applyFill="1" applyBorder="1"/>
    <xf numFmtId="165" fontId="9" fillId="0" borderId="0" xfId="4" quotePrefix="1" applyNumberFormat="1" applyFont="1"/>
    <xf numFmtId="166" fontId="10" fillId="6" borderId="8" xfId="5" quotePrefix="1" applyNumberFormat="1" applyFont="1" applyFill="1" applyBorder="1"/>
    <xf numFmtId="0" fontId="5" fillId="0" borderId="0" xfId="4" quotePrefix="1"/>
    <xf numFmtId="0" fontId="9" fillId="0" borderId="0" xfId="4" quotePrefix="1" applyFont="1"/>
    <xf numFmtId="0" fontId="5" fillId="3" borderId="0" xfId="0" applyFont="1" applyFill="1" applyAlignment="1">
      <alignment horizontal="center"/>
    </xf>
    <xf numFmtId="0" fontId="6" fillId="4" borderId="0" xfId="0" applyFont="1" applyFill="1"/>
    <xf numFmtId="0" fontId="10" fillId="6" borderId="11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10" fillId="0" borderId="0" xfId="0" applyNumberFormat="1" applyFont="1"/>
    <xf numFmtId="1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0" fontId="10" fillId="0" borderId="0" xfId="0" applyNumberFormat="1" applyFont="1"/>
    <xf numFmtId="43" fontId="10" fillId="0" borderId="0" xfId="1" applyFont="1" applyAlignment="1">
      <alignment horizontal="right"/>
    </xf>
    <xf numFmtId="43" fontId="10" fillId="0" borderId="0" xfId="1" applyFont="1"/>
    <xf numFmtId="43" fontId="0" fillId="0" borderId="0" xfId="1" applyFont="1" applyAlignment="1">
      <alignment horizontal="right"/>
    </xf>
    <xf numFmtId="43" fontId="0" fillId="0" borderId="0" xfId="0" applyNumberFormat="1"/>
    <xf numFmtId="166" fontId="10" fillId="5" borderId="8" xfId="3" applyNumberFormat="1" applyFont="1" applyFill="1" applyBorder="1" applyAlignment="1">
      <alignment horizontal="center"/>
    </xf>
    <xf numFmtId="168" fontId="10" fillId="5" borderId="11" xfId="3" applyNumberFormat="1" applyFont="1" applyFill="1" applyBorder="1" applyAlignment="1">
      <alignment horizontal="center"/>
    </xf>
    <xf numFmtId="166" fontId="10" fillId="5" borderId="11" xfId="3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0" fillId="5" borderId="8" xfId="0" applyNumberFormat="1" applyFont="1" applyFill="1" applyBorder="1" applyAlignment="1">
      <alignment horizontal="center"/>
    </xf>
    <xf numFmtId="168" fontId="10" fillId="5" borderId="8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1" applyNumberFormat="1" applyFont="1"/>
    <xf numFmtId="10" fontId="0" fillId="0" borderId="0" xfId="0" applyNumberFormat="1"/>
    <xf numFmtId="44" fontId="0" fillId="0" borderId="0" xfId="0" applyNumberFormat="1"/>
    <xf numFmtId="44" fontId="0" fillId="0" borderId="0" xfId="2" applyFont="1"/>
    <xf numFmtId="0" fontId="10" fillId="6" borderId="0" xfId="0" applyFont="1" applyFill="1"/>
    <xf numFmtId="0" fontId="10" fillId="6" borderId="0" xfId="0" applyFont="1" applyFill="1" applyAlignment="1">
      <alignment horizontal="center"/>
    </xf>
    <xf numFmtId="14" fontId="10" fillId="6" borderId="0" xfId="0" applyNumberFormat="1" applyFont="1" applyFill="1" applyAlignment="1">
      <alignment horizontal="center"/>
    </xf>
    <xf numFmtId="0" fontId="10" fillId="6" borderId="0" xfId="0" quotePrefix="1" applyFont="1" applyFill="1" applyAlignment="1">
      <alignment horizontal="center"/>
    </xf>
    <xf numFmtId="0" fontId="10" fillId="6" borderId="12" xfId="0" applyFont="1" applyFill="1" applyBorder="1"/>
    <xf numFmtId="0" fontId="10" fillId="6" borderId="12" xfId="0" applyFont="1" applyFill="1" applyBorder="1" applyAlignment="1">
      <alignment horizontal="center"/>
    </xf>
    <xf numFmtId="14" fontId="10" fillId="6" borderId="12" xfId="0" applyNumberFormat="1" applyFont="1" applyFill="1" applyBorder="1" applyAlignment="1">
      <alignment horizontal="center"/>
    </xf>
    <xf numFmtId="0" fontId="10" fillId="6" borderId="12" xfId="0" quotePrefix="1" applyFont="1" applyFill="1" applyBorder="1" applyAlignment="1">
      <alignment horizontal="center" shrinkToFit="1"/>
    </xf>
    <xf numFmtId="0" fontId="5" fillId="0" borderId="0" xfId="0" applyFont="1" applyAlignment="1">
      <alignment horizontal="center"/>
    </xf>
    <xf numFmtId="165" fontId="10" fillId="0" borderId="0" xfId="0" applyNumberFormat="1" applyFont="1"/>
    <xf numFmtId="170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5" fillId="0" borderId="0" xfId="0" applyNumberFormat="1" applyFont="1" applyAlignment="1">
      <alignment horizontal="center"/>
    </xf>
    <xf numFmtId="10" fontId="0" fillId="0" borderId="13" xfId="0" applyNumberFormat="1" applyBorder="1"/>
    <xf numFmtId="0" fontId="10" fillId="5" borderId="14" xfId="0" applyFont="1" applyFill="1" applyBorder="1" applyAlignment="1">
      <alignment horizontal="right"/>
    </xf>
    <xf numFmtId="165" fontId="10" fillId="5" borderId="15" xfId="0" applyNumberFormat="1" applyFont="1" applyFill="1" applyBorder="1"/>
    <xf numFmtId="170" fontId="10" fillId="5" borderId="15" xfId="0" applyNumberFormat="1" applyFont="1" applyFill="1" applyBorder="1"/>
    <xf numFmtId="0" fontId="10" fillId="5" borderId="14" xfId="0" applyFont="1" applyFill="1" applyBorder="1"/>
    <xf numFmtId="165" fontId="10" fillId="5" borderId="15" xfId="0" applyNumberFormat="1" applyFont="1" applyFill="1" applyBorder="1" applyAlignment="1">
      <alignment horizontal="center"/>
    </xf>
    <xf numFmtId="0" fontId="13" fillId="0" borderId="0" xfId="0" applyFont="1"/>
    <xf numFmtId="0" fontId="10" fillId="6" borderId="14" xfId="0" quotePrefix="1" applyFont="1" applyFill="1" applyBorder="1" applyAlignment="1">
      <alignment horizontal="center"/>
    </xf>
    <xf numFmtId="168" fontId="10" fillId="6" borderId="15" xfId="0" applyNumberFormat="1" applyFont="1" applyFill="1" applyBorder="1" applyAlignment="1">
      <alignment horizontal="center"/>
    </xf>
    <xf numFmtId="8" fontId="15" fillId="0" borderId="0" xfId="7" quotePrefix="1" applyNumberFormat="1" applyFont="1"/>
    <xf numFmtId="4" fontId="14" fillId="0" borderId="0" xfId="1" quotePrefix="1" applyNumberFormat="1" applyFont="1"/>
    <xf numFmtId="0" fontId="14" fillId="0" borderId="0" xfId="7"/>
    <xf numFmtId="169" fontId="16" fillId="0" borderId="0" xfId="1" applyNumberFormat="1" applyFont="1" applyProtection="1">
      <protection locked="0"/>
    </xf>
    <xf numFmtId="0" fontId="17" fillId="0" borderId="1" xfId="7" applyFont="1" applyBorder="1"/>
    <xf numFmtId="10" fontId="16" fillId="0" borderId="1" xfId="7" applyNumberFormat="1" applyFont="1" applyBorder="1" applyProtection="1">
      <protection locked="0"/>
    </xf>
    <xf numFmtId="10" fontId="16" fillId="0" borderId="0" xfId="7" applyNumberFormat="1" applyFont="1" applyProtection="1">
      <protection locked="0"/>
    </xf>
    <xf numFmtId="0" fontId="18" fillId="0" borderId="0" xfId="7" applyFont="1" applyProtection="1">
      <protection locked="0"/>
    </xf>
    <xf numFmtId="10" fontId="14" fillId="0" borderId="0" xfId="3" quotePrefix="1" applyNumberFormat="1" applyFont="1"/>
    <xf numFmtId="4" fontId="15" fillId="0" borderId="0" xfId="7" quotePrefix="1" applyNumberFormat="1" applyFont="1"/>
    <xf numFmtId="0" fontId="16" fillId="0" borderId="0" xfId="7" applyFont="1" applyProtection="1">
      <protection locked="0"/>
    </xf>
    <xf numFmtId="9" fontId="18" fillId="0" borderId="0" xfId="7" applyNumberFormat="1" applyFont="1" applyProtection="1">
      <protection locked="0"/>
    </xf>
    <xf numFmtId="4" fontId="19" fillId="0" borderId="0" xfId="1" quotePrefix="1" applyNumberFormat="1" applyFont="1"/>
    <xf numFmtId="0" fontId="15" fillId="0" borderId="0" xfId="7" applyFont="1"/>
    <xf numFmtId="169" fontId="15" fillId="0" borderId="0" xfId="1" applyNumberFormat="1" applyFont="1" applyProtection="1">
      <protection locked="0"/>
    </xf>
    <xf numFmtId="8" fontId="15" fillId="0" borderId="0" xfId="1" applyNumberFormat="1" applyFont="1" applyProtection="1">
      <protection locked="0"/>
    </xf>
    <xf numFmtId="4" fontId="14" fillId="0" borderId="1" xfId="1" quotePrefix="1" applyNumberFormat="1" applyFont="1" applyBorder="1"/>
    <xf numFmtId="4" fontId="15" fillId="0" borderId="1" xfId="1" quotePrefix="1" applyNumberFormat="1" applyFont="1" applyBorder="1"/>
    <xf numFmtId="0" fontId="17" fillId="5" borderId="14" xfId="7" applyFont="1" applyFill="1" applyBorder="1"/>
    <xf numFmtId="0" fontId="10" fillId="5" borderId="16" xfId="0" applyFont="1" applyFill="1" applyBorder="1"/>
    <xf numFmtId="8" fontId="17" fillId="5" borderId="15" xfId="7" quotePrefix="1" applyNumberFormat="1" applyFont="1" applyFill="1" applyBorder="1"/>
    <xf numFmtId="4" fontId="14" fillId="0" borderId="0" xfId="7" quotePrefix="1" applyNumberFormat="1"/>
    <xf numFmtId="43" fontId="17" fillId="5" borderId="15" xfId="1" quotePrefix="1" applyFont="1" applyFill="1" applyBorder="1"/>
    <xf numFmtId="8" fontId="14" fillId="0" borderId="0" xfId="7" quotePrefix="1" applyNumberFormat="1"/>
    <xf numFmtId="43" fontId="14" fillId="0" borderId="0" xfId="1" quotePrefix="1" applyFont="1"/>
    <xf numFmtId="8" fontId="14" fillId="0" borderId="1" xfId="7" quotePrefix="1" applyNumberFormat="1" applyBorder="1"/>
    <xf numFmtId="8" fontId="15" fillId="0" borderId="1" xfId="7" quotePrefix="1" applyNumberFormat="1" applyFont="1" applyBorder="1"/>
    <xf numFmtId="43" fontId="15" fillId="0" borderId="0" xfId="1" quotePrefix="1" applyFont="1"/>
    <xf numFmtId="0" fontId="14" fillId="0" borderId="16" xfId="7" applyBorder="1"/>
    <xf numFmtId="43" fontId="15" fillId="0" borderId="0" xfId="7" quotePrefix="1" applyNumberFormat="1" applyFont="1"/>
    <xf numFmtId="0" fontId="17" fillId="6" borderId="12" xfId="7" applyFont="1" applyFill="1" applyBorder="1" applyAlignment="1">
      <alignment horizontal="center" wrapText="1"/>
    </xf>
    <xf numFmtId="0" fontId="17" fillId="6" borderId="16" xfId="7" applyFont="1" applyFill="1" applyBorder="1" applyAlignment="1">
      <alignment horizontal="center" wrapText="1"/>
    </xf>
    <xf numFmtId="0" fontId="14" fillId="0" borderId="0" xfId="7" applyAlignment="1">
      <alignment horizontal="center"/>
    </xf>
    <xf numFmtId="8" fontId="14" fillId="0" borderId="0" xfId="1" applyNumberFormat="1" applyFont="1"/>
    <xf numFmtId="43" fontId="14" fillId="0" borderId="0" xfId="1" applyFont="1"/>
    <xf numFmtId="0" fontId="19" fillId="0" borderId="0" xfId="7" applyFont="1"/>
    <xf numFmtId="166" fontId="0" fillId="0" borderId="0" xfId="3" applyNumberFormat="1" applyFont="1" applyAlignment="1">
      <alignment horizontal="center"/>
    </xf>
    <xf numFmtId="171" fontId="0" fillId="0" borderId="0" xfId="0" applyNumberFormat="1"/>
    <xf numFmtId="165" fontId="0" fillId="0" borderId="0" xfId="0" applyNumberFormat="1"/>
    <xf numFmtId="43" fontId="14" fillId="0" borderId="0" xfId="7" applyNumberFormat="1"/>
    <xf numFmtId="43" fontId="14" fillId="0" borderId="1" xfId="1" quotePrefix="1" applyFont="1" applyBorder="1"/>
    <xf numFmtId="171" fontId="0" fillId="0" borderId="1" xfId="0" applyNumberFormat="1" applyBorder="1"/>
    <xf numFmtId="43" fontId="14" fillId="0" borderId="1" xfId="7" applyNumberFormat="1" applyBorder="1"/>
    <xf numFmtId="43" fontId="17" fillId="0" borderId="0" xfId="1" applyFont="1" applyAlignment="1">
      <alignment horizontal="right"/>
    </xf>
    <xf numFmtId="8" fontId="14" fillId="0" borderId="0" xfId="7" applyNumberFormat="1"/>
    <xf numFmtId="43" fontId="17" fillId="5" borderId="15" xfId="7" applyNumberFormat="1" applyFont="1" applyFill="1" applyBorder="1"/>
    <xf numFmtId="171" fontId="10" fillId="5" borderId="15" xfId="0" applyNumberFormat="1" applyFont="1" applyFill="1" applyBorder="1"/>
    <xf numFmtId="43" fontId="15" fillId="0" borderId="0" xfId="1" applyFont="1"/>
    <xf numFmtId="0" fontId="0" fillId="0" borderId="17" xfId="0" applyBorder="1"/>
    <xf numFmtId="0" fontId="0" fillId="0" borderId="18" xfId="0" applyBorder="1"/>
    <xf numFmtId="10" fontId="0" fillId="0" borderId="0" xfId="3" applyNumberFormat="1" applyFont="1"/>
    <xf numFmtId="8" fontId="0" fillId="0" borderId="0" xfId="0" quotePrefix="1" applyNumberFormat="1"/>
    <xf numFmtId="8" fontId="9" fillId="7" borderId="0" xfId="0" quotePrefix="1" applyNumberFormat="1" applyFont="1" applyFill="1"/>
    <xf numFmtId="8" fontId="0" fillId="0" borderId="11" xfId="0" quotePrefix="1" applyNumberFormat="1" applyBorder="1"/>
    <xf numFmtId="8" fontId="0" fillId="0" borderId="1" xfId="0" quotePrefix="1" applyNumberFormat="1" applyBorder="1"/>
    <xf numFmtId="166" fontId="0" fillId="0" borderId="0" xfId="3" quotePrefix="1" applyNumberFormat="1" applyFont="1"/>
    <xf numFmtId="8" fontId="20" fillId="0" borderId="0" xfId="0" quotePrefix="1" applyNumberFormat="1" applyFont="1"/>
    <xf numFmtId="0" fontId="10" fillId="0" borderId="14" xfId="0" applyFont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10" fillId="6" borderId="19" xfId="0" applyFont="1" applyFill="1" applyBorder="1" applyAlignment="1">
      <alignment horizontal="center"/>
    </xf>
    <xf numFmtId="0" fontId="10" fillId="6" borderId="12" xfId="0" applyFont="1" applyFill="1" applyBorder="1" applyAlignment="1">
      <alignment wrapText="1"/>
    </xf>
    <xf numFmtId="0" fontId="10" fillId="6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/>
    <xf numFmtId="44" fontId="10" fillId="0" borderId="23" xfId="2" applyFont="1" applyBorder="1"/>
    <xf numFmtId="0" fontId="0" fillId="0" borderId="17" xfId="0" applyBorder="1" applyAlignment="1">
      <alignment horizontal="center"/>
    </xf>
    <xf numFmtId="44" fontId="0" fillId="0" borderId="18" xfId="0" applyNumberFormat="1" applyBorder="1"/>
    <xf numFmtId="0" fontId="8" fillId="0" borderId="14" xfId="0" applyFont="1" applyBorder="1"/>
    <xf numFmtId="0" fontId="8" fillId="0" borderId="16" xfId="0" applyFont="1" applyBorder="1"/>
    <xf numFmtId="168" fontId="8" fillId="0" borderId="8" xfId="3" applyNumberFormat="1" applyFont="1" applyBorder="1"/>
    <xf numFmtId="166" fontId="0" fillId="0" borderId="15" xfId="3" applyNumberFormat="1" applyFont="1" applyBorder="1"/>
    <xf numFmtId="0" fontId="10" fillId="6" borderId="14" xfId="0" applyFont="1" applyFill="1" applyBorder="1"/>
    <xf numFmtId="0" fontId="10" fillId="6" borderId="16" xfId="0" applyFont="1" applyFill="1" applyBorder="1"/>
    <xf numFmtId="10" fontId="10" fillId="6" borderId="15" xfId="0" applyNumberFormat="1" applyFont="1" applyFill="1" applyBorder="1" applyAlignment="1">
      <alignment horizontal="center"/>
    </xf>
    <xf numFmtId="0" fontId="6" fillId="0" borderId="0" xfId="4" applyFont="1"/>
    <xf numFmtId="0" fontId="7" fillId="0" borderId="0" xfId="0" applyFont="1"/>
    <xf numFmtId="0" fontId="0" fillId="0" borderId="24" xfId="0" quotePrefix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0" fillId="0" borderId="25" xfId="0" applyBorder="1"/>
    <xf numFmtId="0" fontId="2" fillId="0" borderId="0" xfId="0" applyFont="1" applyAlignment="1">
      <alignment horizontal="center" vertical="center" textRotation="90" wrapText="1"/>
    </xf>
    <xf numFmtId="8" fontId="0" fillId="0" borderId="13" xfId="0" applyNumberFormat="1" applyBorder="1"/>
    <xf numFmtId="0" fontId="0" fillId="0" borderId="26" xfId="0" applyBorder="1"/>
    <xf numFmtId="8" fontId="0" fillId="5" borderId="9" xfId="0" applyNumberFormat="1" applyFill="1" applyBorder="1"/>
    <xf numFmtId="8" fontId="0" fillId="5" borderId="24" xfId="0" applyNumberFormat="1" applyFill="1" applyBorder="1"/>
    <xf numFmtId="0" fontId="0" fillId="5" borderId="10" xfId="0" applyFill="1" applyBorder="1"/>
    <xf numFmtId="0" fontId="10" fillId="0" borderId="14" xfId="0" applyFont="1" applyBorder="1" applyAlignment="1">
      <alignment horizontal="right"/>
    </xf>
    <xf numFmtId="0" fontId="10" fillId="5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0" fillId="0" borderId="0" xfId="4" applyNumberFormat="1" applyFont="1" applyAlignment="1">
      <alignment horizontal="center"/>
    </xf>
    <xf numFmtId="14" fontId="5" fillId="0" borderId="0" xfId="4" applyNumberFormat="1" applyAlignment="1">
      <alignment horizontal="center"/>
    </xf>
    <xf numFmtId="166" fontId="5" fillId="0" borderId="0" xfId="5" applyNumberFormat="1" applyAlignment="1">
      <alignment horizontal="center"/>
    </xf>
    <xf numFmtId="167" fontId="10" fillId="0" borderId="0" xfId="6" applyNumberFormat="1" applyFont="1" applyAlignment="1">
      <alignment horizontal="center"/>
    </xf>
    <xf numFmtId="0" fontId="5" fillId="0" borderId="0" xfId="4" applyAlignment="1">
      <alignment horizontal="center"/>
    </xf>
    <xf numFmtId="166" fontId="10" fillId="6" borderId="8" xfId="5" quotePrefix="1" applyNumberFormat="1" applyFont="1" applyFill="1" applyBorder="1" applyAlignment="1">
      <alignment horizontal="center"/>
    </xf>
    <xf numFmtId="0" fontId="2" fillId="0" borderId="0" xfId="0" quotePrefix="1" applyFont="1"/>
    <xf numFmtId="0" fontId="2" fillId="0" borderId="0" xfId="0" applyFont="1"/>
    <xf numFmtId="166" fontId="2" fillId="5" borderId="8" xfId="0" quotePrefix="1" applyNumberFormat="1" applyFont="1" applyFill="1" applyBorder="1"/>
    <xf numFmtId="0" fontId="2" fillId="0" borderId="0" xfId="0" applyFont="1" applyAlignment="1">
      <alignment horizontal="right"/>
    </xf>
    <xf numFmtId="0" fontId="7" fillId="4" borderId="0" xfId="4" applyFont="1" applyFill="1" applyAlignment="1">
      <alignment horizontal="center"/>
    </xf>
    <xf numFmtId="0" fontId="21" fillId="0" borderId="0" xfId="0" quotePrefix="1" applyFont="1" applyAlignment="1">
      <alignment horizontal="right" vertical="center"/>
    </xf>
    <xf numFmtId="0" fontId="7" fillId="4" borderId="0" xfId="4" applyFont="1" applyFill="1" applyAlignment="1">
      <alignment horizontal="center" vertical="center"/>
    </xf>
    <xf numFmtId="0" fontId="5" fillId="0" borderId="0" xfId="4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6" fontId="2" fillId="0" borderId="0" xfId="0" applyNumberFormat="1" applyFont="1"/>
    <xf numFmtId="1" fontId="2" fillId="0" borderId="0" xfId="0" applyNumberFormat="1" applyFont="1"/>
    <xf numFmtId="0" fontId="5" fillId="9" borderId="1" xfId="0" applyFont="1" applyFill="1" applyBorder="1" applyAlignment="1">
      <alignment horizontal="center"/>
    </xf>
    <xf numFmtId="0" fontId="0" fillId="0" borderId="0" xfId="0" applyAlignment="1">
      <alignment shrinkToFit="1"/>
    </xf>
    <xf numFmtId="14" fontId="10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166" fontId="2" fillId="5" borderId="11" xfId="0" applyNumberFormat="1" applyFont="1" applyFill="1" applyBorder="1" applyAlignment="1">
      <alignment horizontal="right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 shrinkToFit="1"/>
    </xf>
    <xf numFmtId="0" fontId="10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166" fontId="2" fillId="5" borderId="11" xfId="0" quotePrefix="1" applyNumberFormat="1" applyFont="1" applyFill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quotePrefix="1" applyFont="1" applyAlignment="1">
      <alignment horizontal="right"/>
    </xf>
    <xf numFmtId="43" fontId="2" fillId="0" borderId="0" xfId="1" quotePrefix="1" applyFont="1"/>
    <xf numFmtId="0" fontId="2" fillId="10" borderId="0" xfId="0" applyFont="1" applyFill="1"/>
    <xf numFmtId="0" fontId="10" fillId="10" borderId="0" xfId="0" applyFont="1" applyFill="1"/>
    <xf numFmtId="166" fontId="10" fillId="5" borderId="11" xfId="3" quotePrefix="1" applyNumberFormat="1" applyFont="1" applyFill="1" applyBorder="1" applyAlignment="1">
      <alignment horizontal="center"/>
    </xf>
    <xf numFmtId="0" fontId="10" fillId="5" borderId="0" xfId="4" applyFont="1" applyFill="1" applyAlignment="1">
      <alignment horizontal="center" wrapText="1"/>
    </xf>
    <xf numFmtId="43" fontId="5" fillId="0" borderId="0" xfId="1" applyFont="1" applyAlignment="1">
      <alignment horizontal="center"/>
    </xf>
    <xf numFmtId="2" fontId="5" fillId="0" borderId="0" xfId="4" applyNumberFormat="1" applyAlignment="1">
      <alignment horizontal="center"/>
    </xf>
    <xf numFmtId="0" fontId="21" fillId="0" borderId="0" xfId="0" applyFont="1" applyAlignment="1">
      <alignment horizontal="right"/>
    </xf>
    <xf numFmtId="0" fontId="10" fillId="0" borderId="0" xfId="4" applyFont="1" applyAlignment="1">
      <alignment horizontal="center"/>
    </xf>
    <xf numFmtId="0" fontId="10" fillId="8" borderId="0" xfId="4" applyFont="1" applyFill="1"/>
    <xf numFmtId="0" fontId="10" fillId="8" borderId="0" xfId="4" applyFont="1" applyFill="1" applyAlignment="1">
      <alignment horizontal="left"/>
    </xf>
    <xf numFmtId="0" fontId="10" fillId="8" borderId="0" xfId="4" applyFont="1" applyFill="1" applyAlignment="1">
      <alignment horizontal="center"/>
    </xf>
    <xf numFmtId="165" fontId="5" fillId="12" borderId="0" xfId="4" quotePrefix="1" applyNumberFormat="1" applyFill="1"/>
    <xf numFmtId="2" fontId="5" fillId="0" borderId="0" xfId="4" quotePrefix="1" applyNumberFormat="1" applyAlignment="1">
      <alignment horizontal="center"/>
    </xf>
    <xf numFmtId="2" fontId="5" fillId="0" borderId="0" xfId="4" quotePrefix="1" applyNumberFormat="1" applyAlignment="1">
      <alignment horizontal="left"/>
    </xf>
    <xf numFmtId="14" fontId="2" fillId="0" borderId="0" xfId="0" applyNumberFormat="1" applyFont="1" applyAlignment="1">
      <alignment horizontal="center"/>
    </xf>
    <xf numFmtId="2" fontId="10" fillId="0" borderId="0" xfId="4" applyNumberFormat="1" applyFont="1" applyAlignment="1">
      <alignment horizontal="center"/>
    </xf>
    <xf numFmtId="2" fontId="0" fillId="0" borderId="0" xfId="0" quotePrefix="1" applyNumberFormat="1" applyAlignment="1">
      <alignment horizontal="center"/>
    </xf>
    <xf numFmtId="43" fontId="10" fillId="0" borderId="0" xfId="1" quotePrefix="1" applyFont="1" applyAlignment="1">
      <alignment horizontal="center"/>
    </xf>
    <xf numFmtId="165" fontId="10" fillId="0" borderId="0" xfId="4" quotePrefix="1" applyNumberFormat="1" applyFont="1"/>
    <xf numFmtId="44" fontId="5" fillId="0" borderId="0" xfId="2" quotePrefix="1" applyFont="1"/>
    <xf numFmtId="44" fontId="10" fillId="5" borderId="8" xfId="2" quotePrefix="1" applyFont="1" applyFill="1" applyBorder="1"/>
    <xf numFmtId="0" fontId="5" fillId="0" borderId="0" xfId="4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0" fillId="0" borderId="27" xfId="0" applyBorder="1"/>
    <xf numFmtId="0" fontId="5" fillId="11" borderId="0" xfId="0" applyFont="1" applyFill="1" applyAlignment="1">
      <alignment horizontal="center"/>
    </xf>
    <xf numFmtId="172" fontId="14" fillId="0" borderId="0" xfId="3" quotePrefix="1" applyNumberFormat="1" applyFont="1"/>
    <xf numFmtId="0" fontId="17" fillId="0" borderId="0" xfId="7" applyFont="1"/>
    <xf numFmtId="43" fontId="17" fillId="0" borderId="0" xfId="1" quotePrefix="1" applyFont="1"/>
    <xf numFmtId="43" fontId="17" fillId="5" borderId="15" xfId="7" quotePrefix="1" applyNumberFormat="1" applyFont="1" applyFill="1" applyBorder="1"/>
    <xf numFmtId="2" fontId="10" fillId="5" borderId="15" xfId="0" quotePrefix="1" applyNumberFormat="1" applyFont="1" applyFill="1" applyBorder="1"/>
    <xf numFmtId="171" fontId="0" fillId="0" borderId="0" xfId="0" quotePrefix="1" applyNumberFormat="1"/>
    <xf numFmtId="165" fontId="0" fillId="0" borderId="0" xfId="0" quotePrefix="1" applyNumberFormat="1"/>
    <xf numFmtId="43" fontId="14" fillId="0" borderId="0" xfId="7" quotePrefix="1" applyNumberFormat="1"/>
    <xf numFmtId="10" fontId="2" fillId="0" borderId="0" xfId="3" quotePrefix="1" applyNumberFormat="1" applyFont="1"/>
    <xf numFmtId="171" fontId="2" fillId="0" borderId="0" xfId="0" quotePrefix="1" applyNumberFormat="1" applyFont="1"/>
    <xf numFmtId="43" fontId="17" fillId="0" borderId="0" xfId="7" quotePrefix="1" applyNumberFormat="1" applyFont="1"/>
    <xf numFmtId="172" fontId="17" fillId="0" borderId="0" xfId="3" quotePrefix="1" applyNumberFormat="1" applyFont="1"/>
    <xf numFmtId="0" fontId="0" fillId="13" borderId="0" xfId="0" applyFill="1" applyAlignment="1">
      <alignment horizontal="center"/>
    </xf>
    <xf numFmtId="0" fontId="0" fillId="13" borderId="0" xfId="0" applyFill="1"/>
    <xf numFmtId="165" fontId="2" fillId="0" borderId="0" xfId="0" quotePrefix="1" applyNumberFormat="1" applyFont="1"/>
    <xf numFmtId="0" fontId="5" fillId="11" borderId="2" xfId="4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165" fontId="2" fillId="5" borderId="8" xfId="0" quotePrefix="1" applyNumberFormat="1" applyFont="1" applyFill="1" applyBorder="1" applyAlignment="1">
      <alignment horizontal="center"/>
    </xf>
    <xf numFmtId="8" fontId="5" fillId="0" borderId="0" xfId="4" applyNumberFormat="1"/>
    <xf numFmtId="43" fontId="5" fillId="0" borderId="0" xfId="1" quotePrefix="1" applyFont="1" applyAlignment="1">
      <alignment horizontal="center"/>
    </xf>
    <xf numFmtId="43" fontId="5" fillId="0" borderId="0" xfId="1" quotePrefix="1" applyFont="1" applyAlignment="1">
      <alignment horizontal="right"/>
    </xf>
    <xf numFmtId="169" fontId="5" fillId="0" borderId="0" xfId="1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5" fillId="12" borderId="0" xfId="4" applyFill="1"/>
    <xf numFmtId="0" fontId="5" fillId="12" borderId="0" xfId="4" applyFill="1" applyAlignment="1">
      <alignment horizontal="right"/>
    </xf>
    <xf numFmtId="0" fontId="5" fillId="11" borderId="10" xfId="4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12" borderId="0" xfId="0" applyFill="1" applyAlignment="1">
      <alignment horizontal="center" vertical="center"/>
    </xf>
    <xf numFmtId="6" fontId="2" fillId="0" borderId="0" xfId="0" quotePrefix="1" applyNumberFormat="1" applyFont="1"/>
    <xf numFmtId="0" fontId="0" fillId="9" borderId="0" xfId="0" applyFill="1" applyAlignment="1">
      <alignment horizontal="center"/>
    </xf>
    <xf numFmtId="0" fontId="10" fillId="0" borderId="0" xfId="0" quotePrefix="1" applyFont="1" applyAlignment="1">
      <alignment horizontal="left"/>
    </xf>
    <xf numFmtId="0" fontId="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 shrinkToFit="1"/>
    </xf>
    <xf numFmtId="8" fontId="2" fillId="0" borderId="0" xfId="0" quotePrefix="1" applyNumberFormat="1" applyFont="1"/>
    <xf numFmtId="9" fontId="25" fillId="0" borderId="0" xfId="7" quotePrefix="1" applyNumberFormat="1" applyFont="1" applyProtection="1">
      <protection locked="0"/>
    </xf>
    <xf numFmtId="10" fontId="26" fillId="0" borderId="0" xfId="7" applyNumberFormat="1" applyFont="1" applyProtection="1">
      <protection locked="0"/>
    </xf>
    <xf numFmtId="170" fontId="26" fillId="0" borderId="0" xfId="7" applyNumberFormat="1" applyFont="1" applyProtection="1">
      <protection locked="0"/>
    </xf>
    <xf numFmtId="169" fontId="26" fillId="0" borderId="0" xfId="1" applyNumberFormat="1" applyFont="1" applyProtection="1">
      <protection locked="0"/>
    </xf>
    <xf numFmtId="6" fontId="17" fillId="5" borderId="15" xfId="7" quotePrefix="1" applyNumberFormat="1" applyFont="1" applyFill="1" applyBorder="1"/>
    <xf numFmtId="0" fontId="0" fillId="13" borderId="2" xfId="0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17" fillId="5" borderId="16" xfId="7" applyFont="1" applyFill="1" applyBorder="1"/>
    <xf numFmtId="172" fontId="0" fillId="0" borderId="0" xfId="3" quotePrefix="1" applyNumberFormat="1" applyFont="1"/>
    <xf numFmtId="43" fontId="0" fillId="0" borderId="0" xfId="0" quotePrefix="1" applyNumberFormat="1"/>
    <xf numFmtId="0" fontId="0" fillId="0" borderId="0" xfId="0" quotePrefix="1"/>
    <xf numFmtId="168" fontId="10" fillId="5" borderId="8" xfId="0" quotePrefix="1" applyNumberFormat="1" applyFont="1" applyFill="1" applyBorder="1" applyAlignment="1">
      <alignment horizontal="center"/>
    </xf>
    <xf numFmtId="166" fontId="0" fillId="0" borderId="0" xfId="3" quotePrefix="1" applyNumberFormat="1" applyFont="1" applyAlignment="1">
      <alignment horizontal="center"/>
    </xf>
    <xf numFmtId="43" fontId="14" fillId="0" borderId="9" xfId="7" quotePrefix="1" applyNumberForma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4" fontId="2" fillId="0" borderId="24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5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 wrapText="1"/>
    </xf>
    <xf numFmtId="8" fontId="5" fillId="0" borderId="2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2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24" xfId="1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6" fontId="0" fillId="0" borderId="24" xfId="3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2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0" xfId="0"/>
    <xf numFmtId="10" fontId="17" fillId="5" borderId="15" xfId="3" quotePrefix="1" applyNumberFormat="1" applyFont="1" applyFill="1" applyBorder="1"/>
  </cellXfs>
  <cellStyles count="8">
    <cellStyle name="Comma" xfId="1" builtinId="3"/>
    <cellStyle name="Comma 2" xfId="6" xr:uid="{EFC0F412-5EAF-410F-9F71-C716962D8E2A}"/>
    <cellStyle name="Currency" xfId="2" builtinId="4"/>
    <cellStyle name="Normal" xfId="0" builtinId="0"/>
    <cellStyle name="Normal 2" xfId="4" xr:uid="{D23063ED-1AD1-48C5-87A2-3C6BF481D784}"/>
    <cellStyle name="Normal_Sheet1" xfId="7" xr:uid="{7D96A905-CF97-46AF-BC44-9C4CC18C4B81}"/>
    <cellStyle name="Percent" xfId="3" builtinId="5"/>
    <cellStyle name="Percent 2" xfId="5" xr:uid="{6ACE12AF-A62E-4ACB-A47E-E0DFC33A4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522817</xdr:colOff>
      <xdr:row>13</xdr:row>
      <xdr:rowOff>10583</xdr:rowOff>
    </xdr:from>
    <xdr:to>
      <xdr:col>3</xdr:col>
      <xdr:colOff>522817</xdr:colOff>
      <xdr:row>14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39B570-24BB-4E80-9C3B-D3FA7943B393}"/>
            </a:ext>
          </a:extLst>
        </xdr:cNvPr>
        <xdr:cNvCxnSpPr/>
      </xdr:nvCxnSpPr>
      <xdr:spPr>
        <a:xfrm flipV="1">
          <a:off x="2885017" y="2601383"/>
          <a:ext cx="0" cy="2084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16</xdr:row>
      <xdr:rowOff>0</xdr:rowOff>
    </xdr:from>
    <xdr:to>
      <xdr:col>7</xdr:col>
      <xdr:colOff>123825</xdr:colOff>
      <xdr:row>17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6498253-0841-45D1-ACD5-57C5CEAC7F5F}"/>
            </a:ext>
          </a:extLst>
        </xdr:cNvPr>
        <xdr:cNvCxnSpPr/>
      </xdr:nvCxnSpPr>
      <xdr:spPr>
        <a:xfrm flipV="1">
          <a:off x="4467225" y="3314700"/>
          <a:ext cx="1019175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610658</xdr:colOff>
      <xdr:row>5</xdr:row>
      <xdr:rowOff>102658</xdr:rowOff>
    </xdr:from>
    <xdr:to>
      <xdr:col>8</xdr:col>
      <xdr:colOff>332317</xdr:colOff>
      <xdr:row>6</xdr:row>
      <xdr:rowOff>115362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4C65AB8C-3D74-4EB0-A034-2D319A2AB335}"/>
            </a:ext>
          </a:extLst>
        </xdr:cNvPr>
        <xdr:cNvCxnSpPr/>
      </xdr:nvCxnSpPr>
      <xdr:spPr>
        <a:xfrm flipV="1">
          <a:off x="5992283" y="1407583"/>
          <a:ext cx="388409" cy="19367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262467</xdr:colOff>
      <xdr:row>147</xdr:row>
      <xdr:rowOff>38100</xdr:rowOff>
    </xdr:from>
    <xdr:to>
      <xdr:col>1</xdr:col>
      <xdr:colOff>270933</xdr:colOff>
      <xdr:row>158</xdr:row>
      <xdr:rowOff>4233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BE47FB-AC9A-4176-B41F-15B9460A95E5}"/>
            </a:ext>
          </a:extLst>
        </xdr:cNvPr>
        <xdr:cNvSpPr>
          <a:spLocks noChangeShapeType="1"/>
        </xdr:cNvSpPr>
      </xdr:nvSpPr>
      <xdr:spPr bwMode="auto">
        <a:xfrm flipH="1">
          <a:off x="571500" y="27603450"/>
          <a:ext cx="0" cy="2124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266700</xdr:colOff>
      <xdr:row>110</xdr:row>
      <xdr:rowOff>152400</xdr:rowOff>
    </xdr:from>
    <xdr:to>
      <xdr:col>15</xdr:col>
      <xdr:colOff>28574</xdr:colOff>
      <xdr:row>124</xdr:row>
      <xdr:rowOff>152397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3DC508B-4F50-437E-A5D7-49425E38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0716875"/>
          <a:ext cx="3364441" cy="253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19</xdr:row>
      <xdr:rowOff>0</xdr:rowOff>
    </xdr:from>
    <xdr:to>
      <xdr:col>6</xdr:col>
      <xdr:colOff>493185</xdr:colOff>
      <xdr:row>21</xdr:row>
      <xdr:rowOff>154516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557E962-C766-438E-93C7-37B8F957A0AD}"/>
            </a:ext>
          </a:extLst>
        </xdr:cNvPr>
        <xdr:cNvCxnSpPr/>
      </xdr:nvCxnSpPr>
      <xdr:spPr>
        <a:xfrm>
          <a:off x="5485342" y="3638550"/>
          <a:ext cx="8468" cy="51646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</xdr:colOff>
      <xdr:row>22</xdr:row>
      <xdr:rowOff>66675</xdr:rowOff>
    </xdr:from>
    <xdr:to>
      <xdr:col>3</xdr:col>
      <xdr:colOff>9528</xdr:colOff>
      <xdr:row>23</xdr:row>
      <xdr:rowOff>114300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3F037BEE-7469-477D-BC45-6A15B89AA2B5}"/>
            </a:ext>
          </a:extLst>
        </xdr:cNvPr>
        <xdr:cNvSpPr/>
      </xdr:nvSpPr>
      <xdr:spPr>
        <a:xfrm rot="16200000">
          <a:off x="1887010" y="3990973"/>
          <a:ext cx="229658" cy="74189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22</xdr:row>
      <xdr:rowOff>85725</xdr:rowOff>
    </xdr:from>
    <xdr:to>
      <xdr:col>4</xdr:col>
      <xdr:colOff>28578</xdr:colOff>
      <xdr:row>23</xdr:row>
      <xdr:rowOff>135466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D355D0AB-5382-4E19-81CC-DD9968A36D28}"/>
            </a:ext>
          </a:extLst>
        </xdr:cNvPr>
        <xdr:cNvSpPr/>
      </xdr:nvSpPr>
      <xdr:spPr>
        <a:xfrm rot="16200000">
          <a:off x="2690285" y="3967690"/>
          <a:ext cx="227541" cy="8286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28575</xdr:colOff>
      <xdr:row>22</xdr:row>
      <xdr:rowOff>95250</xdr:rowOff>
    </xdr:from>
    <xdr:to>
      <xdr:col>5</xdr:col>
      <xdr:colOff>28578</xdr:colOff>
      <xdr:row>23</xdr:row>
      <xdr:rowOff>144991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3B134DB1-F077-442F-976C-D665BE1096A0}"/>
            </a:ext>
          </a:extLst>
        </xdr:cNvPr>
        <xdr:cNvSpPr/>
      </xdr:nvSpPr>
      <xdr:spPr>
        <a:xfrm rot="16200000">
          <a:off x="3554943" y="3938057"/>
          <a:ext cx="231775" cy="9048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19050</xdr:colOff>
      <xdr:row>22</xdr:row>
      <xdr:rowOff>104775</xdr:rowOff>
    </xdr:from>
    <xdr:to>
      <xdr:col>6</xdr:col>
      <xdr:colOff>19053</xdr:colOff>
      <xdr:row>23</xdr:row>
      <xdr:rowOff>154516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F3C97BE6-1722-4D7C-B64A-7AF98316AC1E}"/>
            </a:ext>
          </a:extLst>
        </xdr:cNvPr>
        <xdr:cNvSpPr/>
      </xdr:nvSpPr>
      <xdr:spPr>
        <a:xfrm rot="16200000">
          <a:off x="4449235" y="3948640"/>
          <a:ext cx="231774" cy="9048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38101</xdr:colOff>
      <xdr:row>22</xdr:row>
      <xdr:rowOff>85725</xdr:rowOff>
    </xdr:from>
    <xdr:to>
      <xdr:col>6</xdr:col>
      <xdr:colOff>504828</xdr:colOff>
      <xdr:row>24</xdr:row>
      <xdr:rowOff>9525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4984C081-CEC7-48B4-8B50-5C0CE7B3CE83}"/>
            </a:ext>
          </a:extLst>
        </xdr:cNvPr>
        <xdr:cNvSpPr/>
      </xdr:nvSpPr>
      <xdr:spPr>
        <a:xfrm rot="16200000">
          <a:off x="5129744" y="4177240"/>
          <a:ext cx="285750" cy="46778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447675</xdr:colOff>
      <xdr:row>78</xdr:row>
      <xdr:rowOff>161925</xdr:rowOff>
    </xdr:from>
    <xdr:to>
      <xdr:col>15</xdr:col>
      <xdr:colOff>86783</xdr:colOff>
      <xdr:row>88</xdr:row>
      <xdr:rowOff>28575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DEA59A72-85A9-4864-8AB8-60B457EE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9067" y="14774333"/>
          <a:ext cx="3238499" cy="1675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20</xdr:row>
      <xdr:rowOff>0</xdr:rowOff>
    </xdr:from>
    <xdr:to>
      <xdr:col>5</xdr:col>
      <xdr:colOff>493185</xdr:colOff>
      <xdr:row>22</xdr:row>
      <xdr:rowOff>154516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05BFE2-3B40-452D-B867-F9BA06887AA3}"/>
            </a:ext>
          </a:extLst>
        </xdr:cNvPr>
        <xdr:cNvCxnSpPr/>
      </xdr:nvCxnSpPr>
      <xdr:spPr>
        <a:xfrm>
          <a:off x="5485342" y="3638550"/>
          <a:ext cx="8468" cy="51646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</xdr:colOff>
      <xdr:row>23</xdr:row>
      <xdr:rowOff>66675</xdr:rowOff>
    </xdr:from>
    <xdr:to>
      <xdr:col>2</xdr:col>
      <xdr:colOff>9528</xdr:colOff>
      <xdr:row>24</xdr:row>
      <xdr:rowOff>114300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6F51F1C0-E94B-4EC1-87C0-422E666EFDDD}"/>
            </a:ext>
          </a:extLst>
        </xdr:cNvPr>
        <xdr:cNvSpPr/>
      </xdr:nvSpPr>
      <xdr:spPr>
        <a:xfrm rot="16200000">
          <a:off x="1887010" y="3990973"/>
          <a:ext cx="229658" cy="74189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28575</xdr:colOff>
      <xdr:row>23</xdr:row>
      <xdr:rowOff>85725</xdr:rowOff>
    </xdr:from>
    <xdr:to>
      <xdr:col>3</xdr:col>
      <xdr:colOff>28578</xdr:colOff>
      <xdr:row>24</xdr:row>
      <xdr:rowOff>135466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4F0B47F2-93A4-42BE-A5A7-770424C001AE}"/>
            </a:ext>
          </a:extLst>
        </xdr:cNvPr>
        <xdr:cNvSpPr/>
      </xdr:nvSpPr>
      <xdr:spPr>
        <a:xfrm rot="16200000">
          <a:off x="2690285" y="3967690"/>
          <a:ext cx="227541" cy="8286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23</xdr:row>
      <xdr:rowOff>95250</xdr:rowOff>
    </xdr:from>
    <xdr:to>
      <xdr:col>4</xdr:col>
      <xdr:colOff>28578</xdr:colOff>
      <xdr:row>24</xdr:row>
      <xdr:rowOff>144991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9DED040C-6EDD-4FC2-A577-C42E1FF87995}"/>
            </a:ext>
          </a:extLst>
        </xdr:cNvPr>
        <xdr:cNvSpPr/>
      </xdr:nvSpPr>
      <xdr:spPr>
        <a:xfrm rot="16200000">
          <a:off x="3554943" y="3938057"/>
          <a:ext cx="231775" cy="9048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19050</xdr:colOff>
      <xdr:row>23</xdr:row>
      <xdr:rowOff>104775</xdr:rowOff>
    </xdr:from>
    <xdr:to>
      <xdr:col>5</xdr:col>
      <xdr:colOff>19053</xdr:colOff>
      <xdr:row>24</xdr:row>
      <xdr:rowOff>154516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170EFAA4-7572-4D8F-9E2E-CD8F996C107A}"/>
            </a:ext>
          </a:extLst>
        </xdr:cNvPr>
        <xdr:cNvSpPr/>
      </xdr:nvSpPr>
      <xdr:spPr>
        <a:xfrm rot="16200000">
          <a:off x="4449235" y="3948640"/>
          <a:ext cx="231774" cy="90487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38101</xdr:colOff>
      <xdr:row>23</xdr:row>
      <xdr:rowOff>85725</xdr:rowOff>
    </xdr:from>
    <xdr:to>
      <xdr:col>5</xdr:col>
      <xdr:colOff>504828</xdr:colOff>
      <xdr:row>25</xdr:row>
      <xdr:rowOff>9525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972D9055-FDE0-40A3-9069-9684F21F170F}"/>
            </a:ext>
          </a:extLst>
        </xdr:cNvPr>
        <xdr:cNvSpPr/>
      </xdr:nvSpPr>
      <xdr:spPr>
        <a:xfrm rot="16200000">
          <a:off x="5129744" y="4177240"/>
          <a:ext cx="285750" cy="46778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397933</xdr:colOff>
      <xdr:row>26</xdr:row>
      <xdr:rowOff>9525</xdr:rowOff>
    </xdr:from>
    <xdr:to>
      <xdr:col>5</xdr:col>
      <xdr:colOff>371475</xdr:colOff>
      <xdr:row>28</xdr:row>
      <xdr:rowOff>97366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F5AF045A-9542-4553-B01B-6019E8C0FD92}"/>
            </a:ext>
          </a:extLst>
        </xdr:cNvPr>
        <xdr:cNvSpPr/>
      </xdr:nvSpPr>
      <xdr:spPr>
        <a:xfrm rot="16200000">
          <a:off x="2598208" y="4086225"/>
          <a:ext cx="449791" cy="3212042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33</xdr:row>
      <xdr:rowOff>42334</xdr:rowOff>
    </xdr:from>
    <xdr:to>
      <xdr:col>10</xdr:col>
      <xdr:colOff>169333</xdr:colOff>
      <xdr:row>35</xdr:row>
      <xdr:rowOff>63500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E275DEC-9BB8-4A71-8BEF-7814A83DCF59}"/>
            </a:ext>
          </a:extLst>
        </xdr:cNvPr>
        <xdr:cNvCxnSpPr/>
      </xdr:nvCxnSpPr>
      <xdr:spPr>
        <a:xfrm flipV="1">
          <a:off x="6783917" y="6307667"/>
          <a:ext cx="772583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439616</xdr:colOff>
      <xdr:row>17</xdr:row>
      <xdr:rowOff>41868</xdr:rowOff>
    </xdr:from>
    <xdr:to>
      <xdr:col>9</xdr:col>
      <xdr:colOff>439616</xdr:colOff>
      <xdr:row>18</xdr:row>
      <xdr:rowOff>151772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8195888E-EE3C-4D56-83D5-ADEBB82A7100}"/>
            </a:ext>
          </a:extLst>
        </xdr:cNvPr>
        <xdr:cNvCxnSpPr/>
      </xdr:nvCxnSpPr>
      <xdr:spPr>
        <a:xfrm flipV="1">
          <a:off x="7222253" y="3229080"/>
          <a:ext cx="0" cy="2983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84667</xdr:rowOff>
    </xdr:from>
    <xdr:to>
      <xdr:col>10</xdr:col>
      <xdr:colOff>243416</xdr:colOff>
      <xdr:row>38</xdr:row>
      <xdr:rowOff>28575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184FCEEB-9497-4DBB-B40F-0EEEED58B762}"/>
            </a:ext>
          </a:extLst>
        </xdr:cNvPr>
        <xdr:cNvCxnSpPr/>
      </xdr:nvCxnSpPr>
      <xdr:spPr>
        <a:xfrm flipV="1">
          <a:off x="6593417" y="6350000"/>
          <a:ext cx="1037166" cy="8434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543982</xdr:colOff>
      <xdr:row>9</xdr:row>
      <xdr:rowOff>180974</xdr:rowOff>
    </xdr:from>
    <xdr:to>
      <xdr:col>5</xdr:col>
      <xdr:colOff>782107</xdr:colOff>
      <xdr:row>19</xdr:row>
      <xdr:rowOff>179916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F85A49C9-0CA3-4E49-9032-F23C75493979}"/>
            </a:ext>
          </a:extLst>
        </xdr:cNvPr>
        <xdr:cNvSpPr/>
      </xdr:nvSpPr>
      <xdr:spPr>
        <a:xfrm>
          <a:off x="1877482" y="1990724"/>
          <a:ext cx="2181225" cy="1818217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10583</xdr:colOff>
      <xdr:row>4</xdr:row>
      <xdr:rowOff>133350</xdr:rowOff>
    </xdr:from>
    <xdr:to>
      <xdr:col>7</xdr:col>
      <xdr:colOff>142875</xdr:colOff>
      <xdr:row>14</xdr:row>
      <xdr:rowOff>103717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C2669ED-4650-4CE7-94AE-D5C1E0032EC3}"/>
            </a:ext>
          </a:extLst>
        </xdr:cNvPr>
        <xdr:cNvCxnSpPr/>
      </xdr:nvCxnSpPr>
      <xdr:spPr>
        <a:xfrm flipV="1">
          <a:off x="1344083" y="1038225"/>
          <a:ext cx="3370792" cy="1789642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</xdr:colOff>
      <xdr:row>5</xdr:row>
      <xdr:rowOff>84668</xdr:rowOff>
    </xdr:from>
    <xdr:to>
      <xdr:col>7</xdr:col>
      <xdr:colOff>180975</xdr:colOff>
      <xdr:row>15</xdr:row>
      <xdr:rowOff>28575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E85198C-8376-410C-BD46-9ACC9CC7ACE9}"/>
            </a:ext>
          </a:extLst>
        </xdr:cNvPr>
        <xdr:cNvCxnSpPr/>
      </xdr:nvCxnSpPr>
      <xdr:spPr>
        <a:xfrm>
          <a:off x="1334558" y="1170518"/>
          <a:ext cx="3418417" cy="1763182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6</xdr:row>
      <xdr:rowOff>171450</xdr:rowOff>
    </xdr:from>
    <xdr:to>
      <xdr:col>5</xdr:col>
      <xdr:colOff>342900</xdr:colOff>
      <xdr:row>14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A452903-8F8E-42B3-9A03-8AAE112C84D9}"/>
            </a:ext>
          </a:extLst>
        </xdr:cNvPr>
        <xdr:cNvCxnSpPr/>
      </xdr:nvCxnSpPr>
      <xdr:spPr>
        <a:xfrm>
          <a:off x="3609975" y="1438275"/>
          <a:ext cx="9525" cy="1314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304801</xdr:colOff>
      <xdr:row>3</xdr:row>
      <xdr:rowOff>139700</xdr:rowOff>
    </xdr:from>
    <xdr:to>
      <xdr:col>10</xdr:col>
      <xdr:colOff>520700</xdr:colOff>
      <xdr:row>10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C88B5FE-0296-5123-EA28-2B2D39A380A1}"/>
                </a:ext>
              </a:extLst>
            </xdr:cNvPr>
            <xdr:cNvSpPr txBox="1"/>
          </xdr:nvSpPr>
          <xdr:spPr>
            <a:xfrm>
              <a:off x="5391151" y="758825"/>
              <a:ext cx="3482974" cy="1193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10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Convexity</m:t>
                    </m:r>
                    <m:r>
                      <a:rPr lang="en-US" sz="110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(1+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  <m: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nary>
                          <m:naryPr>
                            <m:chr m:val="∑"/>
                            <m:limLoc m:val="undOvr"/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f>
                              <m:fPr>
                                <m:ctrlPr>
                                  <a:rPr lang="en-US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CF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(1+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10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y</m:t>
                                    </m:r>
                                    <m:r>
                                      <a:rPr lang="en-US" sz="1100" b="0" i="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/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100" b="0" i="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  <m:r>
                                      <a:rPr lang="en-US" sz="110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m:rPr>
                                        <m:sty m:val="p"/>
                                      </m:rPr>
                                      <a:rPr lang="en-US" sz="1100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sup>
                                </m:sSup>
                              </m:den>
                            </m:f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p>
                              <m:sSupPr>
                                <m:ctrlPr>
                                  <a:rPr lang="en-US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p>
                                <m:r>
                                  <a:rPr lang="en-US" sz="1100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100" b="0" i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</m:t>
                            </m:r>
                            <m: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nary>
                      </m:num>
                      <m:den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MV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sSup>
                          <m:sSupPr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p>
                            <m:r>
                              <a:rPr lang="en-US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C88B5FE-0296-5123-EA28-2B2D39A380A1}"/>
                </a:ext>
              </a:extLst>
            </xdr:cNvPr>
            <xdr:cNvSpPr txBox="1"/>
          </xdr:nvSpPr>
          <xdr:spPr>
            <a:xfrm>
              <a:off x="5391151" y="758825"/>
              <a:ext cx="3482974" cy="1193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endParaRPr lang="en-US">
                <a:effectLst/>
              </a:endParaRPr>
            </a:p>
            <a:p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Convexity=(1/〖(1+y)〗^2   ∑1_1^n▒〖CF/〖(1+y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/f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)〗^t   (t^2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t)〗)/(MV . f^2 )</a:t>
              </a:r>
              <a:endParaRPr lang="en-US" sz="1100"/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502707</xdr:colOff>
      <xdr:row>17</xdr:row>
      <xdr:rowOff>25400</xdr:rowOff>
    </xdr:from>
    <xdr:to>
      <xdr:col>6</xdr:col>
      <xdr:colOff>510117</xdr:colOff>
      <xdr:row>19</xdr:row>
      <xdr:rowOff>179916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F500A9-1DCA-49E3-AF7A-D7A7169782E9}"/>
            </a:ext>
          </a:extLst>
        </xdr:cNvPr>
        <xdr:cNvCxnSpPr/>
      </xdr:nvCxnSpPr>
      <xdr:spPr>
        <a:xfrm>
          <a:off x="5286374" y="3793067"/>
          <a:ext cx="7410" cy="51858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</xdr:colOff>
      <xdr:row>20</xdr:row>
      <xdr:rowOff>66675</xdr:rowOff>
    </xdr:from>
    <xdr:to>
      <xdr:col>2</xdr:col>
      <xdr:colOff>9528</xdr:colOff>
      <xdr:row>21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83FE1CCA-E7F8-472F-9A54-8ABC8C49214A}"/>
            </a:ext>
          </a:extLst>
        </xdr:cNvPr>
        <xdr:cNvSpPr/>
      </xdr:nvSpPr>
      <xdr:spPr>
        <a:xfrm rot="16200000">
          <a:off x="1082677" y="4747681"/>
          <a:ext cx="229658" cy="739779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28575</xdr:colOff>
      <xdr:row>20</xdr:row>
      <xdr:rowOff>85725</xdr:rowOff>
    </xdr:from>
    <xdr:to>
      <xdr:col>3</xdr:col>
      <xdr:colOff>28578</xdr:colOff>
      <xdr:row>21</xdr:row>
      <xdr:rowOff>135466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6E4FDD53-86C4-444C-99F1-6C9E73A0DB63}"/>
            </a:ext>
          </a:extLst>
        </xdr:cNvPr>
        <xdr:cNvSpPr/>
      </xdr:nvSpPr>
      <xdr:spPr>
        <a:xfrm rot="16200000">
          <a:off x="1811340" y="4796894"/>
          <a:ext cx="231774" cy="681569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20</xdr:row>
      <xdr:rowOff>95250</xdr:rowOff>
    </xdr:from>
    <xdr:to>
      <xdr:col>4</xdr:col>
      <xdr:colOff>28578</xdr:colOff>
      <xdr:row>21</xdr:row>
      <xdr:rowOff>144991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7B70D635-1997-4D98-8CEB-97C73BE79D9A}"/>
            </a:ext>
          </a:extLst>
        </xdr:cNvPr>
        <xdr:cNvSpPr/>
      </xdr:nvSpPr>
      <xdr:spPr>
        <a:xfrm rot="16200000">
          <a:off x="2602973" y="4696352"/>
          <a:ext cx="231774" cy="90170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19050</xdr:colOff>
      <xdr:row>20</xdr:row>
      <xdr:rowOff>104775</xdr:rowOff>
    </xdr:from>
    <xdr:to>
      <xdr:col>5</xdr:col>
      <xdr:colOff>19053</xdr:colOff>
      <xdr:row>21</xdr:row>
      <xdr:rowOff>154516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80FFEA7C-EAE8-4DAE-B61D-EB1E21F4D2B4}"/>
            </a:ext>
          </a:extLst>
        </xdr:cNvPr>
        <xdr:cNvSpPr/>
      </xdr:nvSpPr>
      <xdr:spPr>
        <a:xfrm rot="16200000">
          <a:off x="3495148" y="4705877"/>
          <a:ext cx="231774" cy="90170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38102</xdr:colOff>
      <xdr:row>20</xdr:row>
      <xdr:rowOff>80433</xdr:rowOff>
    </xdr:from>
    <xdr:to>
      <xdr:col>6</xdr:col>
      <xdr:colOff>8469</xdr:colOff>
      <xdr:row>22</xdr:row>
      <xdr:rowOff>9525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6DCFC279-1B4F-48D2-A0FB-D77F3DAC4E70}"/>
            </a:ext>
          </a:extLst>
        </xdr:cNvPr>
        <xdr:cNvSpPr/>
      </xdr:nvSpPr>
      <xdr:spPr>
        <a:xfrm rot="16200000">
          <a:off x="4289957" y="4185178"/>
          <a:ext cx="293158" cy="711201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29635</xdr:colOff>
      <xdr:row>21</xdr:row>
      <xdr:rowOff>93133</xdr:rowOff>
    </xdr:from>
    <xdr:to>
      <xdr:col>6</xdr:col>
      <xdr:colOff>508001</xdr:colOff>
      <xdr:row>25</xdr:row>
      <xdr:rowOff>97366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71182321-E1AB-4C13-8F19-A9FDA15F7707}"/>
            </a:ext>
          </a:extLst>
        </xdr:cNvPr>
        <xdr:cNvSpPr/>
      </xdr:nvSpPr>
      <xdr:spPr>
        <a:xfrm rot="16200000">
          <a:off x="2702985" y="2732616"/>
          <a:ext cx="732366" cy="4445000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21169</xdr:colOff>
      <xdr:row>20</xdr:row>
      <xdr:rowOff>63500</xdr:rowOff>
    </xdr:from>
    <xdr:to>
      <xdr:col>6</xdr:col>
      <xdr:colOff>512236</xdr:colOff>
      <xdr:row>22</xdr:row>
      <xdr:rowOff>30692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7BCF96AD-6FB8-4805-B5B0-E81846DC50D8}"/>
            </a:ext>
          </a:extLst>
        </xdr:cNvPr>
        <xdr:cNvSpPr/>
      </xdr:nvSpPr>
      <xdr:spPr>
        <a:xfrm rot="16200000">
          <a:off x="4884741" y="4297362"/>
          <a:ext cx="331258" cy="491067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439616</xdr:colOff>
      <xdr:row>17</xdr:row>
      <xdr:rowOff>41868</xdr:rowOff>
    </xdr:from>
    <xdr:to>
      <xdr:col>9</xdr:col>
      <xdr:colOff>439616</xdr:colOff>
      <xdr:row>18</xdr:row>
      <xdr:rowOff>151772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B4912CB-2D63-447C-9673-7D4B3253BC5B}"/>
            </a:ext>
          </a:extLst>
        </xdr:cNvPr>
        <xdr:cNvCxnSpPr/>
      </xdr:nvCxnSpPr>
      <xdr:spPr>
        <a:xfrm flipV="1">
          <a:off x="7208716" y="3204168"/>
          <a:ext cx="0" cy="296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19</xdr:row>
      <xdr:rowOff>152401</xdr:rowOff>
    </xdr:from>
    <xdr:to>
      <xdr:col>9</xdr:col>
      <xdr:colOff>408517</xdr:colOff>
      <xdr:row>21</xdr:row>
      <xdr:rowOff>47625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15F0672-3C79-4FE8-9FD4-2A04B5B5A0C8}"/>
            </a:ext>
          </a:extLst>
        </xdr:cNvPr>
        <xdr:cNvCxnSpPr/>
      </xdr:nvCxnSpPr>
      <xdr:spPr>
        <a:xfrm flipV="1">
          <a:off x="7303558" y="3894668"/>
          <a:ext cx="398992" cy="25929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19</xdr:row>
      <xdr:rowOff>152401</xdr:rowOff>
    </xdr:from>
    <xdr:to>
      <xdr:col>9</xdr:col>
      <xdr:colOff>408517</xdr:colOff>
      <xdr:row>21</xdr:row>
      <xdr:rowOff>47625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4055EDE-622D-414E-985F-9972099A1D28}"/>
            </a:ext>
          </a:extLst>
        </xdr:cNvPr>
        <xdr:cNvCxnSpPr/>
      </xdr:nvCxnSpPr>
      <xdr:spPr>
        <a:xfrm flipV="1">
          <a:off x="7303558" y="3894668"/>
          <a:ext cx="398992" cy="25929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64BA-AD71-4993-8129-A28AEA7CA2A8}">
  <dimension ref="B3:H37"/>
  <sheetViews>
    <sheetView showGridLines="0" workbookViewId="0">
      <selection activeCell="M9" sqref="M9"/>
    </sheetView>
  </sheetViews>
  <sheetFormatPr defaultRowHeight="14.4" x14ac:dyDescent="0.55000000000000004"/>
  <cols>
    <col min="2" max="2" width="26.3671875" customWidth="1"/>
    <col min="3" max="3" width="9.7890625" customWidth="1"/>
    <col min="4" max="4" width="10.5234375" customWidth="1"/>
    <col min="5" max="5" width="3.5234375" customWidth="1"/>
    <col min="7" max="7" width="3.5234375" customWidth="1"/>
    <col min="9" max="9" width="2.89453125" customWidth="1"/>
  </cols>
  <sheetData>
    <row r="3" spans="2:8" ht="18.3" x14ac:dyDescent="0.7">
      <c r="B3" s="1" t="s">
        <v>0</v>
      </c>
    </row>
    <row r="5" spans="2:8" ht="28.8" x14ac:dyDescent="0.55000000000000004">
      <c r="B5" s="2" t="s">
        <v>1</v>
      </c>
      <c r="C5" s="3"/>
      <c r="D5" s="4" t="s">
        <v>2</v>
      </c>
      <c r="E5" s="5"/>
      <c r="F5" s="4" t="s">
        <v>3</v>
      </c>
      <c r="G5" s="5"/>
      <c r="H5" s="4" t="s">
        <v>4</v>
      </c>
    </row>
    <row r="6" spans="2:8" x14ac:dyDescent="0.55000000000000004">
      <c r="C6" s="306" t="s">
        <v>5</v>
      </c>
      <c r="D6" s="6"/>
      <c r="E6" s="6"/>
      <c r="F6" s="6"/>
      <c r="G6" s="6"/>
      <c r="H6" s="6"/>
    </row>
    <row r="7" spans="2:8" x14ac:dyDescent="0.55000000000000004">
      <c r="B7" t="s">
        <v>6</v>
      </c>
      <c r="C7" s="306"/>
      <c r="D7" s="6" t="s">
        <v>7</v>
      </c>
      <c r="E7" s="6"/>
      <c r="F7" s="6" t="s">
        <v>8</v>
      </c>
      <c r="G7" s="6"/>
      <c r="H7" s="6" t="s">
        <v>7</v>
      </c>
    </row>
    <row r="8" spans="2:8" x14ac:dyDescent="0.55000000000000004">
      <c r="B8" s="7"/>
      <c r="C8" s="306"/>
      <c r="D8" s="8"/>
      <c r="E8" s="8"/>
      <c r="F8" s="8"/>
      <c r="G8" s="8"/>
      <c r="H8" s="8"/>
    </row>
    <row r="9" spans="2:8" x14ac:dyDescent="0.55000000000000004">
      <c r="B9" t="s">
        <v>9</v>
      </c>
      <c r="C9" s="306"/>
      <c r="D9" s="6" t="s">
        <v>10</v>
      </c>
      <c r="E9" s="6"/>
      <c r="F9" s="6" t="s">
        <v>11</v>
      </c>
      <c r="G9" s="6"/>
      <c r="H9" s="6" t="s">
        <v>10</v>
      </c>
    </row>
    <row r="10" spans="2:8" x14ac:dyDescent="0.55000000000000004">
      <c r="C10" s="306"/>
      <c r="D10" s="6" t="s">
        <v>308</v>
      </c>
      <c r="E10" s="6"/>
      <c r="F10" s="6" t="s">
        <v>12</v>
      </c>
      <c r="G10" s="6"/>
      <c r="H10" s="6" t="s">
        <v>308</v>
      </c>
    </row>
    <row r="11" spans="2:8" x14ac:dyDescent="0.55000000000000004">
      <c r="C11" s="306"/>
      <c r="D11" s="6" t="s">
        <v>13</v>
      </c>
      <c r="E11" s="6"/>
      <c r="F11" s="6" t="s">
        <v>14</v>
      </c>
      <c r="G11" s="6"/>
      <c r="H11" s="6" t="s">
        <v>13</v>
      </c>
    </row>
    <row r="12" spans="2:8" x14ac:dyDescent="0.55000000000000004">
      <c r="B12" s="7"/>
      <c r="C12" s="306"/>
      <c r="D12" s="8"/>
      <c r="E12" s="8"/>
      <c r="F12" s="8"/>
      <c r="G12" s="8"/>
      <c r="H12" s="8"/>
    </row>
    <row r="13" spans="2:8" x14ac:dyDescent="0.55000000000000004">
      <c r="B13" t="s">
        <v>15</v>
      </c>
      <c r="C13" s="306"/>
      <c r="D13" s="6" t="s">
        <v>16</v>
      </c>
      <c r="E13" s="6"/>
      <c r="F13" s="6" t="s">
        <v>17</v>
      </c>
      <c r="G13" s="6"/>
      <c r="H13" s="6" t="s">
        <v>16</v>
      </c>
    </row>
    <row r="14" spans="2:8" x14ac:dyDescent="0.55000000000000004">
      <c r="C14" s="306"/>
      <c r="D14" s="6" t="s">
        <v>307</v>
      </c>
      <c r="E14" s="6"/>
      <c r="F14" s="6" t="s">
        <v>18</v>
      </c>
      <c r="G14" s="6"/>
      <c r="H14" s="6" t="s">
        <v>307</v>
      </c>
    </row>
    <row r="15" spans="2:8" x14ac:dyDescent="0.55000000000000004">
      <c r="C15" s="306"/>
      <c r="D15" s="6" t="s">
        <v>19</v>
      </c>
      <c r="E15" s="6"/>
      <c r="F15" s="6" t="s">
        <v>20</v>
      </c>
      <c r="G15" s="6"/>
      <c r="H15" s="6" t="s">
        <v>19</v>
      </c>
    </row>
    <row r="16" spans="2:8" x14ac:dyDescent="0.55000000000000004">
      <c r="B16" s="7"/>
      <c r="C16" s="306"/>
      <c r="D16" s="8"/>
      <c r="E16" s="8"/>
      <c r="F16" s="8"/>
      <c r="G16" s="8"/>
      <c r="H16" s="8"/>
    </row>
    <row r="17" spans="2:8" x14ac:dyDescent="0.55000000000000004">
      <c r="B17" t="s">
        <v>21</v>
      </c>
      <c r="C17" s="306"/>
      <c r="D17" s="6" t="s">
        <v>22</v>
      </c>
      <c r="E17" s="6"/>
      <c r="F17" s="6" t="s">
        <v>23</v>
      </c>
      <c r="G17" s="6"/>
      <c r="H17" s="6" t="s">
        <v>22</v>
      </c>
    </row>
    <row r="18" spans="2:8" x14ac:dyDescent="0.55000000000000004">
      <c r="C18" s="306"/>
      <c r="D18" s="6" t="s">
        <v>24</v>
      </c>
      <c r="E18" s="6"/>
      <c r="F18" s="6" t="s">
        <v>25</v>
      </c>
      <c r="G18" s="6"/>
      <c r="H18" s="6" t="s">
        <v>24</v>
      </c>
    </row>
    <row r="19" spans="2:8" x14ac:dyDescent="0.55000000000000004">
      <c r="C19" s="306"/>
      <c r="D19" s="6" t="s">
        <v>26</v>
      </c>
      <c r="E19" s="6"/>
      <c r="F19" s="6" t="s">
        <v>27</v>
      </c>
      <c r="G19" s="6"/>
      <c r="H19" s="6" t="s">
        <v>26</v>
      </c>
    </row>
    <row r="20" spans="2:8" x14ac:dyDescent="0.55000000000000004">
      <c r="B20" s="7"/>
      <c r="C20" s="306"/>
      <c r="D20" s="8"/>
      <c r="E20" s="8"/>
      <c r="F20" s="8"/>
      <c r="G20" s="8"/>
      <c r="H20" s="8"/>
    </row>
    <row r="21" spans="2:8" x14ac:dyDescent="0.55000000000000004">
      <c r="B21" t="s">
        <v>28</v>
      </c>
      <c r="C21" s="307" t="s">
        <v>29</v>
      </c>
      <c r="D21" s="6" t="s">
        <v>30</v>
      </c>
      <c r="E21" s="6"/>
      <c r="F21" s="6" t="s">
        <v>31</v>
      </c>
      <c r="G21" s="6"/>
      <c r="H21" s="6" t="s">
        <v>30</v>
      </c>
    </row>
    <row r="22" spans="2:8" x14ac:dyDescent="0.55000000000000004">
      <c r="C22" s="308"/>
      <c r="D22" s="6" t="s">
        <v>32</v>
      </c>
      <c r="E22" s="6"/>
      <c r="F22" s="6" t="s">
        <v>33</v>
      </c>
      <c r="G22" s="6"/>
      <c r="H22" s="6" t="s">
        <v>32</v>
      </c>
    </row>
    <row r="23" spans="2:8" x14ac:dyDescent="0.55000000000000004">
      <c r="C23" s="308"/>
      <c r="D23" s="6" t="s">
        <v>34</v>
      </c>
      <c r="E23" s="6"/>
      <c r="F23" s="6" t="s">
        <v>35</v>
      </c>
      <c r="G23" s="6"/>
      <c r="H23" s="6" t="s">
        <v>34</v>
      </c>
    </row>
    <row r="24" spans="2:8" x14ac:dyDescent="0.55000000000000004">
      <c r="B24" s="7"/>
      <c r="C24" s="308"/>
      <c r="D24" s="8"/>
      <c r="E24" s="8"/>
      <c r="F24" s="8"/>
      <c r="G24" s="8"/>
      <c r="H24" s="8"/>
    </row>
    <row r="25" spans="2:8" x14ac:dyDescent="0.55000000000000004">
      <c r="B25" t="s">
        <v>36</v>
      </c>
      <c r="C25" s="308"/>
      <c r="D25" s="6" t="s">
        <v>37</v>
      </c>
      <c r="E25" s="6"/>
      <c r="F25" s="6" t="s">
        <v>38</v>
      </c>
      <c r="G25" s="6"/>
      <c r="H25" s="6" t="s">
        <v>37</v>
      </c>
    </row>
    <row r="26" spans="2:8" x14ac:dyDescent="0.55000000000000004">
      <c r="C26" s="308"/>
      <c r="D26" s="6" t="s">
        <v>39</v>
      </c>
      <c r="E26" s="6"/>
      <c r="F26" s="6" t="s">
        <v>40</v>
      </c>
      <c r="G26" s="6"/>
      <c r="H26" s="6" t="s">
        <v>39</v>
      </c>
    </row>
    <row r="27" spans="2:8" x14ac:dyDescent="0.55000000000000004">
      <c r="C27" s="308"/>
      <c r="D27" s="6" t="s">
        <v>41</v>
      </c>
      <c r="E27" s="6"/>
      <c r="F27" s="6" t="s">
        <v>42</v>
      </c>
      <c r="G27" s="6"/>
      <c r="H27" s="6" t="s">
        <v>41</v>
      </c>
    </row>
    <row r="28" spans="2:8" x14ac:dyDescent="0.55000000000000004">
      <c r="B28" s="9"/>
      <c r="C28" s="309"/>
      <c r="D28" s="10"/>
      <c r="E28" s="8"/>
      <c r="F28" s="8"/>
      <c r="G28" s="8"/>
      <c r="H28" s="8"/>
    </row>
    <row r="29" spans="2:8" x14ac:dyDescent="0.55000000000000004">
      <c r="B29" t="s">
        <v>43</v>
      </c>
      <c r="C29" s="310" t="s">
        <v>44</v>
      </c>
      <c r="D29" s="6" t="s">
        <v>45</v>
      </c>
      <c r="E29" s="6"/>
      <c r="F29" s="6" t="s">
        <v>46</v>
      </c>
      <c r="G29" s="6"/>
      <c r="H29" s="6" t="s">
        <v>47</v>
      </c>
    </row>
    <row r="30" spans="2:8" x14ac:dyDescent="0.55000000000000004">
      <c r="C30" s="308"/>
      <c r="D30" s="6" t="s">
        <v>47</v>
      </c>
      <c r="E30" s="6"/>
      <c r="F30" s="6"/>
      <c r="G30" s="6"/>
      <c r="H30" s="6"/>
    </row>
    <row r="31" spans="2:8" x14ac:dyDescent="0.55000000000000004">
      <c r="C31" s="308"/>
      <c r="D31" s="6" t="s">
        <v>48</v>
      </c>
    </row>
    <row r="32" spans="2:8" x14ac:dyDescent="0.55000000000000004">
      <c r="C32" s="308"/>
      <c r="D32" s="6" t="s">
        <v>49</v>
      </c>
    </row>
    <row r="33" spans="2:8" x14ac:dyDescent="0.55000000000000004">
      <c r="C33" s="308"/>
      <c r="D33" s="6" t="s">
        <v>50</v>
      </c>
    </row>
    <row r="34" spans="2:8" x14ac:dyDescent="0.55000000000000004">
      <c r="B34" s="7"/>
      <c r="C34" s="311"/>
      <c r="D34" s="7"/>
      <c r="E34" s="7"/>
      <c r="F34" s="7"/>
      <c r="G34" s="7"/>
      <c r="H34" s="7"/>
    </row>
    <row r="35" spans="2:8" x14ac:dyDescent="0.55000000000000004">
      <c r="B35" t="s">
        <v>51</v>
      </c>
      <c r="C35" s="11" t="s">
        <v>52</v>
      </c>
      <c r="D35" s="6" t="s">
        <v>53</v>
      </c>
      <c r="F35" s="6" t="s">
        <v>53</v>
      </c>
      <c r="H35" t="s">
        <v>54</v>
      </c>
    </row>
    <row r="36" spans="2:8" x14ac:dyDescent="0.55000000000000004">
      <c r="B36" s="7"/>
      <c r="C36" s="12"/>
      <c r="D36" s="7"/>
      <c r="E36" s="7"/>
      <c r="F36" s="7"/>
      <c r="G36" s="7"/>
      <c r="H36" s="7"/>
    </row>
    <row r="37" spans="2:8" x14ac:dyDescent="0.55000000000000004">
      <c r="H37" s="13" t="s">
        <v>55</v>
      </c>
    </row>
  </sheetData>
  <mergeCells count="3">
    <mergeCell ref="C6:C20"/>
    <mergeCell ref="C21:C28"/>
    <mergeCell ref="C29:C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75DD-E662-4819-B7A0-F533DEB7A420}">
  <dimension ref="A1:M27"/>
  <sheetViews>
    <sheetView workbookViewId="0">
      <selection activeCell="H25" sqref="H25"/>
    </sheetView>
  </sheetViews>
  <sheetFormatPr defaultRowHeight="14.4" x14ac:dyDescent="0.55000000000000004"/>
  <cols>
    <col min="1" max="1" width="4.26171875" customWidth="1"/>
    <col min="2" max="2" width="25.7890625" customWidth="1"/>
    <col min="3" max="3" width="5.5234375" style="6" customWidth="1"/>
    <col min="4" max="4" width="11.47265625" customWidth="1"/>
    <col min="5" max="5" width="12.5234375" customWidth="1"/>
    <col min="6" max="6" width="6.15625" customWidth="1"/>
    <col min="7" max="7" width="5.734375" customWidth="1"/>
    <col min="8" max="12" width="11.26171875" customWidth="1"/>
    <col min="13" max="13" width="2.26171875" customWidth="1"/>
    <col min="14" max="14" width="12" customWidth="1"/>
    <col min="15" max="15" width="12.26171875" customWidth="1"/>
    <col min="16" max="16" width="11" customWidth="1"/>
    <col min="17" max="17" width="10.7890625" customWidth="1"/>
    <col min="18" max="18" width="12" customWidth="1"/>
    <col min="19" max="19" width="14.7890625" customWidth="1"/>
    <col min="20" max="20" width="13.734375" customWidth="1"/>
    <col min="21" max="21" width="13.7890625" customWidth="1"/>
    <col min="22" max="24" width="8.89453125"/>
    <col min="25" max="25" width="12.5234375" customWidth="1"/>
    <col min="26" max="26" width="13.15625" customWidth="1"/>
    <col min="27" max="252" width="8.89453125"/>
    <col min="253" max="253" width="4.26171875" customWidth="1"/>
    <col min="254" max="254" width="18.26171875" customWidth="1"/>
    <col min="255" max="255" width="10.26171875" bestFit="1" customWidth="1"/>
    <col min="256" max="256" width="11.47265625" customWidth="1"/>
    <col min="257" max="258" width="12.5234375" customWidth="1"/>
    <col min="259" max="259" width="10.26171875" bestFit="1" customWidth="1"/>
    <col min="260" max="265" width="11.26171875" customWidth="1"/>
    <col min="266" max="266" width="12.15625" customWidth="1"/>
    <col min="267" max="267" width="4.1015625" customWidth="1"/>
    <col min="268" max="268" width="4.7890625" customWidth="1"/>
    <col min="269" max="269" width="11.26171875" customWidth="1"/>
    <col min="270" max="270" width="12" customWidth="1"/>
    <col min="271" max="271" width="12.26171875" customWidth="1"/>
    <col min="272" max="272" width="11" customWidth="1"/>
    <col min="273" max="273" width="10.7890625" customWidth="1"/>
    <col min="274" max="274" width="12" customWidth="1"/>
    <col min="275" max="275" width="14.7890625" customWidth="1"/>
    <col min="276" max="276" width="13.734375" customWidth="1"/>
    <col min="277" max="277" width="13.7890625" customWidth="1"/>
    <col min="278" max="280" width="8.89453125"/>
    <col min="281" max="281" width="12.5234375" customWidth="1"/>
    <col min="282" max="282" width="13.15625" customWidth="1"/>
    <col min="283" max="508" width="8.89453125"/>
    <col min="509" max="509" width="4.26171875" customWidth="1"/>
    <col min="510" max="510" width="18.26171875" customWidth="1"/>
    <col min="511" max="511" width="10.26171875" bestFit="1" customWidth="1"/>
    <col min="512" max="512" width="11.47265625" customWidth="1"/>
    <col min="513" max="514" width="12.5234375" customWidth="1"/>
    <col min="515" max="515" width="10.26171875" bestFit="1" customWidth="1"/>
    <col min="516" max="521" width="11.26171875" customWidth="1"/>
    <col min="522" max="522" width="12.15625" customWidth="1"/>
    <col min="523" max="523" width="4.1015625" customWidth="1"/>
    <col min="524" max="524" width="4.7890625" customWidth="1"/>
    <col min="525" max="525" width="11.26171875" customWidth="1"/>
    <col min="526" max="526" width="12" customWidth="1"/>
    <col min="527" max="527" width="12.26171875" customWidth="1"/>
    <col min="528" max="528" width="11" customWidth="1"/>
    <col min="529" max="529" width="10.7890625" customWidth="1"/>
    <col min="530" max="530" width="12" customWidth="1"/>
    <col min="531" max="531" width="14.7890625" customWidth="1"/>
    <col min="532" max="532" width="13.734375" customWidth="1"/>
    <col min="533" max="533" width="13.7890625" customWidth="1"/>
    <col min="534" max="536" width="8.89453125"/>
    <col min="537" max="537" width="12.5234375" customWidth="1"/>
    <col min="538" max="538" width="13.15625" customWidth="1"/>
    <col min="539" max="764" width="8.89453125"/>
    <col min="765" max="765" width="4.26171875" customWidth="1"/>
    <col min="766" max="766" width="18.26171875" customWidth="1"/>
    <col min="767" max="767" width="10.26171875" bestFit="1" customWidth="1"/>
    <col min="768" max="768" width="11.47265625" customWidth="1"/>
    <col min="769" max="770" width="12.5234375" customWidth="1"/>
    <col min="771" max="771" width="10.26171875" bestFit="1" customWidth="1"/>
    <col min="772" max="777" width="11.26171875" customWidth="1"/>
    <col min="778" max="778" width="12.15625" customWidth="1"/>
    <col min="779" max="779" width="4.1015625" customWidth="1"/>
    <col min="780" max="780" width="4.7890625" customWidth="1"/>
    <col min="781" max="781" width="11.26171875" customWidth="1"/>
    <col min="782" max="782" width="12" customWidth="1"/>
    <col min="783" max="783" width="12.26171875" customWidth="1"/>
    <col min="784" max="784" width="11" customWidth="1"/>
    <col min="785" max="785" width="10.7890625" customWidth="1"/>
    <col min="786" max="786" width="12" customWidth="1"/>
    <col min="787" max="787" width="14.7890625" customWidth="1"/>
    <col min="788" max="788" width="13.734375" customWidth="1"/>
    <col min="789" max="789" width="13.7890625" customWidth="1"/>
    <col min="790" max="792" width="8.89453125"/>
    <col min="793" max="793" width="12.5234375" customWidth="1"/>
    <col min="794" max="794" width="13.15625" customWidth="1"/>
    <col min="795" max="1020" width="8.89453125"/>
    <col min="1021" max="1021" width="4.26171875" customWidth="1"/>
    <col min="1022" max="1022" width="18.26171875" customWidth="1"/>
    <col min="1023" max="1023" width="10.26171875" bestFit="1" customWidth="1"/>
    <col min="1024" max="1024" width="11.47265625" customWidth="1"/>
    <col min="1025" max="1026" width="12.5234375" customWidth="1"/>
    <col min="1027" max="1027" width="10.26171875" bestFit="1" customWidth="1"/>
    <col min="1028" max="1033" width="11.26171875" customWidth="1"/>
    <col min="1034" max="1034" width="12.15625" customWidth="1"/>
    <col min="1035" max="1035" width="4.1015625" customWidth="1"/>
    <col min="1036" max="1036" width="4.7890625" customWidth="1"/>
    <col min="1037" max="1037" width="11.26171875" customWidth="1"/>
    <col min="1038" max="1038" width="12" customWidth="1"/>
    <col min="1039" max="1039" width="12.26171875" customWidth="1"/>
    <col min="1040" max="1040" width="11" customWidth="1"/>
    <col min="1041" max="1041" width="10.7890625" customWidth="1"/>
    <col min="1042" max="1042" width="12" customWidth="1"/>
    <col min="1043" max="1043" width="14.7890625" customWidth="1"/>
    <col min="1044" max="1044" width="13.734375" customWidth="1"/>
    <col min="1045" max="1045" width="13.7890625" customWidth="1"/>
    <col min="1046" max="1048" width="8.89453125"/>
    <col min="1049" max="1049" width="12.5234375" customWidth="1"/>
    <col min="1050" max="1050" width="13.15625" customWidth="1"/>
    <col min="1051" max="1276" width="8.89453125"/>
    <col min="1277" max="1277" width="4.26171875" customWidth="1"/>
    <col min="1278" max="1278" width="18.26171875" customWidth="1"/>
    <col min="1279" max="1279" width="10.26171875" bestFit="1" customWidth="1"/>
    <col min="1280" max="1280" width="11.47265625" customWidth="1"/>
    <col min="1281" max="1282" width="12.5234375" customWidth="1"/>
    <col min="1283" max="1283" width="10.26171875" bestFit="1" customWidth="1"/>
    <col min="1284" max="1289" width="11.26171875" customWidth="1"/>
    <col min="1290" max="1290" width="12.15625" customWidth="1"/>
    <col min="1291" max="1291" width="4.1015625" customWidth="1"/>
    <col min="1292" max="1292" width="4.7890625" customWidth="1"/>
    <col min="1293" max="1293" width="11.26171875" customWidth="1"/>
    <col min="1294" max="1294" width="12" customWidth="1"/>
    <col min="1295" max="1295" width="12.26171875" customWidth="1"/>
    <col min="1296" max="1296" width="11" customWidth="1"/>
    <col min="1297" max="1297" width="10.7890625" customWidth="1"/>
    <col min="1298" max="1298" width="12" customWidth="1"/>
    <col min="1299" max="1299" width="14.7890625" customWidth="1"/>
    <col min="1300" max="1300" width="13.734375" customWidth="1"/>
    <col min="1301" max="1301" width="13.7890625" customWidth="1"/>
    <col min="1302" max="1304" width="8.89453125"/>
    <col min="1305" max="1305" width="12.5234375" customWidth="1"/>
    <col min="1306" max="1306" width="13.15625" customWidth="1"/>
    <col min="1307" max="1532" width="8.89453125"/>
    <col min="1533" max="1533" width="4.26171875" customWidth="1"/>
    <col min="1534" max="1534" width="18.26171875" customWidth="1"/>
    <col min="1535" max="1535" width="10.26171875" bestFit="1" customWidth="1"/>
    <col min="1536" max="1536" width="11.47265625" customWidth="1"/>
    <col min="1537" max="1538" width="12.5234375" customWidth="1"/>
    <col min="1539" max="1539" width="10.26171875" bestFit="1" customWidth="1"/>
    <col min="1540" max="1545" width="11.26171875" customWidth="1"/>
    <col min="1546" max="1546" width="12.15625" customWidth="1"/>
    <col min="1547" max="1547" width="4.1015625" customWidth="1"/>
    <col min="1548" max="1548" width="4.7890625" customWidth="1"/>
    <col min="1549" max="1549" width="11.26171875" customWidth="1"/>
    <col min="1550" max="1550" width="12" customWidth="1"/>
    <col min="1551" max="1551" width="12.26171875" customWidth="1"/>
    <col min="1552" max="1552" width="11" customWidth="1"/>
    <col min="1553" max="1553" width="10.7890625" customWidth="1"/>
    <col min="1554" max="1554" width="12" customWidth="1"/>
    <col min="1555" max="1555" width="14.7890625" customWidth="1"/>
    <col min="1556" max="1556" width="13.734375" customWidth="1"/>
    <col min="1557" max="1557" width="13.7890625" customWidth="1"/>
    <col min="1558" max="1560" width="8.89453125"/>
    <col min="1561" max="1561" width="12.5234375" customWidth="1"/>
    <col min="1562" max="1562" width="13.15625" customWidth="1"/>
    <col min="1563" max="1788" width="8.89453125"/>
    <col min="1789" max="1789" width="4.26171875" customWidth="1"/>
    <col min="1790" max="1790" width="18.26171875" customWidth="1"/>
    <col min="1791" max="1791" width="10.26171875" bestFit="1" customWidth="1"/>
    <col min="1792" max="1792" width="11.47265625" customWidth="1"/>
    <col min="1793" max="1794" width="12.5234375" customWidth="1"/>
    <col min="1795" max="1795" width="10.26171875" bestFit="1" customWidth="1"/>
    <col min="1796" max="1801" width="11.26171875" customWidth="1"/>
    <col min="1802" max="1802" width="12.15625" customWidth="1"/>
    <col min="1803" max="1803" width="4.1015625" customWidth="1"/>
    <col min="1804" max="1804" width="4.7890625" customWidth="1"/>
    <col min="1805" max="1805" width="11.26171875" customWidth="1"/>
    <col min="1806" max="1806" width="12" customWidth="1"/>
    <col min="1807" max="1807" width="12.26171875" customWidth="1"/>
    <col min="1808" max="1808" width="11" customWidth="1"/>
    <col min="1809" max="1809" width="10.7890625" customWidth="1"/>
    <col min="1810" max="1810" width="12" customWidth="1"/>
    <col min="1811" max="1811" width="14.7890625" customWidth="1"/>
    <col min="1812" max="1812" width="13.734375" customWidth="1"/>
    <col min="1813" max="1813" width="13.7890625" customWidth="1"/>
    <col min="1814" max="1816" width="8.89453125"/>
    <col min="1817" max="1817" width="12.5234375" customWidth="1"/>
    <col min="1818" max="1818" width="13.15625" customWidth="1"/>
    <col min="1819" max="2044" width="8.89453125"/>
    <col min="2045" max="2045" width="4.26171875" customWidth="1"/>
    <col min="2046" max="2046" width="18.26171875" customWidth="1"/>
    <col min="2047" max="2047" width="10.26171875" bestFit="1" customWidth="1"/>
    <col min="2048" max="2048" width="11.47265625" customWidth="1"/>
    <col min="2049" max="2050" width="12.5234375" customWidth="1"/>
    <col min="2051" max="2051" width="10.26171875" bestFit="1" customWidth="1"/>
    <col min="2052" max="2057" width="11.26171875" customWidth="1"/>
    <col min="2058" max="2058" width="12.15625" customWidth="1"/>
    <col min="2059" max="2059" width="4.1015625" customWidth="1"/>
    <col min="2060" max="2060" width="4.7890625" customWidth="1"/>
    <col min="2061" max="2061" width="11.26171875" customWidth="1"/>
    <col min="2062" max="2062" width="12" customWidth="1"/>
    <col min="2063" max="2063" width="12.26171875" customWidth="1"/>
    <col min="2064" max="2064" width="11" customWidth="1"/>
    <col min="2065" max="2065" width="10.7890625" customWidth="1"/>
    <col min="2066" max="2066" width="12" customWidth="1"/>
    <col min="2067" max="2067" width="14.7890625" customWidth="1"/>
    <col min="2068" max="2068" width="13.734375" customWidth="1"/>
    <col min="2069" max="2069" width="13.7890625" customWidth="1"/>
    <col min="2070" max="2072" width="8.89453125"/>
    <col min="2073" max="2073" width="12.5234375" customWidth="1"/>
    <col min="2074" max="2074" width="13.15625" customWidth="1"/>
    <col min="2075" max="2300" width="8.89453125"/>
    <col min="2301" max="2301" width="4.26171875" customWidth="1"/>
    <col min="2302" max="2302" width="18.26171875" customWidth="1"/>
    <col min="2303" max="2303" width="10.26171875" bestFit="1" customWidth="1"/>
    <col min="2304" max="2304" width="11.47265625" customWidth="1"/>
    <col min="2305" max="2306" width="12.5234375" customWidth="1"/>
    <col min="2307" max="2307" width="10.26171875" bestFit="1" customWidth="1"/>
    <col min="2308" max="2313" width="11.26171875" customWidth="1"/>
    <col min="2314" max="2314" width="12.15625" customWidth="1"/>
    <col min="2315" max="2315" width="4.1015625" customWidth="1"/>
    <col min="2316" max="2316" width="4.7890625" customWidth="1"/>
    <col min="2317" max="2317" width="11.26171875" customWidth="1"/>
    <col min="2318" max="2318" width="12" customWidth="1"/>
    <col min="2319" max="2319" width="12.26171875" customWidth="1"/>
    <col min="2320" max="2320" width="11" customWidth="1"/>
    <col min="2321" max="2321" width="10.7890625" customWidth="1"/>
    <col min="2322" max="2322" width="12" customWidth="1"/>
    <col min="2323" max="2323" width="14.7890625" customWidth="1"/>
    <col min="2324" max="2324" width="13.734375" customWidth="1"/>
    <col min="2325" max="2325" width="13.7890625" customWidth="1"/>
    <col min="2326" max="2328" width="8.89453125"/>
    <col min="2329" max="2329" width="12.5234375" customWidth="1"/>
    <col min="2330" max="2330" width="13.15625" customWidth="1"/>
    <col min="2331" max="2556" width="8.89453125"/>
    <col min="2557" max="2557" width="4.26171875" customWidth="1"/>
    <col min="2558" max="2558" width="18.26171875" customWidth="1"/>
    <col min="2559" max="2559" width="10.26171875" bestFit="1" customWidth="1"/>
    <col min="2560" max="2560" width="11.47265625" customWidth="1"/>
    <col min="2561" max="2562" width="12.5234375" customWidth="1"/>
    <col min="2563" max="2563" width="10.26171875" bestFit="1" customWidth="1"/>
    <col min="2564" max="2569" width="11.26171875" customWidth="1"/>
    <col min="2570" max="2570" width="12.15625" customWidth="1"/>
    <col min="2571" max="2571" width="4.1015625" customWidth="1"/>
    <col min="2572" max="2572" width="4.7890625" customWidth="1"/>
    <col min="2573" max="2573" width="11.26171875" customWidth="1"/>
    <col min="2574" max="2574" width="12" customWidth="1"/>
    <col min="2575" max="2575" width="12.26171875" customWidth="1"/>
    <col min="2576" max="2576" width="11" customWidth="1"/>
    <col min="2577" max="2577" width="10.7890625" customWidth="1"/>
    <col min="2578" max="2578" width="12" customWidth="1"/>
    <col min="2579" max="2579" width="14.7890625" customWidth="1"/>
    <col min="2580" max="2580" width="13.734375" customWidth="1"/>
    <col min="2581" max="2581" width="13.7890625" customWidth="1"/>
    <col min="2582" max="2584" width="8.89453125"/>
    <col min="2585" max="2585" width="12.5234375" customWidth="1"/>
    <col min="2586" max="2586" width="13.15625" customWidth="1"/>
    <col min="2587" max="2812" width="8.89453125"/>
    <col min="2813" max="2813" width="4.26171875" customWidth="1"/>
    <col min="2814" max="2814" width="18.26171875" customWidth="1"/>
    <col min="2815" max="2815" width="10.26171875" bestFit="1" customWidth="1"/>
    <col min="2816" max="2816" width="11.47265625" customWidth="1"/>
    <col min="2817" max="2818" width="12.5234375" customWidth="1"/>
    <col min="2819" max="2819" width="10.26171875" bestFit="1" customWidth="1"/>
    <col min="2820" max="2825" width="11.26171875" customWidth="1"/>
    <col min="2826" max="2826" width="12.15625" customWidth="1"/>
    <col min="2827" max="2827" width="4.1015625" customWidth="1"/>
    <col min="2828" max="2828" width="4.7890625" customWidth="1"/>
    <col min="2829" max="2829" width="11.26171875" customWidth="1"/>
    <col min="2830" max="2830" width="12" customWidth="1"/>
    <col min="2831" max="2831" width="12.26171875" customWidth="1"/>
    <col min="2832" max="2832" width="11" customWidth="1"/>
    <col min="2833" max="2833" width="10.7890625" customWidth="1"/>
    <col min="2834" max="2834" width="12" customWidth="1"/>
    <col min="2835" max="2835" width="14.7890625" customWidth="1"/>
    <col min="2836" max="2836" width="13.734375" customWidth="1"/>
    <col min="2837" max="2837" width="13.7890625" customWidth="1"/>
    <col min="2838" max="2840" width="8.89453125"/>
    <col min="2841" max="2841" width="12.5234375" customWidth="1"/>
    <col min="2842" max="2842" width="13.15625" customWidth="1"/>
    <col min="2843" max="3068" width="8.89453125"/>
    <col min="3069" max="3069" width="4.26171875" customWidth="1"/>
    <col min="3070" max="3070" width="18.26171875" customWidth="1"/>
    <col min="3071" max="3071" width="10.26171875" bestFit="1" customWidth="1"/>
    <col min="3072" max="3072" width="11.47265625" customWidth="1"/>
    <col min="3073" max="3074" width="12.5234375" customWidth="1"/>
    <col min="3075" max="3075" width="10.26171875" bestFit="1" customWidth="1"/>
    <col min="3076" max="3081" width="11.26171875" customWidth="1"/>
    <col min="3082" max="3082" width="12.15625" customWidth="1"/>
    <col min="3083" max="3083" width="4.1015625" customWidth="1"/>
    <col min="3084" max="3084" width="4.7890625" customWidth="1"/>
    <col min="3085" max="3085" width="11.26171875" customWidth="1"/>
    <col min="3086" max="3086" width="12" customWidth="1"/>
    <col min="3087" max="3087" width="12.26171875" customWidth="1"/>
    <col min="3088" max="3088" width="11" customWidth="1"/>
    <col min="3089" max="3089" width="10.7890625" customWidth="1"/>
    <col min="3090" max="3090" width="12" customWidth="1"/>
    <col min="3091" max="3091" width="14.7890625" customWidth="1"/>
    <col min="3092" max="3092" width="13.734375" customWidth="1"/>
    <col min="3093" max="3093" width="13.7890625" customWidth="1"/>
    <col min="3094" max="3096" width="8.89453125"/>
    <col min="3097" max="3097" width="12.5234375" customWidth="1"/>
    <col min="3098" max="3098" width="13.15625" customWidth="1"/>
    <col min="3099" max="3324" width="8.89453125"/>
    <col min="3325" max="3325" width="4.26171875" customWidth="1"/>
    <col min="3326" max="3326" width="18.26171875" customWidth="1"/>
    <col min="3327" max="3327" width="10.26171875" bestFit="1" customWidth="1"/>
    <col min="3328" max="3328" width="11.47265625" customWidth="1"/>
    <col min="3329" max="3330" width="12.5234375" customWidth="1"/>
    <col min="3331" max="3331" width="10.26171875" bestFit="1" customWidth="1"/>
    <col min="3332" max="3337" width="11.26171875" customWidth="1"/>
    <col min="3338" max="3338" width="12.15625" customWidth="1"/>
    <col min="3339" max="3339" width="4.1015625" customWidth="1"/>
    <col min="3340" max="3340" width="4.7890625" customWidth="1"/>
    <col min="3341" max="3341" width="11.26171875" customWidth="1"/>
    <col min="3342" max="3342" width="12" customWidth="1"/>
    <col min="3343" max="3343" width="12.26171875" customWidth="1"/>
    <col min="3344" max="3344" width="11" customWidth="1"/>
    <col min="3345" max="3345" width="10.7890625" customWidth="1"/>
    <col min="3346" max="3346" width="12" customWidth="1"/>
    <col min="3347" max="3347" width="14.7890625" customWidth="1"/>
    <col min="3348" max="3348" width="13.734375" customWidth="1"/>
    <col min="3349" max="3349" width="13.7890625" customWidth="1"/>
    <col min="3350" max="3352" width="8.89453125"/>
    <col min="3353" max="3353" width="12.5234375" customWidth="1"/>
    <col min="3354" max="3354" width="13.15625" customWidth="1"/>
    <col min="3355" max="3580" width="8.89453125"/>
    <col min="3581" max="3581" width="4.26171875" customWidth="1"/>
    <col min="3582" max="3582" width="18.26171875" customWidth="1"/>
    <col min="3583" max="3583" width="10.26171875" bestFit="1" customWidth="1"/>
    <col min="3584" max="3584" width="11.47265625" customWidth="1"/>
    <col min="3585" max="3586" width="12.5234375" customWidth="1"/>
    <col min="3587" max="3587" width="10.26171875" bestFit="1" customWidth="1"/>
    <col min="3588" max="3593" width="11.26171875" customWidth="1"/>
    <col min="3594" max="3594" width="12.15625" customWidth="1"/>
    <col min="3595" max="3595" width="4.1015625" customWidth="1"/>
    <col min="3596" max="3596" width="4.7890625" customWidth="1"/>
    <col min="3597" max="3597" width="11.26171875" customWidth="1"/>
    <col min="3598" max="3598" width="12" customWidth="1"/>
    <col min="3599" max="3599" width="12.26171875" customWidth="1"/>
    <col min="3600" max="3600" width="11" customWidth="1"/>
    <col min="3601" max="3601" width="10.7890625" customWidth="1"/>
    <col min="3602" max="3602" width="12" customWidth="1"/>
    <col min="3603" max="3603" width="14.7890625" customWidth="1"/>
    <col min="3604" max="3604" width="13.734375" customWidth="1"/>
    <col min="3605" max="3605" width="13.7890625" customWidth="1"/>
    <col min="3606" max="3608" width="8.89453125"/>
    <col min="3609" max="3609" width="12.5234375" customWidth="1"/>
    <col min="3610" max="3610" width="13.15625" customWidth="1"/>
    <col min="3611" max="3836" width="8.89453125"/>
    <col min="3837" max="3837" width="4.26171875" customWidth="1"/>
    <col min="3838" max="3838" width="18.26171875" customWidth="1"/>
    <col min="3839" max="3839" width="10.26171875" bestFit="1" customWidth="1"/>
    <col min="3840" max="3840" width="11.47265625" customWidth="1"/>
    <col min="3841" max="3842" width="12.5234375" customWidth="1"/>
    <col min="3843" max="3843" width="10.26171875" bestFit="1" customWidth="1"/>
    <col min="3844" max="3849" width="11.26171875" customWidth="1"/>
    <col min="3850" max="3850" width="12.15625" customWidth="1"/>
    <col min="3851" max="3851" width="4.1015625" customWidth="1"/>
    <col min="3852" max="3852" width="4.7890625" customWidth="1"/>
    <col min="3853" max="3853" width="11.26171875" customWidth="1"/>
    <col min="3854" max="3854" width="12" customWidth="1"/>
    <col min="3855" max="3855" width="12.26171875" customWidth="1"/>
    <col min="3856" max="3856" width="11" customWidth="1"/>
    <col min="3857" max="3857" width="10.7890625" customWidth="1"/>
    <col min="3858" max="3858" width="12" customWidth="1"/>
    <col min="3859" max="3859" width="14.7890625" customWidth="1"/>
    <col min="3860" max="3860" width="13.734375" customWidth="1"/>
    <col min="3861" max="3861" width="13.7890625" customWidth="1"/>
    <col min="3862" max="3864" width="8.89453125"/>
    <col min="3865" max="3865" width="12.5234375" customWidth="1"/>
    <col min="3866" max="3866" width="13.15625" customWidth="1"/>
    <col min="3867" max="4092" width="8.89453125"/>
    <col min="4093" max="4093" width="4.26171875" customWidth="1"/>
    <col min="4094" max="4094" width="18.26171875" customWidth="1"/>
    <col min="4095" max="4095" width="10.26171875" bestFit="1" customWidth="1"/>
    <col min="4096" max="4096" width="11.47265625" customWidth="1"/>
    <col min="4097" max="4098" width="12.5234375" customWidth="1"/>
    <col min="4099" max="4099" width="10.26171875" bestFit="1" customWidth="1"/>
    <col min="4100" max="4105" width="11.26171875" customWidth="1"/>
    <col min="4106" max="4106" width="12.15625" customWidth="1"/>
    <col min="4107" max="4107" width="4.1015625" customWidth="1"/>
    <col min="4108" max="4108" width="4.7890625" customWidth="1"/>
    <col min="4109" max="4109" width="11.26171875" customWidth="1"/>
    <col min="4110" max="4110" width="12" customWidth="1"/>
    <col min="4111" max="4111" width="12.26171875" customWidth="1"/>
    <col min="4112" max="4112" width="11" customWidth="1"/>
    <col min="4113" max="4113" width="10.7890625" customWidth="1"/>
    <col min="4114" max="4114" width="12" customWidth="1"/>
    <col min="4115" max="4115" width="14.7890625" customWidth="1"/>
    <col min="4116" max="4116" width="13.734375" customWidth="1"/>
    <col min="4117" max="4117" width="13.7890625" customWidth="1"/>
    <col min="4118" max="4120" width="8.89453125"/>
    <col min="4121" max="4121" width="12.5234375" customWidth="1"/>
    <col min="4122" max="4122" width="13.15625" customWidth="1"/>
    <col min="4123" max="4348" width="8.89453125"/>
    <col min="4349" max="4349" width="4.26171875" customWidth="1"/>
    <col min="4350" max="4350" width="18.26171875" customWidth="1"/>
    <col min="4351" max="4351" width="10.26171875" bestFit="1" customWidth="1"/>
    <col min="4352" max="4352" width="11.47265625" customWidth="1"/>
    <col min="4353" max="4354" width="12.5234375" customWidth="1"/>
    <col min="4355" max="4355" width="10.26171875" bestFit="1" customWidth="1"/>
    <col min="4356" max="4361" width="11.26171875" customWidth="1"/>
    <col min="4362" max="4362" width="12.15625" customWidth="1"/>
    <col min="4363" max="4363" width="4.1015625" customWidth="1"/>
    <col min="4364" max="4364" width="4.7890625" customWidth="1"/>
    <col min="4365" max="4365" width="11.26171875" customWidth="1"/>
    <col min="4366" max="4366" width="12" customWidth="1"/>
    <col min="4367" max="4367" width="12.26171875" customWidth="1"/>
    <col min="4368" max="4368" width="11" customWidth="1"/>
    <col min="4369" max="4369" width="10.7890625" customWidth="1"/>
    <col min="4370" max="4370" width="12" customWidth="1"/>
    <col min="4371" max="4371" width="14.7890625" customWidth="1"/>
    <col min="4372" max="4372" width="13.734375" customWidth="1"/>
    <col min="4373" max="4373" width="13.7890625" customWidth="1"/>
    <col min="4374" max="4376" width="8.89453125"/>
    <col min="4377" max="4377" width="12.5234375" customWidth="1"/>
    <col min="4378" max="4378" width="13.15625" customWidth="1"/>
    <col min="4379" max="4604" width="8.89453125"/>
    <col min="4605" max="4605" width="4.26171875" customWidth="1"/>
    <col min="4606" max="4606" width="18.26171875" customWidth="1"/>
    <col min="4607" max="4607" width="10.26171875" bestFit="1" customWidth="1"/>
    <col min="4608" max="4608" width="11.47265625" customWidth="1"/>
    <col min="4609" max="4610" width="12.5234375" customWidth="1"/>
    <col min="4611" max="4611" width="10.26171875" bestFit="1" customWidth="1"/>
    <col min="4612" max="4617" width="11.26171875" customWidth="1"/>
    <col min="4618" max="4618" width="12.15625" customWidth="1"/>
    <col min="4619" max="4619" width="4.1015625" customWidth="1"/>
    <col min="4620" max="4620" width="4.7890625" customWidth="1"/>
    <col min="4621" max="4621" width="11.26171875" customWidth="1"/>
    <col min="4622" max="4622" width="12" customWidth="1"/>
    <col min="4623" max="4623" width="12.26171875" customWidth="1"/>
    <col min="4624" max="4624" width="11" customWidth="1"/>
    <col min="4625" max="4625" width="10.7890625" customWidth="1"/>
    <col min="4626" max="4626" width="12" customWidth="1"/>
    <col min="4627" max="4627" width="14.7890625" customWidth="1"/>
    <col min="4628" max="4628" width="13.734375" customWidth="1"/>
    <col min="4629" max="4629" width="13.7890625" customWidth="1"/>
    <col min="4630" max="4632" width="8.89453125"/>
    <col min="4633" max="4633" width="12.5234375" customWidth="1"/>
    <col min="4634" max="4634" width="13.15625" customWidth="1"/>
    <col min="4635" max="4860" width="8.89453125"/>
    <col min="4861" max="4861" width="4.26171875" customWidth="1"/>
    <col min="4862" max="4862" width="18.26171875" customWidth="1"/>
    <col min="4863" max="4863" width="10.26171875" bestFit="1" customWidth="1"/>
    <col min="4864" max="4864" width="11.47265625" customWidth="1"/>
    <col min="4865" max="4866" width="12.5234375" customWidth="1"/>
    <col min="4867" max="4867" width="10.26171875" bestFit="1" customWidth="1"/>
    <col min="4868" max="4873" width="11.26171875" customWidth="1"/>
    <col min="4874" max="4874" width="12.15625" customWidth="1"/>
    <col min="4875" max="4875" width="4.1015625" customWidth="1"/>
    <col min="4876" max="4876" width="4.7890625" customWidth="1"/>
    <col min="4877" max="4877" width="11.26171875" customWidth="1"/>
    <col min="4878" max="4878" width="12" customWidth="1"/>
    <col min="4879" max="4879" width="12.26171875" customWidth="1"/>
    <col min="4880" max="4880" width="11" customWidth="1"/>
    <col min="4881" max="4881" width="10.7890625" customWidth="1"/>
    <col min="4882" max="4882" width="12" customWidth="1"/>
    <col min="4883" max="4883" width="14.7890625" customWidth="1"/>
    <col min="4884" max="4884" width="13.734375" customWidth="1"/>
    <col min="4885" max="4885" width="13.7890625" customWidth="1"/>
    <col min="4886" max="4888" width="8.89453125"/>
    <col min="4889" max="4889" width="12.5234375" customWidth="1"/>
    <col min="4890" max="4890" width="13.15625" customWidth="1"/>
    <col min="4891" max="5116" width="8.89453125"/>
    <col min="5117" max="5117" width="4.26171875" customWidth="1"/>
    <col min="5118" max="5118" width="18.26171875" customWidth="1"/>
    <col min="5119" max="5119" width="10.26171875" bestFit="1" customWidth="1"/>
    <col min="5120" max="5120" width="11.47265625" customWidth="1"/>
    <col min="5121" max="5122" width="12.5234375" customWidth="1"/>
    <col min="5123" max="5123" width="10.26171875" bestFit="1" customWidth="1"/>
    <col min="5124" max="5129" width="11.26171875" customWidth="1"/>
    <col min="5130" max="5130" width="12.15625" customWidth="1"/>
    <col min="5131" max="5131" width="4.1015625" customWidth="1"/>
    <col min="5132" max="5132" width="4.7890625" customWidth="1"/>
    <col min="5133" max="5133" width="11.26171875" customWidth="1"/>
    <col min="5134" max="5134" width="12" customWidth="1"/>
    <col min="5135" max="5135" width="12.26171875" customWidth="1"/>
    <col min="5136" max="5136" width="11" customWidth="1"/>
    <col min="5137" max="5137" width="10.7890625" customWidth="1"/>
    <col min="5138" max="5138" width="12" customWidth="1"/>
    <col min="5139" max="5139" width="14.7890625" customWidth="1"/>
    <col min="5140" max="5140" width="13.734375" customWidth="1"/>
    <col min="5141" max="5141" width="13.7890625" customWidth="1"/>
    <col min="5142" max="5144" width="8.89453125"/>
    <col min="5145" max="5145" width="12.5234375" customWidth="1"/>
    <col min="5146" max="5146" width="13.15625" customWidth="1"/>
    <col min="5147" max="5372" width="8.89453125"/>
    <col min="5373" max="5373" width="4.26171875" customWidth="1"/>
    <col min="5374" max="5374" width="18.26171875" customWidth="1"/>
    <col min="5375" max="5375" width="10.26171875" bestFit="1" customWidth="1"/>
    <col min="5376" max="5376" width="11.47265625" customWidth="1"/>
    <col min="5377" max="5378" width="12.5234375" customWidth="1"/>
    <col min="5379" max="5379" width="10.26171875" bestFit="1" customWidth="1"/>
    <col min="5380" max="5385" width="11.26171875" customWidth="1"/>
    <col min="5386" max="5386" width="12.15625" customWidth="1"/>
    <col min="5387" max="5387" width="4.1015625" customWidth="1"/>
    <col min="5388" max="5388" width="4.7890625" customWidth="1"/>
    <col min="5389" max="5389" width="11.26171875" customWidth="1"/>
    <col min="5390" max="5390" width="12" customWidth="1"/>
    <col min="5391" max="5391" width="12.26171875" customWidth="1"/>
    <col min="5392" max="5392" width="11" customWidth="1"/>
    <col min="5393" max="5393" width="10.7890625" customWidth="1"/>
    <col min="5394" max="5394" width="12" customWidth="1"/>
    <col min="5395" max="5395" width="14.7890625" customWidth="1"/>
    <col min="5396" max="5396" width="13.734375" customWidth="1"/>
    <col min="5397" max="5397" width="13.7890625" customWidth="1"/>
    <col min="5398" max="5400" width="8.89453125"/>
    <col min="5401" max="5401" width="12.5234375" customWidth="1"/>
    <col min="5402" max="5402" width="13.15625" customWidth="1"/>
    <col min="5403" max="5628" width="8.89453125"/>
    <col min="5629" max="5629" width="4.26171875" customWidth="1"/>
    <col min="5630" max="5630" width="18.26171875" customWidth="1"/>
    <col min="5631" max="5631" width="10.26171875" bestFit="1" customWidth="1"/>
    <col min="5632" max="5632" width="11.47265625" customWidth="1"/>
    <col min="5633" max="5634" width="12.5234375" customWidth="1"/>
    <col min="5635" max="5635" width="10.26171875" bestFit="1" customWidth="1"/>
    <col min="5636" max="5641" width="11.26171875" customWidth="1"/>
    <col min="5642" max="5642" width="12.15625" customWidth="1"/>
    <col min="5643" max="5643" width="4.1015625" customWidth="1"/>
    <col min="5644" max="5644" width="4.7890625" customWidth="1"/>
    <col min="5645" max="5645" width="11.26171875" customWidth="1"/>
    <col min="5646" max="5646" width="12" customWidth="1"/>
    <col min="5647" max="5647" width="12.26171875" customWidth="1"/>
    <col min="5648" max="5648" width="11" customWidth="1"/>
    <col min="5649" max="5649" width="10.7890625" customWidth="1"/>
    <col min="5650" max="5650" width="12" customWidth="1"/>
    <col min="5651" max="5651" width="14.7890625" customWidth="1"/>
    <col min="5652" max="5652" width="13.734375" customWidth="1"/>
    <col min="5653" max="5653" width="13.7890625" customWidth="1"/>
    <col min="5654" max="5656" width="8.89453125"/>
    <col min="5657" max="5657" width="12.5234375" customWidth="1"/>
    <col min="5658" max="5658" width="13.15625" customWidth="1"/>
    <col min="5659" max="5884" width="8.89453125"/>
    <col min="5885" max="5885" width="4.26171875" customWidth="1"/>
    <col min="5886" max="5886" width="18.26171875" customWidth="1"/>
    <col min="5887" max="5887" width="10.26171875" bestFit="1" customWidth="1"/>
    <col min="5888" max="5888" width="11.47265625" customWidth="1"/>
    <col min="5889" max="5890" width="12.5234375" customWidth="1"/>
    <col min="5891" max="5891" width="10.26171875" bestFit="1" customWidth="1"/>
    <col min="5892" max="5897" width="11.26171875" customWidth="1"/>
    <col min="5898" max="5898" width="12.15625" customWidth="1"/>
    <col min="5899" max="5899" width="4.1015625" customWidth="1"/>
    <col min="5900" max="5900" width="4.7890625" customWidth="1"/>
    <col min="5901" max="5901" width="11.26171875" customWidth="1"/>
    <col min="5902" max="5902" width="12" customWidth="1"/>
    <col min="5903" max="5903" width="12.26171875" customWidth="1"/>
    <col min="5904" max="5904" width="11" customWidth="1"/>
    <col min="5905" max="5905" width="10.7890625" customWidth="1"/>
    <col min="5906" max="5906" width="12" customWidth="1"/>
    <col min="5907" max="5907" width="14.7890625" customWidth="1"/>
    <col min="5908" max="5908" width="13.734375" customWidth="1"/>
    <col min="5909" max="5909" width="13.7890625" customWidth="1"/>
    <col min="5910" max="5912" width="8.89453125"/>
    <col min="5913" max="5913" width="12.5234375" customWidth="1"/>
    <col min="5914" max="5914" width="13.15625" customWidth="1"/>
    <col min="5915" max="6140" width="8.89453125"/>
    <col min="6141" max="6141" width="4.26171875" customWidth="1"/>
    <col min="6142" max="6142" width="18.26171875" customWidth="1"/>
    <col min="6143" max="6143" width="10.26171875" bestFit="1" customWidth="1"/>
    <col min="6144" max="6144" width="11.47265625" customWidth="1"/>
    <col min="6145" max="6146" width="12.5234375" customWidth="1"/>
    <col min="6147" max="6147" width="10.26171875" bestFit="1" customWidth="1"/>
    <col min="6148" max="6153" width="11.26171875" customWidth="1"/>
    <col min="6154" max="6154" width="12.15625" customWidth="1"/>
    <col min="6155" max="6155" width="4.1015625" customWidth="1"/>
    <col min="6156" max="6156" width="4.7890625" customWidth="1"/>
    <col min="6157" max="6157" width="11.26171875" customWidth="1"/>
    <col min="6158" max="6158" width="12" customWidth="1"/>
    <col min="6159" max="6159" width="12.26171875" customWidth="1"/>
    <col min="6160" max="6160" width="11" customWidth="1"/>
    <col min="6161" max="6161" width="10.7890625" customWidth="1"/>
    <col min="6162" max="6162" width="12" customWidth="1"/>
    <col min="6163" max="6163" width="14.7890625" customWidth="1"/>
    <col min="6164" max="6164" width="13.734375" customWidth="1"/>
    <col min="6165" max="6165" width="13.7890625" customWidth="1"/>
    <col min="6166" max="6168" width="8.89453125"/>
    <col min="6169" max="6169" width="12.5234375" customWidth="1"/>
    <col min="6170" max="6170" width="13.15625" customWidth="1"/>
    <col min="6171" max="6396" width="8.89453125"/>
    <col min="6397" max="6397" width="4.26171875" customWidth="1"/>
    <col min="6398" max="6398" width="18.26171875" customWidth="1"/>
    <col min="6399" max="6399" width="10.26171875" bestFit="1" customWidth="1"/>
    <col min="6400" max="6400" width="11.47265625" customWidth="1"/>
    <col min="6401" max="6402" width="12.5234375" customWidth="1"/>
    <col min="6403" max="6403" width="10.26171875" bestFit="1" customWidth="1"/>
    <col min="6404" max="6409" width="11.26171875" customWidth="1"/>
    <col min="6410" max="6410" width="12.15625" customWidth="1"/>
    <col min="6411" max="6411" width="4.1015625" customWidth="1"/>
    <col min="6412" max="6412" width="4.7890625" customWidth="1"/>
    <col min="6413" max="6413" width="11.26171875" customWidth="1"/>
    <col min="6414" max="6414" width="12" customWidth="1"/>
    <col min="6415" max="6415" width="12.26171875" customWidth="1"/>
    <col min="6416" max="6416" width="11" customWidth="1"/>
    <col min="6417" max="6417" width="10.7890625" customWidth="1"/>
    <col min="6418" max="6418" width="12" customWidth="1"/>
    <col min="6419" max="6419" width="14.7890625" customWidth="1"/>
    <col min="6420" max="6420" width="13.734375" customWidth="1"/>
    <col min="6421" max="6421" width="13.7890625" customWidth="1"/>
    <col min="6422" max="6424" width="8.89453125"/>
    <col min="6425" max="6425" width="12.5234375" customWidth="1"/>
    <col min="6426" max="6426" width="13.15625" customWidth="1"/>
    <col min="6427" max="6652" width="8.89453125"/>
    <col min="6653" max="6653" width="4.26171875" customWidth="1"/>
    <col min="6654" max="6654" width="18.26171875" customWidth="1"/>
    <col min="6655" max="6655" width="10.26171875" bestFit="1" customWidth="1"/>
    <col min="6656" max="6656" width="11.47265625" customWidth="1"/>
    <col min="6657" max="6658" width="12.5234375" customWidth="1"/>
    <col min="6659" max="6659" width="10.26171875" bestFit="1" customWidth="1"/>
    <col min="6660" max="6665" width="11.26171875" customWidth="1"/>
    <col min="6666" max="6666" width="12.15625" customWidth="1"/>
    <col min="6667" max="6667" width="4.1015625" customWidth="1"/>
    <col min="6668" max="6668" width="4.7890625" customWidth="1"/>
    <col min="6669" max="6669" width="11.26171875" customWidth="1"/>
    <col min="6670" max="6670" width="12" customWidth="1"/>
    <col min="6671" max="6671" width="12.26171875" customWidth="1"/>
    <col min="6672" max="6672" width="11" customWidth="1"/>
    <col min="6673" max="6673" width="10.7890625" customWidth="1"/>
    <col min="6674" max="6674" width="12" customWidth="1"/>
    <col min="6675" max="6675" width="14.7890625" customWidth="1"/>
    <col min="6676" max="6676" width="13.734375" customWidth="1"/>
    <col min="6677" max="6677" width="13.7890625" customWidth="1"/>
    <col min="6678" max="6680" width="8.89453125"/>
    <col min="6681" max="6681" width="12.5234375" customWidth="1"/>
    <col min="6682" max="6682" width="13.15625" customWidth="1"/>
    <col min="6683" max="6908" width="8.89453125"/>
    <col min="6909" max="6909" width="4.26171875" customWidth="1"/>
    <col min="6910" max="6910" width="18.26171875" customWidth="1"/>
    <col min="6911" max="6911" width="10.26171875" bestFit="1" customWidth="1"/>
    <col min="6912" max="6912" width="11.47265625" customWidth="1"/>
    <col min="6913" max="6914" width="12.5234375" customWidth="1"/>
    <col min="6915" max="6915" width="10.26171875" bestFit="1" customWidth="1"/>
    <col min="6916" max="6921" width="11.26171875" customWidth="1"/>
    <col min="6922" max="6922" width="12.15625" customWidth="1"/>
    <col min="6923" max="6923" width="4.1015625" customWidth="1"/>
    <col min="6924" max="6924" width="4.7890625" customWidth="1"/>
    <col min="6925" max="6925" width="11.26171875" customWidth="1"/>
    <col min="6926" max="6926" width="12" customWidth="1"/>
    <col min="6927" max="6927" width="12.26171875" customWidth="1"/>
    <col min="6928" max="6928" width="11" customWidth="1"/>
    <col min="6929" max="6929" width="10.7890625" customWidth="1"/>
    <col min="6930" max="6930" width="12" customWidth="1"/>
    <col min="6931" max="6931" width="14.7890625" customWidth="1"/>
    <col min="6932" max="6932" width="13.734375" customWidth="1"/>
    <col min="6933" max="6933" width="13.7890625" customWidth="1"/>
    <col min="6934" max="6936" width="8.89453125"/>
    <col min="6937" max="6937" width="12.5234375" customWidth="1"/>
    <col min="6938" max="6938" width="13.15625" customWidth="1"/>
    <col min="6939" max="7164" width="8.89453125"/>
    <col min="7165" max="7165" width="4.26171875" customWidth="1"/>
    <col min="7166" max="7166" width="18.26171875" customWidth="1"/>
    <col min="7167" max="7167" width="10.26171875" bestFit="1" customWidth="1"/>
    <col min="7168" max="7168" width="11.47265625" customWidth="1"/>
    <col min="7169" max="7170" width="12.5234375" customWidth="1"/>
    <col min="7171" max="7171" width="10.26171875" bestFit="1" customWidth="1"/>
    <col min="7172" max="7177" width="11.26171875" customWidth="1"/>
    <col min="7178" max="7178" width="12.15625" customWidth="1"/>
    <col min="7179" max="7179" width="4.1015625" customWidth="1"/>
    <col min="7180" max="7180" width="4.7890625" customWidth="1"/>
    <col min="7181" max="7181" width="11.26171875" customWidth="1"/>
    <col min="7182" max="7182" width="12" customWidth="1"/>
    <col min="7183" max="7183" width="12.26171875" customWidth="1"/>
    <col min="7184" max="7184" width="11" customWidth="1"/>
    <col min="7185" max="7185" width="10.7890625" customWidth="1"/>
    <col min="7186" max="7186" width="12" customWidth="1"/>
    <col min="7187" max="7187" width="14.7890625" customWidth="1"/>
    <col min="7188" max="7188" width="13.734375" customWidth="1"/>
    <col min="7189" max="7189" width="13.7890625" customWidth="1"/>
    <col min="7190" max="7192" width="8.89453125"/>
    <col min="7193" max="7193" width="12.5234375" customWidth="1"/>
    <col min="7194" max="7194" width="13.15625" customWidth="1"/>
    <col min="7195" max="7420" width="8.89453125"/>
    <col min="7421" max="7421" width="4.26171875" customWidth="1"/>
    <col min="7422" max="7422" width="18.26171875" customWidth="1"/>
    <col min="7423" max="7423" width="10.26171875" bestFit="1" customWidth="1"/>
    <col min="7424" max="7424" width="11.47265625" customWidth="1"/>
    <col min="7425" max="7426" width="12.5234375" customWidth="1"/>
    <col min="7427" max="7427" width="10.26171875" bestFit="1" customWidth="1"/>
    <col min="7428" max="7433" width="11.26171875" customWidth="1"/>
    <col min="7434" max="7434" width="12.15625" customWidth="1"/>
    <col min="7435" max="7435" width="4.1015625" customWidth="1"/>
    <col min="7436" max="7436" width="4.7890625" customWidth="1"/>
    <col min="7437" max="7437" width="11.26171875" customWidth="1"/>
    <col min="7438" max="7438" width="12" customWidth="1"/>
    <col min="7439" max="7439" width="12.26171875" customWidth="1"/>
    <col min="7440" max="7440" width="11" customWidth="1"/>
    <col min="7441" max="7441" width="10.7890625" customWidth="1"/>
    <col min="7442" max="7442" width="12" customWidth="1"/>
    <col min="7443" max="7443" width="14.7890625" customWidth="1"/>
    <col min="7444" max="7444" width="13.734375" customWidth="1"/>
    <col min="7445" max="7445" width="13.7890625" customWidth="1"/>
    <col min="7446" max="7448" width="8.89453125"/>
    <col min="7449" max="7449" width="12.5234375" customWidth="1"/>
    <col min="7450" max="7450" width="13.15625" customWidth="1"/>
    <col min="7451" max="7676" width="8.89453125"/>
    <col min="7677" max="7677" width="4.26171875" customWidth="1"/>
    <col min="7678" max="7678" width="18.26171875" customWidth="1"/>
    <col min="7679" max="7679" width="10.26171875" bestFit="1" customWidth="1"/>
    <col min="7680" max="7680" width="11.47265625" customWidth="1"/>
    <col min="7681" max="7682" width="12.5234375" customWidth="1"/>
    <col min="7683" max="7683" width="10.26171875" bestFit="1" customWidth="1"/>
    <col min="7684" max="7689" width="11.26171875" customWidth="1"/>
    <col min="7690" max="7690" width="12.15625" customWidth="1"/>
    <col min="7691" max="7691" width="4.1015625" customWidth="1"/>
    <col min="7692" max="7692" width="4.7890625" customWidth="1"/>
    <col min="7693" max="7693" width="11.26171875" customWidth="1"/>
    <col min="7694" max="7694" width="12" customWidth="1"/>
    <col min="7695" max="7695" width="12.26171875" customWidth="1"/>
    <col min="7696" max="7696" width="11" customWidth="1"/>
    <col min="7697" max="7697" width="10.7890625" customWidth="1"/>
    <col min="7698" max="7698" width="12" customWidth="1"/>
    <col min="7699" max="7699" width="14.7890625" customWidth="1"/>
    <col min="7700" max="7700" width="13.734375" customWidth="1"/>
    <col min="7701" max="7701" width="13.7890625" customWidth="1"/>
    <col min="7702" max="7704" width="8.89453125"/>
    <col min="7705" max="7705" width="12.5234375" customWidth="1"/>
    <col min="7706" max="7706" width="13.15625" customWidth="1"/>
    <col min="7707" max="7932" width="8.89453125"/>
    <col min="7933" max="7933" width="4.26171875" customWidth="1"/>
    <col min="7934" max="7934" width="18.26171875" customWidth="1"/>
    <col min="7935" max="7935" width="10.26171875" bestFit="1" customWidth="1"/>
    <col min="7936" max="7936" width="11.47265625" customWidth="1"/>
    <col min="7937" max="7938" width="12.5234375" customWidth="1"/>
    <col min="7939" max="7939" width="10.26171875" bestFit="1" customWidth="1"/>
    <col min="7940" max="7945" width="11.26171875" customWidth="1"/>
    <col min="7946" max="7946" width="12.15625" customWidth="1"/>
    <col min="7947" max="7947" width="4.1015625" customWidth="1"/>
    <col min="7948" max="7948" width="4.7890625" customWidth="1"/>
    <col min="7949" max="7949" width="11.26171875" customWidth="1"/>
    <col min="7950" max="7950" width="12" customWidth="1"/>
    <col min="7951" max="7951" width="12.26171875" customWidth="1"/>
    <col min="7952" max="7952" width="11" customWidth="1"/>
    <col min="7953" max="7953" width="10.7890625" customWidth="1"/>
    <col min="7954" max="7954" width="12" customWidth="1"/>
    <col min="7955" max="7955" width="14.7890625" customWidth="1"/>
    <col min="7956" max="7956" width="13.734375" customWidth="1"/>
    <col min="7957" max="7957" width="13.7890625" customWidth="1"/>
    <col min="7958" max="7960" width="8.89453125"/>
    <col min="7961" max="7961" width="12.5234375" customWidth="1"/>
    <col min="7962" max="7962" width="13.15625" customWidth="1"/>
    <col min="7963" max="8188" width="8.89453125"/>
    <col min="8189" max="8189" width="4.26171875" customWidth="1"/>
    <col min="8190" max="8190" width="18.26171875" customWidth="1"/>
    <col min="8191" max="8191" width="10.26171875" bestFit="1" customWidth="1"/>
    <col min="8192" max="8192" width="11.47265625" customWidth="1"/>
    <col min="8193" max="8194" width="12.5234375" customWidth="1"/>
    <col min="8195" max="8195" width="10.26171875" bestFit="1" customWidth="1"/>
    <col min="8196" max="8201" width="11.26171875" customWidth="1"/>
    <col min="8202" max="8202" width="12.15625" customWidth="1"/>
    <col min="8203" max="8203" width="4.1015625" customWidth="1"/>
    <col min="8204" max="8204" width="4.7890625" customWidth="1"/>
    <col min="8205" max="8205" width="11.26171875" customWidth="1"/>
    <col min="8206" max="8206" width="12" customWidth="1"/>
    <col min="8207" max="8207" width="12.26171875" customWidth="1"/>
    <col min="8208" max="8208" width="11" customWidth="1"/>
    <col min="8209" max="8209" width="10.7890625" customWidth="1"/>
    <col min="8210" max="8210" width="12" customWidth="1"/>
    <col min="8211" max="8211" width="14.7890625" customWidth="1"/>
    <col min="8212" max="8212" width="13.734375" customWidth="1"/>
    <col min="8213" max="8213" width="13.7890625" customWidth="1"/>
    <col min="8214" max="8216" width="8.89453125"/>
    <col min="8217" max="8217" width="12.5234375" customWidth="1"/>
    <col min="8218" max="8218" width="13.15625" customWidth="1"/>
    <col min="8219" max="8444" width="8.89453125"/>
    <col min="8445" max="8445" width="4.26171875" customWidth="1"/>
    <col min="8446" max="8446" width="18.26171875" customWidth="1"/>
    <col min="8447" max="8447" width="10.26171875" bestFit="1" customWidth="1"/>
    <col min="8448" max="8448" width="11.47265625" customWidth="1"/>
    <col min="8449" max="8450" width="12.5234375" customWidth="1"/>
    <col min="8451" max="8451" width="10.26171875" bestFit="1" customWidth="1"/>
    <col min="8452" max="8457" width="11.26171875" customWidth="1"/>
    <col min="8458" max="8458" width="12.15625" customWidth="1"/>
    <col min="8459" max="8459" width="4.1015625" customWidth="1"/>
    <col min="8460" max="8460" width="4.7890625" customWidth="1"/>
    <col min="8461" max="8461" width="11.26171875" customWidth="1"/>
    <col min="8462" max="8462" width="12" customWidth="1"/>
    <col min="8463" max="8463" width="12.26171875" customWidth="1"/>
    <col min="8464" max="8464" width="11" customWidth="1"/>
    <col min="8465" max="8465" width="10.7890625" customWidth="1"/>
    <col min="8466" max="8466" width="12" customWidth="1"/>
    <col min="8467" max="8467" width="14.7890625" customWidth="1"/>
    <col min="8468" max="8468" width="13.734375" customWidth="1"/>
    <col min="8469" max="8469" width="13.7890625" customWidth="1"/>
    <col min="8470" max="8472" width="8.89453125"/>
    <col min="8473" max="8473" width="12.5234375" customWidth="1"/>
    <col min="8474" max="8474" width="13.15625" customWidth="1"/>
    <col min="8475" max="8700" width="8.89453125"/>
    <col min="8701" max="8701" width="4.26171875" customWidth="1"/>
    <col min="8702" max="8702" width="18.26171875" customWidth="1"/>
    <col min="8703" max="8703" width="10.26171875" bestFit="1" customWidth="1"/>
    <col min="8704" max="8704" width="11.47265625" customWidth="1"/>
    <col min="8705" max="8706" width="12.5234375" customWidth="1"/>
    <col min="8707" max="8707" width="10.26171875" bestFit="1" customWidth="1"/>
    <col min="8708" max="8713" width="11.26171875" customWidth="1"/>
    <col min="8714" max="8714" width="12.15625" customWidth="1"/>
    <col min="8715" max="8715" width="4.1015625" customWidth="1"/>
    <col min="8716" max="8716" width="4.7890625" customWidth="1"/>
    <col min="8717" max="8717" width="11.26171875" customWidth="1"/>
    <col min="8718" max="8718" width="12" customWidth="1"/>
    <col min="8719" max="8719" width="12.26171875" customWidth="1"/>
    <col min="8720" max="8720" width="11" customWidth="1"/>
    <col min="8721" max="8721" width="10.7890625" customWidth="1"/>
    <col min="8722" max="8722" width="12" customWidth="1"/>
    <col min="8723" max="8723" width="14.7890625" customWidth="1"/>
    <col min="8724" max="8724" width="13.734375" customWidth="1"/>
    <col min="8725" max="8725" width="13.7890625" customWidth="1"/>
    <col min="8726" max="8728" width="8.89453125"/>
    <col min="8729" max="8729" width="12.5234375" customWidth="1"/>
    <col min="8730" max="8730" width="13.15625" customWidth="1"/>
    <col min="8731" max="8956" width="8.89453125"/>
    <col min="8957" max="8957" width="4.26171875" customWidth="1"/>
    <col min="8958" max="8958" width="18.26171875" customWidth="1"/>
    <col min="8959" max="8959" width="10.26171875" bestFit="1" customWidth="1"/>
    <col min="8960" max="8960" width="11.47265625" customWidth="1"/>
    <col min="8961" max="8962" width="12.5234375" customWidth="1"/>
    <col min="8963" max="8963" width="10.26171875" bestFit="1" customWidth="1"/>
    <col min="8964" max="8969" width="11.26171875" customWidth="1"/>
    <col min="8970" max="8970" width="12.15625" customWidth="1"/>
    <col min="8971" max="8971" width="4.1015625" customWidth="1"/>
    <col min="8972" max="8972" width="4.7890625" customWidth="1"/>
    <col min="8973" max="8973" width="11.26171875" customWidth="1"/>
    <col min="8974" max="8974" width="12" customWidth="1"/>
    <col min="8975" max="8975" width="12.26171875" customWidth="1"/>
    <col min="8976" max="8976" width="11" customWidth="1"/>
    <col min="8977" max="8977" width="10.7890625" customWidth="1"/>
    <col min="8978" max="8978" width="12" customWidth="1"/>
    <col min="8979" max="8979" width="14.7890625" customWidth="1"/>
    <col min="8980" max="8980" width="13.734375" customWidth="1"/>
    <col min="8981" max="8981" width="13.7890625" customWidth="1"/>
    <col min="8982" max="8984" width="8.89453125"/>
    <col min="8985" max="8985" width="12.5234375" customWidth="1"/>
    <col min="8986" max="8986" width="13.15625" customWidth="1"/>
    <col min="8987" max="9212" width="8.89453125"/>
    <col min="9213" max="9213" width="4.26171875" customWidth="1"/>
    <col min="9214" max="9214" width="18.26171875" customWidth="1"/>
    <col min="9215" max="9215" width="10.26171875" bestFit="1" customWidth="1"/>
    <col min="9216" max="9216" width="11.47265625" customWidth="1"/>
    <col min="9217" max="9218" width="12.5234375" customWidth="1"/>
    <col min="9219" max="9219" width="10.26171875" bestFit="1" customWidth="1"/>
    <col min="9220" max="9225" width="11.26171875" customWidth="1"/>
    <col min="9226" max="9226" width="12.15625" customWidth="1"/>
    <col min="9227" max="9227" width="4.1015625" customWidth="1"/>
    <col min="9228" max="9228" width="4.7890625" customWidth="1"/>
    <col min="9229" max="9229" width="11.26171875" customWidth="1"/>
    <col min="9230" max="9230" width="12" customWidth="1"/>
    <col min="9231" max="9231" width="12.26171875" customWidth="1"/>
    <col min="9232" max="9232" width="11" customWidth="1"/>
    <col min="9233" max="9233" width="10.7890625" customWidth="1"/>
    <col min="9234" max="9234" width="12" customWidth="1"/>
    <col min="9235" max="9235" width="14.7890625" customWidth="1"/>
    <col min="9236" max="9236" width="13.734375" customWidth="1"/>
    <col min="9237" max="9237" width="13.7890625" customWidth="1"/>
    <col min="9238" max="9240" width="8.89453125"/>
    <col min="9241" max="9241" width="12.5234375" customWidth="1"/>
    <col min="9242" max="9242" width="13.15625" customWidth="1"/>
    <col min="9243" max="9468" width="8.89453125"/>
    <col min="9469" max="9469" width="4.26171875" customWidth="1"/>
    <col min="9470" max="9470" width="18.26171875" customWidth="1"/>
    <col min="9471" max="9471" width="10.26171875" bestFit="1" customWidth="1"/>
    <col min="9472" max="9472" width="11.47265625" customWidth="1"/>
    <col min="9473" max="9474" width="12.5234375" customWidth="1"/>
    <col min="9475" max="9475" width="10.26171875" bestFit="1" customWidth="1"/>
    <col min="9476" max="9481" width="11.26171875" customWidth="1"/>
    <col min="9482" max="9482" width="12.15625" customWidth="1"/>
    <col min="9483" max="9483" width="4.1015625" customWidth="1"/>
    <col min="9484" max="9484" width="4.7890625" customWidth="1"/>
    <col min="9485" max="9485" width="11.26171875" customWidth="1"/>
    <col min="9486" max="9486" width="12" customWidth="1"/>
    <col min="9487" max="9487" width="12.26171875" customWidth="1"/>
    <col min="9488" max="9488" width="11" customWidth="1"/>
    <col min="9489" max="9489" width="10.7890625" customWidth="1"/>
    <col min="9490" max="9490" width="12" customWidth="1"/>
    <col min="9491" max="9491" width="14.7890625" customWidth="1"/>
    <col min="9492" max="9492" width="13.734375" customWidth="1"/>
    <col min="9493" max="9493" width="13.7890625" customWidth="1"/>
    <col min="9494" max="9496" width="8.89453125"/>
    <col min="9497" max="9497" width="12.5234375" customWidth="1"/>
    <col min="9498" max="9498" width="13.15625" customWidth="1"/>
    <col min="9499" max="9724" width="8.89453125"/>
    <col min="9725" max="9725" width="4.26171875" customWidth="1"/>
    <col min="9726" max="9726" width="18.26171875" customWidth="1"/>
    <col min="9727" max="9727" width="10.26171875" bestFit="1" customWidth="1"/>
    <col min="9728" max="9728" width="11.47265625" customWidth="1"/>
    <col min="9729" max="9730" width="12.5234375" customWidth="1"/>
    <col min="9731" max="9731" width="10.26171875" bestFit="1" customWidth="1"/>
    <col min="9732" max="9737" width="11.26171875" customWidth="1"/>
    <col min="9738" max="9738" width="12.15625" customWidth="1"/>
    <col min="9739" max="9739" width="4.1015625" customWidth="1"/>
    <col min="9740" max="9740" width="4.7890625" customWidth="1"/>
    <col min="9741" max="9741" width="11.26171875" customWidth="1"/>
    <col min="9742" max="9742" width="12" customWidth="1"/>
    <col min="9743" max="9743" width="12.26171875" customWidth="1"/>
    <col min="9744" max="9744" width="11" customWidth="1"/>
    <col min="9745" max="9745" width="10.7890625" customWidth="1"/>
    <col min="9746" max="9746" width="12" customWidth="1"/>
    <col min="9747" max="9747" width="14.7890625" customWidth="1"/>
    <col min="9748" max="9748" width="13.734375" customWidth="1"/>
    <col min="9749" max="9749" width="13.7890625" customWidth="1"/>
    <col min="9750" max="9752" width="8.89453125"/>
    <col min="9753" max="9753" width="12.5234375" customWidth="1"/>
    <col min="9754" max="9754" width="13.15625" customWidth="1"/>
    <col min="9755" max="9980" width="8.89453125"/>
    <col min="9981" max="9981" width="4.26171875" customWidth="1"/>
    <col min="9982" max="9982" width="18.26171875" customWidth="1"/>
    <col min="9983" max="9983" width="10.26171875" bestFit="1" customWidth="1"/>
    <col min="9984" max="9984" width="11.47265625" customWidth="1"/>
    <col min="9985" max="9986" width="12.5234375" customWidth="1"/>
    <col min="9987" max="9987" width="10.26171875" bestFit="1" customWidth="1"/>
    <col min="9988" max="9993" width="11.26171875" customWidth="1"/>
    <col min="9994" max="9994" width="12.15625" customWidth="1"/>
    <col min="9995" max="9995" width="4.1015625" customWidth="1"/>
    <col min="9996" max="9996" width="4.7890625" customWidth="1"/>
    <col min="9997" max="9997" width="11.26171875" customWidth="1"/>
    <col min="9998" max="9998" width="12" customWidth="1"/>
    <col min="9999" max="9999" width="12.26171875" customWidth="1"/>
    <col min="10000" max="10000" width="11" customWidth="1"/>
    <col min="10001" max="10001" width="10.7890625" customWidth="1"/>
    <col min="10002" max="10002" width="12" customWidth="1"/>
    <col min="10003" max="10003" width="14.7890625" customWidth="1"/>
    <col min="10004" max="10004" width="13.734375" customWidth="1"/>
    <col min="10005" max="10005" width="13.7890625" customWidth="1"/>
    <col min="10006" max="10008" width="8.89453125"/>
    <col min="10009" max="10009" width="12.5234375" customWidth="1"/>
    <col min="10010" max="10010" width="13.15625" customWidth="1"/>
    <col min="10011" max="10236" width="8.89453125"/>
    <col min="10237" max="10237" width="4.26171875" customWidth="1"/>
    <col min="10238" max="10238" width="18.26171875" customWidth="1"/>
    <col min="10239" max="10239" width="10.26171875" bestFit="1" customWidth="1"/>
    <col min="10240" max="10240" width="11.47265625" customWidth="1"/>
    <col min="10241" max="10242" width="12.5234375" customWidth="1"/>
    <col min="10243" max="10243" width="10.26171875" bestFit="1" customWidth="1"/>
    <col min="10244" max="10249" width="11.26171875" customWidth="1"/>
    <col min="10250" max="10250" width="12.15625" customWidth="1"/>
    <col min="10251" max="10251" width="4.1015625" customWidth="1"/>
    <col min="10252" max="10252" width="4.7890625" customWidth="1"/>
    <col min="10253" max="10253" width="11.26171875" customWidth="1"/>
    <col min="10254" max="10254" width="12" customWidth="1"/>
    <col min="10255" max="10255" width="12.26171875" customWidth="1"/>
    <col min="10256" max="10256" width="11" customWidth="1"/>
    <col min="10257" max="10257" width="10.7890625" customWidth="1"/>
    <col min="10258" max="10258" width="12" customWidth="1"/>
    <col min="10259" max="10259" width="14.7890625" customWidth="1"/>
    <col min="10260" max="10260" width="13.734375" customWidth="1"/>
    <col min="10261" max="10261" width="13.7890625" customWidth="1"/>
    <col min="10262" max="10264" width="8.89453125"/>
    <col min="10265" max="10265" width="12.5234375" customWidth="1"/>
    <col min="10266" max="10266" width="13.15625" customWidth="1"/>
    <col min="10267" max="10492" width="8.89453125"/>
    <col min="10493" max="10493" width="4.26171875" customWidth="1"/>
    <col min="10494" max="10494" width="18.26171875" customWidth="1"/>
    <col min="10495" max="10495" width="10.26171875" bestFit="1" customWidth="1"/>
    <col min="10496" max="10496" width="11.47265625" customWidth="1"/>
    <col min="10497" max="10498" width="12.5234375" customWidth="1"/>
    <col min="10499" max="10499" width="10.26171875" bestFit="1" customWidth="1"/>
    <col min="10500" max="10505" width="11.26171875" customWidth="1"/>
    <col min="10506" max="10506" width="12.15625" customWidth="1"/>
    <col min="10507" max="10507" width="4.1015625" customWidth="1"/>
    <col min="10508" max="10508" width="4.7890625" customWidth="1"/>
    <col min="10509" max="10509" width="11.26171875" customWidth="1"/>
    <col min="10510" max="10510" width="12" customWidth="1"/>
    <col min="10511" max="10511" width="12.26171875" customWidth="1"/>
    <col min="10512" max="10512" width="11" customWidth="1"/>
    <col min="10513" max="10513" width="10.7890625" customWidth="1"/>
    <col min="10514" max="10514" width="12" customWidth="1"/>
    <col min="10515" max="10515" width="14.7890625" customWidth="1"/>
    <col min="10516" max="10516" width="13.734375" customWidth="1"/>
    <col min="10517" max="10517" width="13.7890625" customWidth="1"/>
    <col min="10518" max="10520" width="8.89453125"/>
    <col min="10521" max="10521" width="12.5234375" customWidth="1"/>
    <col min="10522" max="10522" width="13.15625" customWidth="1"/>
    <col min="10523" max="10748" width="8.89453125"/>
    <col min="10749" max="10749" width="4.26171875" customWidth="1"/>
    <col min="10750" max="10750" width="18.26171875" customWidth="1"/>
    <col min="10751" max="10751" width="10.26171875" bestFit="1" customWidth="1"/>
    <col min="10752" max="10752" width="11.47265625" customWidth="1"/>
    <col min="10753" max="10754" width="12.5234375" customWidth="1"/>
    <col min="10755" max="10755" width="10.26171875" bestFit="1" customWidth="1"/>
    <col min="10756" max="10761" width="11.26171875" customWidth="1"/>
    <col min="10762" max="10762" width="12.15625" customWidth="1"/>
    <col min="10763" max="10763" width="4.1015625" customWidth="1"/>
    <col min="10764" max="10764" width="4.7890625" customWidth="1"/>
    <col min="10765" max="10765" width="11.26171875" customWidth="1"/>
    <col min="10766" max="10766" width="12" customWidth="1"/>
    <col min="10767" max="10767" width="12.26171875" customWidth="1"/>
    <col min="10768" max="10768" width="11" customWidth="1"/>
    <col min="10769" max="10769" width="10.7890625" customWidth="1"/>
    <col min="10770" max="10770" width="12" customWidth="1"/>
    <col min="10771" max="10771" width="14.7890625" customWidth="1"/>
    <col min="10772" max="10772" width="13.734375" customWidth="1"/>
    <col min="10773" max="10773" width="13.7890625" customWidth="1"/>
    <col min="10774" max="10776" width="8.89453125"/>
    <col min="10777" max="10777" width="12.5234375" customWidth="1"/>
    <col min="10778" max="10778" width="13.15625" customWidth="1"/>
    <col min="10779" max="11004" width="8.89453125"/>
    <col min="11005" max="11005" width="4.26171875" customWidth="1"/>
    <col min="11006" max="11006" width="18.26171875" customWidth="1"/>
    <col min="11007" max="11007" width="10.26171875" bestFit="1" customWidth="1"/>
    <col min="11008" max="11008" width="11.47265625" customWidth="1"/>
    <col min="11009" max="11010" width="12.5234375" customWidth="1"/>
    <col min="11011" max="11011" width="10.26171875" bestFit="1" customWidth="1"/>
    <col min="11012" max="11017" width="11.26171875" customWidth="1"/>
    <col min="11018" max="11018" width="12.15625" customWidth="1"/>
    <col min="11019" max="11019" width="4.1015625" customWidth="1"/>
    <col min="11020" max="11020" width="4.7890625" customWidth="1"/>
    <col min="11021" max="11021" width="11.26171875" customWidth="1"/>
    <col min="11022" max="11022" width="12" customWidth="1"/>
    <col min="11023" max="11023" width="12.26171875" customWidth="1"/>
    <col min="11024" max="11024" width="11" customWidth="1"/>
    <col min="11025" max="11025" width="10.7890625" customWidth="1"/>
    <col min="11026" max="11026" width="12" customWidth="1"/>
    <col min="11027" max="11027" width="14.7890625" customWidth="1"/>
    <col min="11028" max="11028" width="13.734375" customWidth="1"/>
    <col min="11029" max="11029" width="13.7890625" customWidth="1"/>
    <col min="11030" max="11032" width="8.89453125"/>
    <col min="11033" max="11033" width="12.5234375" customWidth="1"/>
    <col min="11034" max="11034" width="13.15625" customWidth="1"/>
    <col min="11035" max="11260" width="8.89453125"/>
    <col min="11261" max="11261" width="4.26171875" customWidth="1"/>
    <col min="11262" max="11262" width="18.26171875" customWidth="1"/>
    <col min="11263" max="11263" width="10.26171875" bestFit="1" customWidth="1"/>
    <col min="11264" max="11264" width="11.47265625" customWidth="1"/>
    <col min="11265" max="11266" width="12.5234375" customWidth="1"/>
    <col min="11267" max="11267" width="10.26171875" bestFit="1" customWidth="1"/>
    <col min="11268" max="11273" width="11.26171875" customWidth="1"/>
    <col min="11274" max="11274" width="12.15625" customWidth="1"/>
    <col min="11275" max="11275" width="4.1015625" customWidth="1"/>
    <col min="11276" max="11276" width="4.7890625" customWidth="1"/>
    <col min="11277" max="11277" width="11.26171875" customWidth="1"/>
    <col min="11278" max="11278" width="12" customWidth="1"/>
    <col min="11279" max="11279" width="12.26171875" customWidth="1"/>
    <col min="11280" max="11280" width="11" customWidth="1"/>
    <col min="11281" max="11281" width="10.7890625" customWidth="1"/>
    <col min="11282" max="11282" width="12" customWidth="1"/>
    <col min="11283" max="11283" width="14.7890625" customWidth="1"/>
    <col min="11284" max="11284" width="13.734375" customWidth="1"/>
    <col min="11285" max="11285" width="13.7890625" customWidth="1"/>
    <col min="11286" max="11288" width="8.89453125"/>
    <col min="11289" max="11289" width="12.5234375" customWidth="1"/>
    <col min="11290" max="11290" width="13.15625" customWidth="1"/>
    <col min="11291" max="11516" width="8.89453125"/>
    <col min="11517" max="11517" width="4.26171875" customWidth="1"/>
    <col min="11518" max="11518" width="18.26171875" customWidth="1"/>
    <col min="11519" max="11519" width="10.26171875" bestFit="1" customWidth="1"/>
    <col min="11520" max="11520" width="11.47265625" customWidth="1"/>
    <col min="11521" max="11522" width="12.5234375" customWidth="1"/>
    <col min="11523" max="11523" width="10.26171875" bestFit="1" customWidth="1"/>
    <col min="11524" max="11529" width="11.26171875" customWidth="1"/>
    <col min="11530" max="11530" width="12.15625" customWidth="1"/>
    <col min="11531" max="11531" width="4.1015625" customWidth="1"/>
    <col min="11532" max="11532" width="4.7890625" customWidth="1"/>
    <col min="11533" max="11533" width="11.26171875" customWidth="1"/>
    <col min="11534" max="11534" width="12" customWidth="1"/>
    <col min="11535" max="11535" width="12.26171875" customWidth="1"/>
    <col min="11536" max="11536" width="11" customWidth="1"/>
    <col min="11537" max="11537" width="10.7890625" customWidth="1"/>
    <col min="11538" max="11538" width="12" customWidth="1"/>
    <col min="11539" max="11539" width="14.7890625" customWidth="1"/>
    <col min="11540" max="11540" width="13.734375" customWidth="1"/>
    <col min="11541" max="11541" width="13.7890625" customWidth="1"/>
    <col min="11542" max="11544" width="8.89453125"/>
    <col min="11545" max="11545" width="12.5234375" customWidth="1"/>
    <col min="11546" max="11546" width="13.15625" customWidth="1"/>
    <col min="11547" max="11772" width="8.89453125"/>
    <col min="11773" max="11773" width="4.26171875" customWidth="1"/>
    <col min="11774" max="11774" width="18.26171875" customWidth="1"/>
    <col min="11775" max="11775" width="10.26171875" bestFit="1" customWidth="1"/>
    <col min="11776" max="11776" width="11.47265625" customWidth="1"/>
    <col min="11777" max="11778" width="12.5234375" customWidth="1"/>
    <col min="11779" max="11779" width="10.26171875" bestFit="1" customWidth="1"/>
    <col min="11780" max="11785" width="11.26171875" customWidth="1"/>
    <col min="11786" max="11786" width="12.15625" customWidth="1"/>
    <col min="11787" max="11787" width="4.1015625" customWidth="1"/>
    <col min="11788" max="11788" width="4.7890625" customWidth="1"/>
    <col min="11789" max="11789" width="11.26171875" customWidth="1"/>
    <col min="11790" max="11790" width="12" customWidth="1"/>
    <col min="11791" max="11791" width="12.26171875" customWidth="1"/>
    <col min="11792" max="11792" width="11" customWidth="1"/>
    <col min="11793" max="11793" width="10.7890625" customWidth="1"/>
    <col min="11794" max="11794" width="12" customWidth="1"/>
    <col min="11795" max="11795" width="14.7890625" customWidth="1"/>
    <col min="11796" max="11796" width="13.734375" customWidth="1"/>
    <col min="11797" max="11797" width="13.7890625" customWidth="1"/>
    <col min="11798" max="11800" width="8.89453125"/>
    <col min="11801" max="11801" width="12.5234375" customWidth="1"/>
    <col min="11802" max="11802" width="13.15625" customWidth="1"/>
    <col min="11803" max="12028" width="8.89453125"/>
    <col min="12029" max="12029" width="4.26171875" customWidth="1"/>
    <col min="12030" max="12030" width="18.26171875" customWidth="1"/>
    <col min="12031" max="12031" width="10.26171875" bestFit="1" customWidth="1"/>
    <col min="12032" max="12032" width="11.47265625" customWidth="1"/>
    <col min="12033" max="12034" width="12.5234375" customWidth="1"/>
    <col min="12035" max="12035" width="10.26171875" bestFit="1" customWidth="1"/>
    <col min="12036" max="12041" width="11.26171875" customWidth="1"/>
    <col min="12042" max="12042" width="12.15625" customWidth="1"/>
    <col min="12043" max="12043" width="4.1015625" customWidth="1"/>
    <col min="12044" max="12044" width="4.7890625" customWidth="1"/>
    <col min="12045" max="12045" width="11.26171875" customWidth="1"/>
    <col min="12046" max="12046" width="12" customWidth="1"/>
    <col min="12047" max="12047" width="12.26171875" customWidth="1"/>
    <col min="12048" max="12048" width="11" customWidth="1"/>
    <col min="12049" max="12049" width="10.7890625" customWidth="1"/>
    <col min="12050" max="12050" width="12" customWidth="1"/>
    <col min="12051" max="12051" width="14.7890625" customWidth="1"/>
    <col min="12052" max="12052" width="13.734375" customWidth="1"/>
    <col min="12053" max="12053" width="13.7890625" customWidth="1"/>
    <col min="12054" max="12056" width="8.89453125"/>
    <col min="12057" max="12057" width="12.5234375" customWidth="1"/>
    <col min="12058" max="12058" width="13.15625" customWidth="1"/>
    <col min="12059" max="12284" width="8.89453125"/>
    <col min="12285" max="12285" width="4.26171875" customWidth="1"/>
    <col min="12286" max="12286" width="18.26171875" customWidth="1"/>
    <col min="12287" max="12287" width="10.26171875" bestFit="1" customWidth="1"/>
    <col min="12288" max="12288" width="11.47265625" customWidth="1"/>
    <col min="12289" max="12290" width="12.5234375" customWidth="1"/>
    <col min="12291" max="12291" width="10.26171875" bestFit="1" customWidth="1"/>
    <col min="12292" max="12297" width="11.26171875" customWidth="1"/>
    <col min="12298" max="12298" width="12.15625" customWidth="1"/>
    <col min="12299" max="12299" width="4.1015625" customWidth="1"/>
    <col min="12300" max="12300" width="4.7890625" customWidth="1"/>
    <col min="12301" max="12301" width="11.26171875" customWidth="1"/>
    <col min="12302" max="12302" width="12" customWidth="1"/>
    <col min="12303" max="12303" width="12.26171875" customWidth="1"/>
    <col min="12304" max="12304" width="11" customWidth="1"/>
    <col min="12305" max="12305" width="10.7890625" customWidth="1"/>
    <col min="12306" max="12306" width="12" customWidth="1"/>
    <col min="12307" max="12307" width="14.7890625" customWidth="1"/>
    <col min="12308" max="12308" width="13.734375" customWidth="1"/>
    <col min="12309" max="12309" width="13.7890625" customWidth="1"/>
    <col min="12310" max="12312" width="8.89453125"/>
    <col min="12313" max="12313" width="12.5234375" customWidth="1"/>
    <col min="12314" max="12314" width="13.15625" customWidth="1"/>
    <col min="12315" max="12540" width="8.89453125"/>
    <col min="12541" max="12541" width="4.26171875" customWidth="1"/>
    <col min="12542" max="12542" width="18.26171875" customWidth="1"/>
    <col min="12543" max="12543" width="10.26171875" bestFit="1" customWidth="1"/>
    <col min="12544" max="12544" width="11.47265625" customWidth="1"/>
    <col min="12545" max="12546" width="12.5234375" customWidth="1"/>
    <col min="12547" max="12547" width="10.26171875" bestFit="1" customWidth="1"/>
    <col min="12548" max="12553" width="11.26171875" customWidth="1"/>
    <col min="12554" max="12554" width="12.15625" customWidth="1"/>
    <col min="12555" max="12555" width="4.1015625" customWidth="1"/>
    <col min="12556" max="12556" width="4.7890625" customWidth="1"/>
    <col min="12557" max="12557" width="11.26171875" customWidth="1"/>
    <col min="12558" max="12558" width="12" customWidth="1"/>
    <col min="12559" max="12559" width="12.26171875" customWidth="1"/>
    <col min="12560" max="12560" width="11" customWidth="1"/>
    <col min="12561" max="12561" width="10.7890625" customWidth="1"/>
    <col min="12562" max="12562" width="12" customWidth="1"/>
    <col min="12563" max="12563" width="14.7890625" customWidth="1"/>
    <col min="12564" max="12564" width="13.734375" customWidth="1"/>
    <col min="12565" max="12565" width="13.7890625" customWidth="1"/>
    <col min="12566" max="12568" width="8.89453125"/>
    <col min="12569" max="12569" width="12.5234375" customWidth="1"/>
    <col min="12570" max="12570" width="13.15625" customWidth="1"/>
    <col min="12571" max="12796" width="8.89453125"/>
    <col min="12797" max="12797" width="4.26171875" customWidth="1"/>
    <col min="12798" max="12798" width="18.26171875" customWidth="1"/>
    <col min="12799" max="12799" width="10.26171875" bestFit="1" customWidth="1"/>
    <col min="12800" max="12800" width="11.47265625" customWidth="1"/>
    <col min="12801" max="12802" width="12.5234375" customWidth="1"/>
    <col min="12803" max="12803" width="10.26171875" bestFit="1" customWidth="1"/>
    <col min="12804" max="12809" width="11.26171875" customWidth="1"/>
    <col min="12810" max="12810" width="12.15625" customWidth="1"/>
    <col min="12811" max="12811" width="4.1015625" customWidth="1"/>
    <col min="12812" max="12812" width="4.7890625" customWidth="1"/>
    <col min="12813" max="12813" width="11.26171875" customWidth="1"/>
    <col min="12814" max="12814" width="12" customWidth="1"/>
    <col min="12815" max="12815" width="12.26171875" customWidth="1"/>
    <col min="12816" max="12816" width="11" customWidth="1"/>
    <col min="12817" max="12817" width="10.7890625" customWidth="1"/>
    <col min="12818" max="12818" width="12" customWidth="1"/>
    <col min="12819" max="12819" width="14.7890625" customWidth="1"/>
    <col min="12820" max="12820" width="13.734375" customWidth="1"/>
    <col min="12821" max="12821" width="13.7890625" customWidth="1"/>
    <col min="12822" max="12824" width="8.89453125"/>
    <col min="12825" max="12825" width="12.5234375" customWidth="1"/>
    <col min="12826" max="12826" width="13.15625" customWidth="1"/>
    <col min="12827" max="13052" width="8.89453125"/>
    <col min="13053" max="13053" width="4.26171875" customWidth="1"/>
    <col min="13054" max="13054" width="18.26171875" customWidth="1"/>
    <col min="13055" max="13055" width="10.26171875" bestFit="1" customWidth="1"/>
    <col min="13056" max="13056" width="11.47265625" customWidth="1"/>
    <col min="13057" max="13058" width="12.5234375" customWidth="1"/>
    <col min="13059" max="13059" width="10.26171875" bestFit="1" customWidth="1"/>
    <col min="13060" max="13065" width="11.26171875" customWidth="1"/>
    <col min="13066" max="13066" width="12.15625" customWidth="1"/>
    <col min="13067" max="13067" width="4.1015625" customWidth="1"/>
    <col min="13068" max="13068" width="4.7890625" customWidth="1"/>
    <col min="13069" max="13069" width="11.26171875" customWidth="1"/>
    <col min="13070" max="13070" width="12" customWidth="1"/>
    <col min="13071" max="13071" width="12.26171875" customWidth="1"/>
    <col min="13072" max="13072" width="11" customWidth="1"/>
    <col min="13073" max="13073" width="10.7890625" customWidth="1"/>
    <col min="13074" max="13074" width="12" customWidth="1"/>
    <col min="13075" max="13075" width="14.7890625" customWidth="1"/>
    <col min="13076" max="13076" width="13.734375" customWidth="1"/>
    <col min="13077" max="13077" width="13.7890625" customWidth="1"/>
    <col min="13078" max="13080" width="8.89453125"/>
    <col min="13081" max="13081" width="12.5234375" customWidth="1"/>
    <col min="13082" max="13082" width="13.15625" customWidth="1"/>
    <col min="13083" max="13308" width="8.89453125"/>
    <col min="13309" max="13309" width="4.26171875" customWidth="1"/>
    <col min="13310" max="13310" width="18.26171875" customWidth="1"/>
    <col min="13311" max="13311" width="10.26171875" bestFit="1" customWidth="1"/>
    <col min="13312" max="13312" width="11.47265625" customWidth="1"/>
    <col min="13313" max="13314" width="12.5234375" customWidth="1"/>
    <col min="13315" max="13315" width="10.26171875" bestFit="1" customWidth="1"/>
    <col min="13316" max="13321" width="11.26171875" customWidth="1"/>
    <col min="13322" max="13322" width="12.15625" customWidth="1"/>
    <col min="13323" max="13323" width="4.1015625" customWidth="1"/>
    <col min="13324" max="13324" width="4.7890625" customWidth="1"/>
    <col min="13325" max="13325" width="11.26171875" customWidth="1"/>
    <col min="13326" max="13326" width="12" customWidth="1"/>
    <col min="13327" max="13327" width="12.26171875" customWidth="1"/>
    <col min="13328" max="13328" width="11" customWidth="1"/>
    <col min="13329" max="13329" width="10.7890625" customWidth="1"/>
    <col min="13330" max="13330" width="12" customWidth="1"/>
    <col min="13331" max="13331" width="14.7890625" customWidth="1"/>
    <col min="13332" max="13332" width="13.734375" customWidth="1"/>
    <col min="13333" max="13333" width="13.7890625" customWidth="1"/>
    <col min="13334" max="13336" width="8.89453125"/>
    <col min="13337" max="13337" width="12.5234375" customWidth="1"/>
    <col min="13338" max="13338" width="13.15625" customWidth="1"/>
    <col min="13339" max="13564" width="8.89453125"/>
    <col min="13565" max="13565" width="4.26171875" customWidth="1"/>
    <col min="13566" max="13566" width="18.26171875" customWidth="1"/>
    <col min="13567" max="13567" width="10.26171875" bestFit="1" customWidth="1"/>
    <col min="13568" max="13568" width="11.47265625" customWidth="1"/>
    <col min="13569" max="13570" width="12.5234375" customWidth="1"/>
    <col min="13571" max="13571" width="10.26171875" bestFit="1" customWidth="1"/>
    <col min="13572" max="13577" width="11.26171875" customWidth="1"/>
    <col min="13578" max="13578" width="12.15625" customWidth="1"/>
    <col min="13579" max="13579" width="4.1015625" customWidth="1"/>
    <col min="13580" max="13580" width="4.7890625" customWidth="1"/>
    <col min="13581" max="13581" width="11.26171875" customWidth="1"/>
    <col min="13582" max="13582" width="12" customWidth="1"/>
    <col min="13583" max="13583" width="12.26171875" customWidth="1"/>
    <col min="13584" max="13584" width="11" customWidth="1"/>
    <col min="13585" max="13585" width="10.7890625" customWidth="1"/>
    <col min="13586" max="13586" width="12" customWidth="1"/>
    <col min="13587" max="13587" width="14.7890625" customWidth="1"/>
    <col min="13588" max="13588" width="13.734375" customWidth="1"/>
    <col min="13589" max="13589" width="13.7890625" customWidth="1"/>
    <col min="13590" max="13592" width="8.89453125"/>
    <col min="13593" max="13593" width="12.5234375" customWidth="1"/>
    <col min="13594" max="13594" width="13.15625" customWidth="1"/>
    <col min="13595" max="13820" width="8.89453125"/>
    <col min="13821" max="13821" width="4.26171875" customWidth="1"/>
    <col min="13822" max="13822" width="18.26171875" customWidth="1"/>
    <col min="13823" max="13823" width="10.26171875" bestFit="1" customWidth="1"/>
    <col min="13824" max="13824" width="11.47265625" customWidth="1"/>
    <col min="13825" max="13826" width="12.5234375" customWidth="1"/>
    <col min="13827" max="13827" width="10.26171875" bestFit="1" customWidth="1"/>
    <col min="13828" max="13833" width="11.26171875" customWidth="1"/>
    <col min="13834" max="13834" width="12.15625" customWidth="1"/>
    <col min="13835" max="13835" width="4.1015625" customWidth="1"/>
    <col min="13836" max="13836" width="4.7890625" customWidth="1"/>
    <col min="13837" max="13837" width="11.26171875" customWidth="1"/>
    <col min="13838" max="13838" width="12" customWidth="1"/>
    <col min="13839" max="13839" width="12.26171875" customWidth="1"/>
    <col min="13840" max="13840" width="11" customWidth="1"/>
    <col min="13841" max="13841" width="10.7890625" customWidth="1"/>
    <col min="13842" max="13842" width="12" customWidth="1"/>
    <col min="13843" max="13843" width="14.7890625" customWidth="1"/>
    <col min="13844" max="13844" width="13.734375" customWidth="1"/>
    <col min="13845" max="13845" width="13.7890625" customWidth="1"/>
    <col min="13846" max="13848" width="8.89453125"/>
    <col min="13849" max="13849" width="12.5234375" customWidth="1"/>
    <col min="13850" max="13850" width="13.15625" customWidth="1"/>
    <col min="13851" max="14076" width="8.89453125"/>
    <col min="14077" max="14077" width="4.26171875" customWidth="1"/>
    <col min="14078" max="14078" width="18.26171875" customWidth="1"/>
    <col min="14079" max="14079" width="10.26171875" bestFit="1" customWidth="1"/>
    <col min="14080" max="14080" width="11.47265625" customWidth="1"/>
    <col min="14081" max="14082" width="12.5234375" customWidth="1"/>
    <col min="14083" max="14083" width="10.26171875" bestFit="1" customWidth="1"/>
    <col min="14084" max="14089" width="11.26171875" customWidth="1"/>
    <col min="14090" max="14090" width="12.15625" customWidth="1"/>
    <col min="14091" max="14091" width="4.1015625" customWidth="1"/>
    <col min="14092" max="14092" width="4.7890625" customWidth="1"/>
    <col min="14093" max="14093" width="11.26171875" customWidth="1"/>
    <col min="14094" max="14094" width="12" customWidth="1"/>
    <col min="14095" max="14095" width="12.26171875" customWidth="1"/>
    <col min="14096" max="14096" width="11" customWidth="1"/>
    <col min="14097" max="14097" width="10.7890625" customWidth="1"/>
    <col min="14098" max="14098" width="12" customWidth="1"/>
    <col min="14099" max="14099" width="14.7890625" customWidth="1"/>
    <col min="14100" max="14100" width="13.734375" customWidth="1"/>
    <col min="14101" max="14101" width="13.7890625" customWidth="1"/>
    <col min="14102" max="14104" width="8.89453125"/>
    <col min="14105" max="14105" width="12.5234375" customWidth="1"/>
    <col min="14106" max="14106" width="13.15625" customWidth="1"/>
    <col min="14107" max="14332" width="8.89453125"/>
    <col min="14333" max="14333" width="4.26171875" customWidth="1"/>
    <col min="14334" max="14334" width="18.26171875" customWidth="1"/>
    <col min="14335" max="14335" width="10.26171875" bestFit="1" customWidth="1"/>
    <col min="14336" max="14336" width="11.47265625" customWidth="1"/>
    <col min="14337" max="14338" width="12.5234375" customWidth="1"/>
    <col min="14339" max="14339" width="10.26171875" bestFit="1" customWidth="1"/>
    <col min="14340" max="14345" width="11.26171875" customWidth="1"/>
    <col min="14346" max="14346" width="12.15625" customWidth="1"/>
    <col min="14347" max="14347" width="4.1015625" customWidth="1"/>
    <col min="14348" max="14348" width="4.7890625" customWidth="1"/>
    <col min="14349" max="14349" width="11.26171875" customWidth="1"/>
    <col min="14350" max="14350" width="12" customWidth="1"/>
    <col min="14351" max="14351" width="12.26171875" customWidth="1"/>
    <col min="14352" max="14352" width="11" customWidth="1"/>
    <col min="14353" max="14353" width="10.7890625" customWidth="1"/>
    <col min="14354" max="14354" width="12" customWidth="1"/>
    <col min="14355" max="14355" width="14.7890625" customWidth="1"/>
    <col min="14356" max="14356" width="13.734375" customWidth="1"/>
    <col min="14357" max="14357" width="13.7890625" customWidth="1"/>
    <col min="14358" max="14360" width="8.89453125"/>
    <col min="14361" max="14361" width="12.5234375" customWidth="1"/>
    <col min="14362" max="14362" width="13.15625" customWidth="1"/>
    <col min="14363" max="14588" width="8.89453125"/>
    <col min="14589" max="14589" width="4.26171875" customWidth="1"/>
    <col min="14590" max="14590" width="18.26171875" customWidth="1"/>
    <col min="14591" max="14591" width="10.26171875" bestFit="1" customWidth="1"/>
    <col min="14592" max="14592" width="11.47265625" customWidth="1"/>
    <col min="14593" max="14594" width="12.5234375" customWidth="1"/>
    <col min="14595" max="14595" width="10.26171875" bestFit="1" customWidth="1"/>
    <col min="14596" max="14601" width="11.26171875" customWidth="1"/>
    <col min="14602" max="14602" width="12.15625" customWidth="1"/>
    <col min="14603" max="14603" width="4.1015625" customWidth="1"/>
    <col min="14604" max="14604" width="4.7890625" customWidth="1"/>
    <col min="14605" max="14605" width="11.26171875" customWidth="1"/>
    <col min="14606" max="14606" width="12" customWidth="1"/>
    <col min="14607" max="14607" width="12.26171875" customWidth="1"/>
    <col min="14608" max="14608" width="11" customWidth="1"/>
    <col min="14609" max="14609" width="10.7890625" customWidth="1"/>
    <col min="14610" max="14610" width="12" customWidth="1"/>
    <col min="14611" max="14611" width="14.7890625" customWidth="1"/>
    <col min="14612" max="14612" width="13.734375" customWidth="1"/>
    <col min="14613" max="14613" width="13.7890625" customWidth="1"/>
    <col min="14614" max="14616" width="8.89453125"/>
    <col min="14617" max="14617" width="12.5234375" customWidth="1"/>
    <col min="14618" max="14618" width="13.15625" customWidth="1"/>
    <col min="14619" max="14844" width="8.89453125"/>
    <col min="14845" max="14845" width="4.26171875" customWidth="1"/>
    <col min="14846" max="14846" width="18.26171875" customWidth="1"/>
    <col min="14847" max="14847" width="10.26171875" bestFit="1" customWidth="1"/>
    <col min="14848" max="14848" width="11.47265625" customWidth="1"/>
    <col min="14849" max="14850" width="12.5234375" customWidth="1"/>
    <col min="14851" max="14851" width="10.26171875" bestFit="1" customWidth="1"/>
    <col min="14852" max="14857" width="11.26171875" customWidth="1"/>
    <col min="14858" max="14858" width="12.15625" customWidth="1"/>
    <col min="14859" max="14859" width="4.1015625" customWidth="1"/>
    <col min="14860" max="14860" width="4.7890625" customWidth="1"/>
    <col min="14861" max="14861" width="11.26171875" customWidth="1"/>
    <col min="14862" max="14862" width="12" customWidth="1"/>
    <col min="14863" max="14863" width="12.26171875" customWidth="1"/>
    <col min="14864" max="14864" width="11" customWidth="1"/>
    <col min="14865" max="14865" width="10.7890625" customWidth="1"/>
    <col min="14866" max="14866" width="12" customWidth="1"/>
    <col min="14867" max="14867" width="14.7890625" customWidth="1"/>
    <col min="14868" max="14868" width="13.734375" customWidth="1"/>
    <col min="14869" max="14869" width="13.7890625" customWidth="1"/>
    <col min="14870" max="14872" width="8.89453125"/>
    <col min="14873" max="14873" width="12.5234375" customWidth="1"/>
    <col min="14874" max="14874" width="13.15625" customWidth="1"/>
    <col min="14875" max="15100" width="8.89453125"/>
    <col min="15101" max="15101" width="4.26171875" customWidth="1"/>
    <col min="15102" max="15102" width="18.26171875" customWidth="1"/>
    <col min="15103" max="15103" width="10.26171875" bestFit="1" customWidth="1"/>
    <col min="15104" max="15104" width="11.47265625" customWidth="1"/>
    <col min="15105" max="15106" width="12.5234375" customWidth="1"/>
    <col min="15107" max="15107" width="10.26171875" bestFit="1" customWidth="1"/>
    <col min="15108" max="15113" width="11.26171875" customWidth="1"/>
    <col min="15114" max="15114" width="12.15625" customWidth="1"/>
    <col min="15115" max="15115" width="4.1015625" customWidth="1"/>
    <col min="15116" max="15116" width="4.7890625" customWidth="1"/>
    <col min="15117" max="15117" width="11.26171875" customWidth="1"/>
    <col min="15118" max="15118" width="12" customWidth="1"/>
    <col min="15119" max="15119" width="12.26171875" customWidth="1"/>
    <col min="15120" max="15120" width="11" customWidth="1"/>
    <col min="15121" max="15121" width="10.7890625" customWidth="1"/>
    <col min="15122" max="15122" width="12" customWidth="1"/>
    <col min="15123" max="15123" width="14.7890625" customWidth="1"/>
    <col min="15124" max="15124" width="13.734375" customWidth="1"/>
    <col min="15125" max="15125" width="13.7890625" customWidth="1"/>
    <col min="15126" max="15128" width="8.89453125"/>
    <col min="15129" max="15129" width="12.5234375" customWidth="1"/>
    <col min="15130" max="15130" width="13.15625" customWidth="1"/>
    <col min="15131" max="15356" width="8.89453125"/>
    <col min="15357" max="15357" width="4.26171875" customWidth="1"/>
    <col min="15358" max="15358" width="18.26171875" customWidth="1"/>
    <col min="15359" max="15359" width="10.26171875" bestFit="1" customWidth="1"/>
    <col min="15360" max="15360" width="11.47265625" customWidth="1"/>
    <col min="15361" max="15362" width="12.5234375" customWidth="1"/>
    <col min="15363" max="15363" width="10.26171875" bestFit="1" customWidth="1"/>
    <col min="15364" max="15369" width="11.26171875" customWidth="1"/>
    <col min="15370" max="15370" width="12.15625" customWidth="1"/>
    <col min="15371" max="15371" width="4.1015625" customWidth="1"/>
    <col min="15372" max="15372" width="4.7890625" customWidth="1"/>
    <col min="15373" max="15373" width="11.26171875" customWidth="1"/>
    <col min="15374" max="15374" width="12" customWidth="1"/>
    <col min="15375" max="15375" width="12.26171875" customWidth="1"/>
    <col min="15376" max="15376" width="11" customWidth="1"/>
    <col min="15377" max="15377" width="10.7890625" customWidth="1"/>
    <col min="15378" max="15378" width="12" customWidth="1"/>
    <col min="15379" max="15379" width="14.7890625" customWidth="1"/>
    <col min="15380" max="15380" width="13.734375" customWidth="1"/>
    <col min="15381" max="15381" width="13.7890625" customWidth="1"/>
    <col min="15382" max="15384" width="8.89453125"/>
    <col min="15385" max="15385" width="12.5234375" customWidth="1"/>
    <col min="15386" max="15386" width="13.15625" customWidth="1"/>
    <col min="15387" max="15612" width="8.89453125"/>
    <col min="15613" max="15613" width="4.26171875" customWidth="1"/>
    <col min="15614" max="15614" width="18.26171875" customWidth="1"/>
    <col min="15615" max="15615" width="10.26171875" bestFit="1" customWidth="1"/>
    <col min="15616" max="15616" width="11.47265625" customWidth="1"/>
    <col min="15617" max="15618" width="12.5234375" customWidth="1"/>
    <col min="15619" max="15619" width="10.26171875" bestFit="1" customWidth="1"/>
    <col min="15620" max="15625" width="11.26171875" customWidth="1"/>
    <col min="15626" max="15626" width="12.15625" customWidth="1"/>
    <col min="15627" max="15627" width="4.1015625" customWidth="1"/>
    <col min="15628" max="15628" width="4.7890625" customWidth="1"/>
    <col min="15629" max="15629" width="11.26171875" customWidth="1"/>
    <col min="15630" max="15630" width="12" customWidth="1"/>
    <col min="15631" max="15631" width="12.26171875" customWidth="1"/>
    <col min="15632" max="15632" width="11" customWidth="1"/>
    <col min="15633" max="15633" width="10.7890625" customWidth="1"/>
    <col min="15634" max="15634" width="12" customWidth="1"/>
    <col min="15635" max="15635" width="14.7890625" customWidth="1"/>
    <col min="15636" max="15636" width="13.734375" customWidth="1"/>
    <col min="15637" max="15637" width="13.7890625" customWidth="1"/>
    <col min="15638" max="15640" width="8.89453125"/>
    <col min="15641" max="15641" width="12.5234375" customWidth="1"/>
    <col min="15642" max="15642" width="13.15625" customWidth="1"/>
    <col min="15643" max="15868" width="8.89453125"/>
    <col min="15869" max="15869" width="4.26171875" customWidth="1"/>
    <col min="15870" max="15870" width="18.26171875" customWidth="1"/>
    <col min="15871" max="15871" width="10.26171875" bestFit="1" customWidth="1"/>
    <col min="15872" max="15872" width="11.47265625" customWidth="1"/>
    <col min="15873" max="15874" width="12.5234375" customWidth="1"/>
    <col min="15875" max="15875" width="10.26171875" bestFit="1" customWidth="1"/>
    <col min="15876" max="15881" width="11.26171875" customWidth="1"/>
    <col min="15882" max="15882" width="12.15625" customWidth="1"/>
    <col min="15883" max="15883" width="4.1015625" customWidth="1"/>
    <col min="15884" max="15884" width="4.7890625" customWidth="1"/>
    <col min="15885" max="15885" width="11.26171875" customWidth="1"/>
    <col min="15886" max="15886" width="12" customWidth="1"/>
    <col min="15887" max="15887" width="12.26171875" customWidth="1"/>
    <col min="15888" max="15888" width="11" customWidth="1"/>
    <col min="15889" max="15889" width="10.7890625" customWidth="1"/>
    <col min="15890" max="15890" width="12" customWidth="1"/>
    <col min="15891" max="15891" width="14.7890625" customWidth="1"/>
    <col min="15892" max="15892" width="13.734375" customWidth="1"/>
    <col min="15893" max="15893" width="13.7890625" customWidth="1"/>
    <col min="15894" max="15896" width="8.89453125"/>
    <col min="15897" max="15897" width="12.5234375" customWidth="1"/>
    <col min="15898" max="15898" width="13.15625" customWidth="1"/>
    <col min="15899" max="16124" width="8.89453125"/>
    <col min="16125" max="16125" width="4.26171875" customWidth="1"/>
    <col min="16126" max="16126" width="18.26171875" customWidth="1"/>
    <col min="16127" max="16127" width="10.26171875" bestFit="1" customWidth="1"/>
    <col min="16128" max="16128" width="11.47265625" customWidth="1"/>
    <col min="16129" max="16130" width="12.5234375" customWidth="1"/>
    <col min="16131" max="16131" width="10.26171875" bestFit="1" customWidth="1"/>
    <col min="16132" max="16137" width="11.26171875" customWidth="1"/>
    <col min="16138" max="16138" width="12.15625" customWidth="1"/>
    <col min="16139" max="16139" width="4.1015625" customWidth="1"/>
    <col min="16140" max="16140" width="4.7890625" customWidth="1"/>
    <col min="16141" max="16141" width="11.26171875" customWidth="1"/>
    <col min="16142" max="16142" width="12" customWidth="1"/>
    <col min="16143" max="16143" width="12.26171875" customWidth="1"/>
    <col min="16144" max="16144" width="11" customWidth="1"/>
    <col min="16145" max="16145" width="10.7890625" customWidth="1"/>
    <col min="16146" max="16146" width="12" customWidth="1"/>
    <col min="16147" max="16147" width="14.7890625" customWidth="1"/>
    <col min="16148" max="16148" width="13.734375" customWidth="1"/>
    <col min="16149" max="16149" width="13.7890625" customWidth="1"/>
    <col min="16150" max="16152" width="8.89453125"/>
    <col min="16153" max="16153" width="12.5234375" customWidth="1"/>
    <col min="16154" max="16154" width="13.15625" customWidth="1"/>
    <col min="16155" max="16384" width="8.89453125"/>
  </cols>
  <sheetData>
    <row r="1" spans="1:13" x14ac:dyDescent="0.55000000000000004">
      <c r="A1" s="283"/>
      <c r="B1" s="288" t="s">
        <v>39</v>
      </c>
      <c r="C1" s="288" t="s">
        <v>50</v>
      </c>
      <c r="D1" s="288" t="s">
        <v>53</v>
      </c>
      <c r="E1" s="288" t="s">
        <v>57</v>
      </c>
      <c r="F1" s="288" t="s">
        <v>58</v>
      </c>
      <c r="G1" s="288" t="s">
        <v>59</v>
      </c>
      <c r="H1" s="288" t="s">
        <v>60</v>
      </c>
      <c r="I1" s="288" t="s">
        <v>61</v>
      </c>
      <c r="J1" s="288" t="s">
        <v>62</v>
      </c>
      <c r="K1" s="288" t="s">
        <v>63</v>
      </c>
      <c r="L1" s="288" t="s">
        <v>64</v>
      </c>
      <c r="M1" s="208"/>
    </row>
    <row r="2" spans="1:13" ht="17.7" x14ac:dyDescent="0.6">
      <c r="A2" s="283">
        <f>ROW()</f>
        <v>2</v>
      </c>
      <c r="B2" s="55" t="s">
        <v>115</v>
      </c>
      <c r="C2" s="212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55000000000000004">
      <c r="A3" s="283">
        <f>ROW()</f>
        <v>3</v>
      </c>
      <c r="B3" s="225" t="s">
        <v>242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4.7" thickBot="1" x14ac:dyDescent="0.6">
      <c r="A4" s="283">
        <f>ROW()</f>
        <v>4</v>
      </c>
      <c r="D4" s="56"/>
      <c r="E4" s="56" t="s">
        <v>116</v>
      </c>
      <c r="G4" s="36"/>
      <c r="H4" s="56" t="s">
        <v>325</v>
      </c>
      <c r="I4" s="56" t="s">
        <v>117</v>
      </c>
      <c r="J4" s="56" t="s">
        <v>118</v>
      </c>
      <c r="K4" s="56" t="s">
        <v>119</v>
      </c>
      <c r="L4" s="56" t="s">
        <v>116</v>
      </c>
    </row>
    <row r="5" spans="1:13" ht="14.7" thickTop="1" x14ac:dyDescent="0.55000000000000004">
      <c r="A5" s="283">
        <f>ROW()</f>
        <v>5</v>
      </c>
      <c r="B5" s="20" t="s">
        <v>122</v>
      </c>
      <c r="E5" s="57">
        <v>42292</v>
      </c>
      <c r="H5" s="58">
        <f>+$E$5</f>
        <v>42292</v>
      </c>
      <c r="I5" s="58">
        <f>+$E$5</f>
        <v>42292</v>
      </c>
      <c r="J5" s="58">
        <f>+$E$5</f>
        <v>42292</v>
      </c>
      <c r="K5" s="58">
        <f>+$E$5</f>
        <v>42292</v>
      </c>
      <c r="L5" s="58">
        <f>+$E$5</f>
        <v>42292</v>
      </c>
    </row>
    <row r="6" spans="1:13" x14ac:dyDescent="0.55000000000000004">
      <c r="A6" s="283">
        <f>ROW()</f>
        <v>6</v>
      </c>
      <c r="B6" s="20" t="s">
        <v>123</v>
      </c>
      <c r="D6" s="338">
        <v>43902</v>
      </c>
      <c r="E6" s="338"/>
      <c r="H6" s="58">
        <f>+$D$6</f>
        <v>43902</v>
      </c>
      <c r="I6" s="58">
        <f>+$D$6</f>
        <v>43902</v>
      </c>
      <c r="J6" s="58">
        <f>+$D$6</f>
        <v>43902</v>
      </c>
      <c r="K6" s="58">
        <f>+$D$6</f>
        <v>43902</v>
      </c>
      <c r="L6" s="58">
        <f>+$D$6</f>
        <v>43902</v>
      </c>
    </row>
    <row r="7" spans="1:13" x14ac:dyDescent="0.55000000000000004">
      <c r="A7" s="283">
        <f>ROW()</f>
        <v>7</v>
      </c>
      <c r="E7" s="13"/>
    </row>
    <row r="8" spans="1:13" x14ac:dyDescent="0.55000000000000004">
      <c r="A8" s="283">
        <f>ROW()</f>
        <v>8</v>
      </c>
      <c r="B8" s="36" t="s">
        <v>253</v>
      </c>
      <c r="C8" s="35"/>
      <c r="D8" s="338">
        <f>+D6+5</f>
        <v>43907</v>
      </c>
      <c r="E8" s="338"/>
      <c r="G8" s="36"/>
      <c r="H8" s="59">
        <f>+$D$8</f>
        <v>43907</v>
      </c>
      <c r="I8" s="59">
        <f>+$D$8</f>
        <v>43907</v>
      </c>
      <c r="J8" s="59">
        <f>+$D$8</f>
        <v>43907</v>
      </c>
      <c r="K8" s="59">
        <f>+$D$8</f>
        <v>43907</v>
      </c>
      <c r="L8" s="59">
        <f>+$D$8</f>
        <v>43907</v>
      </c>
    </row>
    <row r="9" spans="1:13" x14ac:dyDescent="0.55000000000000004">
      <c r="A9" s="283">
        <f>ROW()</f>
        <v>9</v>
      </c>
      <c r="B9" s="36" t="s">
        <v>254</v>
      </c>
      <c r="C9" s="35"/>
      <c r="D9" s="36"/>
      <c r="E9" s="60">
        <f>DATE(2025,10,15)</f>
        <v>45945</v>
      </c>
      <c r="G9" s="36"/>
      <c r="H9" s="59">
        <v>43388</v>
      </c>
      <c r="I9" s="59">
        <f>+H9+365</f>
        <v>43753</v>
      </c>
      <c r="J9" s="59">
        <f>+I9+366</f>
        <v>44119</v>
      </c>
      <c r="K9" s="59">
        <f>+J9+365</f>
        <v>44484</v>
      </c>
      <c r="L9" s="59">
        <f>+E9</f>
        <v>45945</v>
      </c>
    </row>
    <row r="10" spans="1:13" x14ac:dyDescent="0.55000000000000004">
      <c r="A10" s="283">
        <f>ROW()</f>
        <v>10</v>
      </c>
      <c r="B10" s="36" t="s">
        <v>255</v>
      </c>
      <c r="C10" s="35"/>
      <c r="D10" s="36"/>
      <c r="E10" s="61">
        <v>6.25E-2</v>
      </c>
      <c r="G10" s="36"/>
      <c r="H10" s="62">
        <f>+$E$10</f>
        <v>6.25E-2</v>
      </c>
      <c r="I10" s="62">
        <f>+$E$10</f>
        <v>6.25E-2</v>
      </c>
      <c r="J10" s="62">
        <f>+$E$10</f>
        <v>6.25E-2</v>
      </c>
      <c r="K10" s="62">
        <f>+$E$10</f>
        <v>6.25E-2</v>
      </c>
      <c r="L10" s="62">
        <f>+$E$10</f>
        <v>6.25E-2</v>
      </c>
    </row>
    <row r="11" spans="1:13" x14ac:dyDescent="0.55000000000000004">
      <c r="A11" s="283">
        <f>ROW()</f>
        <v>11</v>
      </c>
      <c r="B11" s="36" t="s">
        <v>256</v>
      </c>
      <c r="C11" s="35"/>
      <c r="D11" s="36"/>
      <c r="E11" s="63">
        <v>97.5</v>
      </c>
      <c r="G11" s="64"/>
      <c r="H11" s="64">
        <f>+$E$11</f>
        <v>97.5</v>
      </c>
      <c r="I11" s="64">
        <f>+$E$11</f>
        <v>97.5</v>
      </c>
      <c r="J11" s="64">
        <f>+$E$11</f>
        <v>97.5</v>
      </c>
      <c r="K11" s="64">
        <f>+$E$11</f>
        <v>97.5</v>
      </c>
      <c r="L11" s="64">
        <f>+$E$11</f>
        <v>97.5</v>
      </c>
    </row>
    <row r="12" spans="1:13" x14ac:dyDescent="0.55000000000000004">
      <c r="A12" s="283">
        <f>ROW()</f>
        <v>12</v>
      </c>
      <c r="B12" s="36" t="s">
        <v>257</v>
      </c>
      <c r="C12" s="35"/>
      <c r="D12" s="36"/>
      <c r="E12" s="63">
        <v>100</v>
      </c>
      <c r="G12" s="64"/>
      <c r="H12" s="64">
        <f>+H15</f>
        <v>0</v>
      </c>
      <c r="I12" s="64">
        <f>+I15</f>
        <v>103</v>
      </c>
      <c r="J12" s="64">
        <f>+J15</f>
        <v>102</v>
      </c>
      <c r="K12" s="64">
        <f>+K15</f>
        <v>101</v>
      </c>
      <c r="L12" s="64">
        <f>+L15</f>
        <v>100</v>
      </c>
    </row>
    <row r="13" spans="1:13" x14ac:dyDescent="0.55000000000000004">
      <c r="A13" s="283">
        <f>ROW()</f>
        <v>13</v>
      </c>
      <c r="B13" s="36" t="s">
        <v>258</v>
      </c>
      <c r="C13" s="35"/>
      <c r="D13" s="36"/>
      <c r="E13" s="36">
        <v>2</v>
      </c>
      <c r="G13" s="36"/>
      <c r="H13" s="36">
        <f>+$E$13</f>
        <v>2</v>
      </c>
      <c r="I13" s="36">
        <f>+$E$13</f>
        <v>2</v>
      </c>
      <c r="J13" s="36">
        <f>+$E$13</f>
        <v>2</v>
      </c>
      <c r="K13" s="36">
        <f>+$E$13</f>
        <v>2</v>
      </c>
      <c r="L13" s="36">
        <f>+$E$13</f>
        <v>2</v>
      </c>
    </row>
    <row r="14" spans="1:13" ht="15" customHeight="1" x14ac:dyDescent="0.55000000000000004">
      <c r="A14" s="283">
        <f>ROW()</f>
        <v>14</v>
      </c>
    </row>
    <row r="15" spans="1:13" x14ac:dyDescent="0.55000000000000004">
      <c r="A15" s="283">
        <f>ROW()</f>
        <v>15</v>
      </c>
      <c r="B15" s="198" t="s">
        <v>130</v>
      </c>
      <c r="E15" s="65"/>
      <c r="G15" s="22"/>
      <c r="H15" s="22"/>
      <c r="I15" s="66">
        <v>103</v>
      </c>
      <c r="J15" s="66">
        <f>+I15-1</f>
        <v>102</v>
      </c>
      <c r="K15" s="66">
        <f>+J15-1</f>
        <v>101</v>
      </c>
      <c r="L15" s="66">
        <f>+K15-1</f>
        <v>100</v>
      </c>
    </row>
    <row r="16" spans="1:13" ht="14.7" thickBot="1" x14ac:dyDescent="0.6">
      <c r="A16" s="283">
        <f>ROW()</f>
        <v>16</v>
      </c>
    </row>
    <row r="17" spans="1:13" ht="14.7" thickBot="1" x14ac:dyDescent="0.6">
      <c r="A17" s="283">
        <f>ROW()</f>
        <v>17</v>
      </c>
      <c r="D17" s="34" t="s">
        <v>131</v>
      </c>
      <c r="E17" s="67">
        <f>YIELD(D8,E9,E10,E11,E12,E13)</f>
        <v>6.7944690128278112E-2</v>
      </c>
      <c r="G17" s="34" t="s">
        <v>132</v>
      </c>
      <c r="H17" s="68" t="str">
        <f>IF(H9&lt;H8,"NA",YIELD(H8,H9,H10,H11,H12,H13))</f>
        <v>NA</v>
      </c>
      <c r="I17" s="69" t="str">
        <f>IF(I9&lt;I8,"NA",YIELD(I8,I9,I10,I11,I12,I13))</f>
        <v>NA</v>
      </c>
      <c r="J17" s="227">
        <f>IF(J9&lt;J8,"NA",YIELD(J8,J9,J10,J11,J12,J13))</f>
        <v>0.14327646733966842</v>
      </c>
      <c r="K17" s="69">
        <f>IF(K9&lt;K8,"NA",YIELD(K8,K9,K10,K11,K12,K13))</f>
        <v>8.5772019026413418E-2</v>
      </c>
      <c r="L17" s="69">
        <f>IF(L9&lt;L8,"NA",YIELD(L8,L9,L10,L11,L12,L13))</f>
        <v>6.7944690128278112E-2</v>
      </c>
    </row>
    <row r="18" spans="1:13" ht="14.7" thickBot="1" x14ac:dyDescent="0.6">
      <c r="A18" s="283">
        <f>ROW()</f>
        <v>18</v>
      </c>
      <c r="E18" s="70"/>
      <c r="G18" s="34"/>
    </row>
    <row r="19" spans="1:13" ht="14.7" thickBot="1" x14ac:dyDescent="0.6">
      <c r="A19" s="283">
        <f>ROW()</f>
        <v>19</v>
      </c>
      <c r="D19" s="34" t="s">
        <v>133</v>
      </c>
      <c r="E19" s="71">
        <f>MIN(E17,I17,J17,K17,L17)</f>
        <v>6.7944690128278112E-2</v>
      </c>
      <c r="G19" s="34" t="s">
        <v>134</v>
      </c>
      <c r="H19" s="72">
        <f>+E22*E13/(E11*10)</f>
        <v>6.4102564102564097E-2</v>
      </c>
    </row>
    <row r="20" spans="1:13" x14ac:dyDescent="0.55000000000000004">
      <c r="A20" s="283">
        <f>ROW()</f>
        <v>20</v>
      </c>
      <c r="J20" s="197" t="s">
        <v>252</v>
      </c>
    </row>
    <row r="21" spans="1:13" x14ac:dyDescent="0.55000000000000004">
      <c r="A21" s="283">
        <f>ROW()</f>
        <v>21</v>
      </c>
      <c r="B21" s="36" t="s">
        <v>135</v>
      </c>
      <c r="C21" s="213"/>
      <c r="D21" s="198"/>
      <c r="E21" s="206">
        <v>1000</v>
      </c>
      <c r="F21" s="198"/>
      <c r="J21" s="197" t="s">
        <v>251</v>
      </c>
    </row>
    <row r="22" spans="1:13" x14ac:dyDescent="0.55000000000000004">
      <c r="A22" s="283">
        <f>ROW()</f>
        <v>22</v>
      </c>
      <c r="B22" s="36" t="s">
        <v>136</v>
      </c>
      <c r="C22" s="213"/>
      <c r="D22" s="198"/>
      <c r="E22" s="290">
        <f>+E10*E21/2</f>
        <v>31.25</v>
      </c>
      <c r="F22" s="285" t="s">
        <v>315</v>
      </c>
    </row>
    <row r="23" spans="1:13" x14ac:dyDescent="0.55000000000000004">
      <c r="A23" s="283">
        <f>ROW()</f>
        <v>23</v>
      </c>
      <c r="B23" s="36" t="s">
        <v>137</v>
      </c>
      <c r="C23" s="213"/>
      <c r="D23" s="198"/>
      <c r="E23" s="207">
        <f>+(E9-E5)/365</f>
        <v>10.008219178082191</v>
      </c>
      <c r="F23" s="36" t="s">
        <v>138</v>
      </c>
      <c r="G23" s="20"/>
    </row>
    <row r="24" spans="1:13" x14ac:dyDescent="0.55000000000000004">
      <c r="A24" s="283">
        <f>ROW()</f>
        <v>24</v>
      </c>
    </row>
    <row r="25" spans="1:13" x14ac:dyDescent="0.55000000000000004">
      <c r="A25" s="283">
        <f>ROW()</f>
        <v>25</v>
      </c>
      <c r="E25" s="198"/>
      <c r="I25" s="222"/>
      <c r="J25" s="223"/>
    </row>
    <row r="26" spans="1:13" ht="5.5" customHeight="1" x14ac:dyDescent="0.55000000000000004">
      <c r="A26" s="286"/>
      <c r="E26" s="198"/>
      <c r="I26" s="222"/>
      <c r="J26" s="223"/>
    </row>
    <row r="27" spans="1:13" x14ac:dyDescent="0.55000000000000004">
      <c r="A27" s="276"/>
      <c r="B27" s="276"/>
      <c r="C27" s="277"/>
      <c r="D27" s="276"/>
      <c r="E27" s="276"/>
      <c r="F27" s="276"/>
      <c r="G27" s="276"/>
      <c r="H27" s="276"/>
      <c r="I27" s="276"/>
      <c r="J27" s="276"/>
      <c r="K27" s="276"/>
      <c r="L27" s="276"/>
      <c r="M27" s="278" t="s">
        <v>324</v>
      </c>
    </row>
  </sheetData>
  <mergeCells count="2">
    <mergeCell ref="D6:E6"/>
    <mergeCell ref="D8:E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CF8A-88CC-4015-B021-4273242CBC2B}">
  <dimension ref="A1:AT35"/>
  <sheetViews>
    <sheetView topLeftCell="A7" workbookViewId="0">
      <selection activeCell="C8" sqref="C8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0.26171875" bestFit="1" customWidth="1"/>
    <col min="4" max="4" width="11.47265625" customWidth="1"/>
    <col min="5" max="5" width="12.5234375" customWidth="1"/>
    <col min="6" max="6" width="11.15625" customWidth="1"/>
    <col min="7" max="7" width="10.26171875" bestFit="1" customWidth="1"/>
    <col min="8" max="8" width="11.26171875" customWidth="1"/>
    <col min="9" max="9" width="13.26171875" customWidth="1"/>
    <col min="10" max="10" width="17.734375" bestFit="1" customWidth="1"/>
    <col min="11" max="12" width="11.26171875" customWidth="1"/>
    <col min="13" max="13" width="5.26171875" customWidth="1"/>
    <col min="14" max="16" width="9.3671875" customWidth="1"/>
    <col min="17" max="24" width="8.62890625" customWidth="1"/>
    <col min="25" max="25" width="10.26171875" customWidth="1"/>
    <col min="26" max="26" width="10" customWidth="1"/>
    <col min="27" max="28" width="8.89453125"/>
    <col min="29" max="29" width="12.5234375" customWidth="1"/>
    <col min="30" max="30" width="13.15625" customWidth="1"/>
    <col min="31" max="256" width="8.89453125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2" max="284" width="8.89453125"/>
    <col min="285" max="285" width="12.5234375" customWidth="1"/>
    <col min="286" max="286" width="13.15625" customWidth="1"/>
    <col min="287" max="512" width="8.89453125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38" max="540" width="8.89453125"/>
    <col min="541" max="541" width="12.5234375" customWidth="1"/>
    <col min="542" max="542" width="13.15625" customWidth="1"/>
    <col min="543" max="768" width="8.89453125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4" max="796" width="8.89453125"/>
    <col min="797" max="797" width="12.5234375" customWidth="1"/>
    <col min="798" max="798" width="13.15625" customWidth="1"/>
    <col min="799" max="1024" width="8.89453125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0" max="1052" width="8.89453125"/>
    <col min="1053" max="1053" width="12.5234375" customWidth="1"/>
    <col min="1054" max="1054" width="13.15625" customWidth="1"/>
    <col min="1055" max="1280" width="8.89453125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6" max="1308" width="8.89453125"/>
    <col min="1309" max="1309" width="12.5234375" customWidth="1"/>
    <col min="1310" max="1310" width="13.15625" customWidth="1"/>
    <col min="1311" max="1536" width="8.89453125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2" max="1564" width="8.89453125"/>
    <col min="1565" max="1565" width="12.5234375" customWidth="1"/>
    <col min="1566" max="1566" width="13.15625" customWidth="1"/>
    <col min="1567" max="1792" width="8.89453125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18" max="1820" width="8.89453125"/>
    <col min="1821" max="1821" width="12.5234375" customWidth="1"/>
    <col min="1822" max="1822" width="13.15625" customWidth="1"/>
    <col min="1823" max="2048" width="8.89453125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4" max="2076" width="8.89453125"/>
    <col min="2077" max="2077" width="12.5234375" customWidth="1"/>
    <col min="2078" max="2078" width="13.15625" customWidth="1"/>
    <col min="2079" max="2304" width="8.89453125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0" max="2332" width="8.89453125"/>
    <col min="2333" max="2333" width="12.5234375" customWidth="1"/>
    <col min="2334" max="2334" width="13.15625" customWidth="1"/>
    <col min="2335" max="2560" width="8.89453125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6" max="2588" width="8.89453125"/>
    <col min="2589" max="2589" width="12.5234375" customWidth="1"/>
    <col min="2590" max="2590" width="13.15625" customWidth="1"/>
    <col min="2591" max="2816" width="8.89453125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2" max="2844" width="8.89453125"/>
    <col min="2845" max="2845" width="12.5234375" customWidth="1"/>
    <col min="2846" max="2846" width="13.15625" customWidth="1"/>
    <col min="2847" max="3072" width="8.89453125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098" max="3100" width="8.89453125"/>
    <col min="3101" max="3101" width="12.5234375" customWidth="1"/>
    <col min="3102" max="3102" width="13.15625" customWidth="1"/>
    <col min="3103" max="3328" width="8.89453125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4" max="3356" width="8.89453125"/>
    <col min="3357" max="3357" width="12.5234375" customWidth="1"/>
    <col min="3358" max="3358" width="13.15625" customWidth="1"/>
    <col min="3359" max="3584" width="8.89453125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0" max="3612" width="8.89453125"/>
    <col min="3613" max="3613" width="12.5234375" customWidth="1"/>
    <col min="3614" max="3614" width="13.15625" customWidth="1"/>
    <col min="3615" max="3840" width="8.89453125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6" max="3868" width="8.89453125"/>
    <col min="3869" max="3869" width="12.5234375" customWidth="1"/>
    <col min="3870" max="3870" width="13.15625" customWidth="1"/>
    <col min="3871" max="4096" width="8.89453125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2" max="4124" width="8.89453125"/>
    <col min="4125" max="4125" width="12.5234375" customWidth="1"/>
    <col min="4126" max="4126" width="13.15625" customWidth="1"/>
    <col min="4127" max="4352" width="8.89453125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78" max="4380" width="8.89453125"/>
    <col min="4381" max="4381" width="12.5234375" customWidth="1"/>
    <col min="4382" max="4382" width="13.15625" customWidth="1"/>
    <col min="4383" max="4608" width="8.89453125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4" max="4636" width="8.89453125"/>
    <col min="4637" max="4637" width="12.5234375" customWidth="1"/>
    <col min="4638" max="4638" width="13.15625" customWidth="1"/>
    <col min="4639" max="4864" width="8.89453125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0" max="4892" width="8.89453125"/>
    <col min="4893" max="4893" width="12.5234375" customWidth="1"/>
    <col min="4894" max="4894" width="13.15625" customWidth="1"/>
    <col min="4895" max="5120" width="8.89453125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6" max="5148" width="8.89453125"/>
    <col min="5149" max="5149" width="12.5234375" customWidth="1"/>
    <col min="5150" max="5150" width="13.15625" customWidth="1"/>
    <col min="5151" max="5376" width="8.89453125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2" max="5404" width="8.89453125"/>
    <col min="5405" max="5405" width="12.5234375" customWidth="1"/>
    <col min="5406" max="5406" width="13.15625" customWidth="1"/>
    <col min="5407" max="5632" width="8.89453125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58" max="5660" width="8.89453125"/>
    <col min="5661" max="5661" width="12.5234375" customWidth="1"/>
    <col min="5662" max="5662" width="13.15625" customWidth="1"/>
    <col min="5663" max="5888" width="8.89453125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4" max="5916" width="8.89453125"/>
    <col min="5917" max="5917" width="12.5234375" customWidth="1"/>
    <col min="5918" max="5918" width="13.15625" customWidth="1"/>
    <col min="5919" max="6144" width="8.89453125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0" max="6172" width="8.89453125"/>
    <col min="6173" max="6173" width="12.5234375" customWidth="1"/>
    <col min="6174" max="6174" width="13.15625" customWidth="1"/>
    <col min="6175" max="6400" width="8.89453125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6" max="6428" width="8.89453125"/>
    <col min="6429" max="6429" width="12.5234375" customWidth="1"/>
    <col min="6430" max="6430" width="13.15625" customWidth="1"/>
    <col min="6431" max="6656" width="8.89453125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2" max="6684" width="8.89453125"/>
    <col min="6685" max="6685" width="12.5234375" customWidth="1"/>
    <col min="6686" max="6686" width="13.15625" customWidth="1"/>
    <col min="6687" max="6912" width="8.89453125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38" max="6940" width="8.89453125"/>
    <col min="6941" max="6941" width="12.5234375" customWidth="1"/>
    <col min="6942" max="6942" width="13.15625" customWidth="1"/>
    <col min="6943" max="7168" width="8.89453125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4" max="7196" width="8.89453125"/>
    <col min="7197" max="7197" width="12.5234375" customWidth="1"/>
    <col min="7198" max="7198" width="13.15625" customWidth="1"/>
    <col min="7199" max="7424" width="8.89453125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0" max="7452" width="8.89453125"/>
    <col min="7453" max="7453" width="12.5234375" customWidth="1"/>
    <col min="7454" max="7454" width="13.15625" customWidth="1"/>
    <col min="7455" max="7680" width="8.89453125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6" max="7708" width="8.89453125"/>
    <col min="7709" max="7709" width="12.5234375" customWidth="1"/>
    <col min="7710" max="7710" width="13.15625" customWidth="1"/>
    <col min="7711" max="7936" width="8.89453125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2" max="7964" width="8.89453125"/>
    <col min="7965" max="7965" width="12.5234375" customWidth="1"/>
    <col min="7966" max="7966" width="13.15625" customWidth="1"/>
    <col min="7967" max="8192" width="8.89453125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18" max="8220" width="8.89453125"/>
    <col min="8221" max="8221" width="12.5234375" customWidth="1"/>
    <col min="8222" max="8222" width="13.15625" customWidth="1"/>
    <col min="8223" max="8448" width="8.89453125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4" max="8476" width="8.89453125"/>
    <col min="8477" max="8477" width="12.5234375" customWidth="1"/>
    <col min="8478" max="8478" width="13.15625" customWidth="1"/>
    <col min="8479" max="8704" width="8.89453125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0" max="8732" width="8.89453125"/>
    <col min="8733" max="8733" width="12.5234375" customWidth="1"/>
    <col min="8734" max="8734" width="13.15625" customWidth="1"/>
    <col min="8735" max="8960" width="8.89453125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6" max="8988" width="8.89453125"/>
    <col min="8989" max="8989" width="12.5234375" customWidth="1"/>
    <col min="8990" max="8990" width="13.15625" customWidth="1"/>
    <col min="8991" max="9216" width="8.89453125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2" max="9244" width="8.89453125"/>
    <col min="9245" max="9245" width="12.5234375" customWidth="1"/>
    <col min="9246" max="9246" width="13.15625" customWidth="1"/>
    <col min="9247" max="9472" width="8.89453125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498" max="9500" width="8.89453125"/>
    <col min="9501" max="9501" width="12.5234375" customWidth="1"/>
    <col min="9502" max="9502" width="13.15625" customWidth="1"/>
    <col min="9503" max="9728" width="8.89453125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4" max="9756" width="8.89453125"/>
    <col min="9757" max="9757" width="12.5234375" customWidth="1"/>
    <col min="9758" max="9758" width="13.15625" customWidth="1"/>
    <col min="9759" max="9984" width="8.89453125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0" max="10012" width="8.89453125"/>
    <col min="10013" max="10013" width="12.5234375" customWidth="1"/>
    <col min="10014" max="10014" width="13.15625" customWidth="1"/>
    <col min="10015" max="10240" width="8.89453125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6" max="10268" width="8.89453125"/>
    <col min="10269" max="10269" width="12.5234375" customWidth="1"/>
    <col min="10270" max="10270" width="13.15625" customWidth="1"/>
    <col min="10271" max="10496" width="8.89453125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2" max="10524" width="8.89453125"/>
    <col min="10525" max="10525" width="12.5234375" customWidth="1"/>
    <col min="10526" max="10526" width="13.15625" customWidth="1"/>
    <col min="10527" max="10752" width="8.89453125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78" max="10780" width="8.89453125"/>
    <col min="10781" max="10781" width="12.5234375" customWidth="1"/>
    <col min="10782" max="10782" width="13.15625" customWidth="1"/>
    <col min="10783" max="11008" width="8.89453125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4" max="11036" width="8.89453125"/>
    <col min="11037" max="11037" width="12.5234375" customWidth="1"/>
    <col min="11038" max="11038" width="13.15625" customWidth="1"/>
    <col min="11039" max="11264" width="8.89453125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0" max="11292" width="8.89453125"/>
    <col min="11293" max="11293" width="12.5234375" customWidth="1"/>
    <col min="11294" max="11294" width="13.15625" customWidth="1"/>
    <col min="11295" max="11520" width="8.89453125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6" max="11548" width="8.89453125"/>
    <col min="11549" max="11549" width="12.5234375" customWidth="1"/>
    <col min="11550" max="11550" width="13.15625" customWidth="1"/>
    <col min="11551" max="11776" width="8.89453125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2" max="11804" width="8.89453125"/>
    <col min="11805" max="11805" width="12.5234375" customWidth="1"/>
    <col min="11806" max="11806" width="13.15625" customWidth="1"/>
    <col min="11807" max="12032" width="8.89453125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58" max="12060" width="8.89453125"/>
    <col min="12061" max="12061" width="12.5234375" customWidth="1"/>
    <col min="12062" max="12062" width="13.15625" customWidth="1"/>
    <col min="12063" max="12288" width="8.89453125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4" max="12316" width="8.89453125"/>
    <col min="12317" max="12317" width="12.5234375" customWidth="1"/>
    <col min="12318" max="12318" width="13.15625" customWidth="1"/>
    <col min="12319" max="12544" width="8.89453125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0" max="12572" width="8.89453125"/>
    <col min="12573" max="12573" width="12.5234375" customWidth="1"/>
    <col min="12574" max="12574" width="13.15625" customWidth="1"/>
    <col min="12575" max="12800" width="8.89453125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6" max="12828" width="8.89453125"/>
    <col min="12829" max="12829" width="12.5234375" customWidth="1"/>
    <col min="12830" max="12830" width="13.15625" customWidth="1"/>
    <col min="12831" max="13056" width="8.89453125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2" max="13084" width="8.89453125"/>
    <col min="13085" max="13085" width="12.5234375" customWidth="1"/>
    <col min="13086" max="13086" width="13.15625" customWidth="1"/>
    <col min="13087" max="13312" width="8.89453125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38" max="13340" width="8.89453125"/>
    <col min="13341" max="13341" width="12.5234375" customWidth="1"/>
    <col min="13342" max="13342" width="13.15625" customWidth="1"/>
    <col min="13343" max="13568" width="8.89453125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4" max="13596" width="8.89453125"/>
    <col min="13597" max="13597" width="12.5234375" customWidth="1"/>
    <col min="13598" max="13598" width="13.15625" customWidth="1"/>
    <col min="13599" max="13824" width="8.89453125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0" max="13852" width="8.89453125"/>
    <col min="13853" max="13853" width="12.5234375" customWidth="1"/>
    <col min="13854" max="13854" width="13.15625" customWidth="1"/>
    <col min="13855" max="14080" width="8.89453125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6" max="14108" width="8.89453125"/>
    <col min="14109" max="14109" width="12.5234375" customWidth="1"/>
    <col min="14110" max="14110" width="13.15625" customWidth="1"/>
    <col min="14111" max="14336" width="8.89453125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2" max="14364" width="8.89453125"/>
    <col min="14365" max="14365" width="12.5234375" customWidth="1"/>
    <col min="14366" max="14366" width="13.15625" customWidth="1"/>
    <col min="14367" max="14592" width="8.89453125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18" max="14620" width="8.89453125"/>
    <col min="14621" max="14621" width="12.5234375" customWidth="1"/>
    <col min="14622" max="14622" width="13.15625" customWidth="1"/>
    <col min="14623" max="14848" width="8.89453125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4" max="14876" width="8.89453125"/>
    <col min="14877" max="14877" width="12.5234375" customWidth="1"/>
    <col min="14878" max="14878" width="13.15625" customWidth="1"/>
    <col min="14879" max="15104" width="8.89453125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0" max="15132" width="8.89453125"/>
    <col min="15133" max="15133" width="12.5234375" customWidth="1"/>
    <col min="15134" max="15134" width="13.15625" customWidth="1"/>
    <col min="15135" max="15360" width="8.89453125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6" max="15388" width="8.89453125"/>
    <col min="15389" max="15389" width="12.5234375" customWidth="1"/>
    <col min="15390" max="15390" width="13.15625" customWidth="1"/>
    <col min="15391" max="15616" width="8.89453125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2" max="15644" width="8.89453125"/>
    <col min="15645" max="15645" width="12.5234375" customWidth="1"/>
    <col min="15646" max="15646" width="13.15625" customWidth="1"/>
    <col min="15647" max="15872" width="8.89453125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898" max="15900" width="8.89453125"/>
    <col min="15901" max="15901" width="12.5234375" customWidth="1"/>
    <col min="15902" max="15902" width="13.15625" customWidth="1"/>
    <col min="15903" max="16128" width="8.89453125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4" max="16156" width="8.89453125"/>
    <col min="16157" max="16157" width="12.5234375" customWidth="1"/>
    <col min="16158" max="16158" width="13.15625" customWidth="1"/>
    <col min="16159" max="16384" width="8.89453125"/>
  </cols>
  <sheetData>
    <row r="1" spans="1:13" x14ac:dyDescent="0.55000000000000004">
      <c r="A1" s="296">
        <f>ROW()</f>
        <v>1</v>
      </c>
      <c r="B1" s="298" t="s">
        <v>39</v>
      </c>
      <c r="C1" s="297" t="s">
        <v>50</v>
      </c>
      <c r="D1" s="297" t="s">
        <v>53</v>
      </c>
      <c r="E1" s="297" t="s">
        <v>57</v>
      </c>
      <c r="F1" s="297" t="s">
        <v>58</v>
      </c>
      <c r="G1" s="297" t="s">
        <v>59</v>
      </c>
      <c r="H1" s="297" t="s">
        <v>60</v>
      </c>
      <c r="I1" s="297" t="s">
        <v>61</v>
      </c>
      <c r="J1" s="297" t="s">
        <v>62</v>
      </c>
      <c r="K1" s="297" t="s">
        <v>63</v>
      </c>
      <c r="L1" s="297" t="s">
        <v>64</v>
      </c>
      <c r="M1" s="297"/>
    </row>
    <row r="2" spans="1:13" ht="18.55" customHeight="1" x14ac:dyDescent="0.6">
      <c r="A2" s="296">
        <f>ROW()</f>
        <v>2</v>
      </c>
      <c r="B2" s="55" t="s">
        <v>294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.3" x14ac:dyDescent="0.55000000000000004">
      <c r="A3" s="296">
        <f>ROW()</f>
        <v>3</v>
      </c>
      <c r="B3" s="98" t="s">
        <v>156</v>
      </c>
    </row>
    <row r="4" spans="1:13" ht="15.3" x14ac:dyDescent="0.55000000000000004">
      <c r="A4" s="296">
        <f>ROW()</f>
        <v>4</v>
      </c>
      <c r="B4" s="98"/>
      <c r="G4" s="101"/>
      <c r="L4" s="102"/>
    </row>
    <row r="5" spans="1:13" x14ac:dyDescent="0.55000000000000004">
      <c r="A5" s="296">
        <f>ROW()</f>
        <v>5</v>
      </c>
      <c r="B5" s="103" t="s">
        <v>135</v>
      </c>
      <c r="C5" s="294">
        <f>+'Fig. 11.10'!E21</f>
        <v>1000</v>
      </c>
      <c r="E5" s="101"/>
    </row>
    <row r="6" spans="1:13" x14ac:dyDescent="0.55000000000000004">
      <c r="A6" s="296">
        <f>ROW()</f>
        <v>6</v>
      </c>
      <c r="B6" s="103" t="s">
        <v>126</v>
      </c>
      <c r="C6" s="292">
        <f>+'Fig. 11.10'!E10</f>
        <v>6.25E-2</v>
      </c>
      <c r="E6" s="108"/>
    </row>
    <row r="7" spans="1:13" x14ac:dyDescent="0.55000000000000004">
      <c r="A7" s="296">
        <f>ROW()</f>
        <v>7</v>
      </c>
      <c r="B7" s="103" t="s">
        <v>326</v>
      </c>
      <c r="C7" s="293">
        <f>+('Fig. 11.10'!E9-'Fig. 11.10'!D8)/365</f>
        <v>5.5835616438356164</v>
      </c>
      <c r="E7" s="291" t="s">
        <v>327</v>
      </c>
      <c r="I7" s="103"/>
      <c r="J7" s="103"/>
      <c r="K7" s="103"/>
      <c r="L7" s="113"/>
    </row>
    <row r="8" spans="1:13" x14ac:dyDescent="0.55000000000000004">
      <c r="A8" s="296">
        <f>ROW()</f>
        <v>8</v>
      </c>
      <c r="B8" s="103" t="s">
        <v>161</v>
      </c>
      <c r="C8" s="292">
        <f>+'Fig. 11.10'!E17</f>
        <v>6.7944690128278112E-2</v>
      </c>
      <c r="E8" s="115"/>
    </row>
    <row r="9" spans="1:13" ht="14.7" thickBot="1" x14ac:dyDescent="0.6">
      <c r="A9" s="296">
        <f>ROW()</f>
        <v>9</v>
      </c>
      <c r="B9" s="103" t="s">
        <v>163</v>
      </c>
      <c r="C9" s="111">
        <f>+'Fig. 11.10'!E13</f>
        <v>2</v>
      </c>
      <c r="E9" s="116"/>
    </row>
    <row r="10" spans="1:13" ht="14.7" thickBot="1" x14ac:dyDescent="0.6">
      <c r="A10" s="296">
        <f>ROW()</f>
        <v>10</v>
      </c>
      <c r="B10" s="299" t="s">
        <v>165</v>
      </c>
      <c r="C10" s="295">
        <f>-PV(C8/C9,C7*C9,C6*C5/C9,C5)</f>
        <v>975.04750176359858</v>
      </c>
      <c r="D10" s="198"/>
      <c r="E10" s="108"/>
    </row>
    <row r="11" spans="1:13" ht="14.7" thickBot="1" x14ac:dyDescent="0.6">
      <c r="A11" s="296">
        <f>ROW()</f>
        <v>11</v>
      </c>
      <c r="E11" s="114"/>
      <c r="I11" s="103"/>
      <c r="J11" s="103"/>
      <c r="K11" s="103"/>
      <c r="L11" s="103"/>
    </row>
    <row r="12" spans="1:13" ht="14.7" thickBot="1" x14ac:dyDescent="0.6">
      <c r="A12" s="296">
        <f>ROW()</f>
        <v>12</v>
      </c>
      <c r="B12" s="299" t="s">
        <v>167</v>
      </c>
      <c r="C12" s="123">
        <f>+H32</f>
        <v>4.3617379438252666</v>
      </c>
      <c r="E12" s="114"/>
    </row>
    <row r="13" spans="1:13" x14ac:dyDescent="0.55000000000000004">
      <c r="A13" s="296">
        <f>ROW()</f>
        <v>13</v>
      </c>
      <c r="B13" s="255"/>
      <c r="C13" s="256"/>
      <c r="E13" s="114"/>
      <c r="I13" s="103"/>
      <c r="J13" s="103"/>
      <c r="K13" s="124"/>
      <c r="L13" s="101"/>
    </row>
    <row r="14" spans="1:13" x14ac:dyDescent="0.55000000000000004">
      <c r="A14" s="296">
        <f>ROW()</f>
        <v>14</v>
      </c>
      <c r="B14" s="103" t="s">
        <v>169</v>
      </c>
      <c r="C14" s="254">
        <f>+C12/(1+C8/C9)/100</f>
        <v>4.2184280504665723E-2</v>
      </c>
      <c r="D14" s="265"/>
      <c r="E14" s="114"/>
    </row>
    <row r="15" spans="1:13" ht="14.7" thickBot="1" x14ac:dyDescent="0.6">
      <c r="A15" s="296">
        <f>ROW()</f>
        <v>15</v>
      </c>
      <c r="B15" s="103"/>
      <c r="C15" s="254"/>
      <c r="E15" s="261"/>
      <c r="I15" s="103"/>
      <c r="J15" s="103"/>
      <c r="K15" s="124"/>
      <c r="L15" s="101"/>
      <c r="M15" s="20"/>
    </row>
    <row r="16" spans="1:13" ht="14.7" thickBot="1" x14ac:dyDescent="0.6">
      <c r="A16" s="296">
        <f>ROW()</f>
        <v>16</v>
      </c>
      <c r="B16" s="299" t="s">
        <v>171</v>
      </c>
      <c r="C16" s="123">
        <f>+K32</f>
        <v>20.052859385058127</v>
      </c>
      <c r="D16" s="262">
        <f>+C16/C10</f>
        <v>2.0566033294570674E-2</v>
      </c>
      <c r="E16" s="264"/>
    </row>
    <row r="17" spans="1:42" ht="14.7" thickBot="1" x14ac:dyDescent="0.6">
      <c r="A17" s="296">
        <f>ROW()</f>
        <v>17</v>
      </c>
      <c r="B17" s="129"/>
      <c r="C17" s="129"/>
      <c r="D17" s="129"/>
      <c r="E17" s="103"/>
      <c r="F17" s="103"/>
      <c r="G17" s="103"/>
      <c r="H17" s="103"/>
      <c r="J17" s="103"/>
      <c r="L17" s="20"/>
      <c r="M17" s="20"/>
    </row>
    <row r="18" spans="1:42" ht="28.5" thickBot="1" x14ac:dyDescent="0.6">
      <c r="A18" s="296">
        <f>ROW()</f>
        <v>18</v>
      </c>
      <c r="B18" s="131" t="s">
        <v>173</v>
      </c>
      <c r="C18" s="131" t="s">
        <v>174</v>
      </c>
      <c r="D18" s="131" t="s">
        <v>175</v>
      </c>
      <c r="E18" s="103"/>
      <c r="G18" s="132" t="s">
        <v>176</v>
      </c>
      <c r="H18" s="132" t="s">
        <v>177</v>
      </c>
      <c r="J18" s="132" t="s">
        <v>178</v>
      </c>
      <c r="K18" s="132" t="s">
        <v>179</v>
      </c>
    </row>
    <row r="19" spans="1:42" x14ac:dyDescent="0.55000000000000004">
      <c r="A19" s="296">
        <f>ROW()</f>
        <v>19</v>
      </c>
      <c r="B19" s="133">
        <v>0</v>
      </c>
      <c r="C19" s="134">
        <f>-C10</f>
        <v>-975.04750176359858</v>
      </c>
      <c r="D19" s="135"/>
      <c r="E19" s="103"/>
      <c r="K19" s="103"/>
    </row>
    <row r="20" spans="1:42" x14ac:dyDescent="0.55000000000000004">
      <c r="A20" s="296">
        <f>ROW()</f>
        <v>20</v>
      </c>
      <c r="B20" s="133">
        <v>1</v>
      </c>
      <c r="C20" s="135">
        <f t="shared" ref="C20:C28" si="0">+$C$5*$C$6/2</f>
        <v>31.25</v>
      </c>
      <c r="D20" s="125">
        <f t="shared" ref="D20:D29" si="1">+C20/(1+($C$8/2))^B20</f>
        <v>30.223245475739979</v>
      </c>
      <c r="E20" s="256"/>
      <c r="G20" s="137">
        <f t="shared" ref="G20:G29" si="2">+D20/$D$32</f>
        <v>3.0927096616205237E-2</v>
      </c>
      <c r="H20" s="259">
        <f t="shared" ref="H20:H29" si="3">+G20*B20</f>
        <v>3.0927096616205237E-2</v>
      </c>
      <c r="J20" s="260">
        <f t="shared" ref="J20:J29" si="4">+B20+B20^2</f>
        <v>2</v>
      </c>
      <c r="K20" s="261">
        <f t="shared" ref="K20:K29" si="5">+J20*D20</f>
        <v>60.446490951479959</v>
      </c>
      <c r="M20" s="260"/>
    </row>
    <row r="21" spans="1:42" x14ac:dyDescent="0.55000000000000004">
      <c r="A21" s="296">
        <f>ROW()</f>
        <v>21</v>
      </c>
      <c r="B21" s="133">
        <v>2</v>
      </c>
      <c r="C21" s="135">
        <f t="shared" si="0"/>
        <v>31.25</v>
      </c>
      <c r="D21" s="125">
        <f t="shared" si="1"/>
        <v>29.230226146778787</v>
      </c>
      <c r="E21" s="125"/>
      <c r="G21" s="137">
        <f t="shared" si="2"/>
        <v>2.991095145227194E-2</v>
      </c>
      <c r="H21" s="138">
        <f t="shared" si="3"/>
        <v>5.982190290454388E-2</v>
      </c>
      <c r="J21" s="139">
        <f t="shared" si="4"/>
        <v>6</v>
      </c>
      <c r="K21" s="140">
        <f t="shared" si="5"/>
        <v>175.38135688067271</v>
      </c>
    </row>
    <row r="22" spans="1:42" x14ac:dyDescent="0.55000000000000004">
      <c r="A22" s="296">
        <f>ROW()</f>
        <v>22</v>
      </c>
      <c r="B22" s="133">
        <v>3</v>
      </c>
      <c r="C22" s="135">
        <f t="shared" si="0"/>
        <v>31.25</v>
      </c>
      <c r="D22" s="125">
        <f t="shared" si="1"/>
        <v>28.269833604655631</v>
      </c>
      <c r="E22" s="125"/>
      <c r="G22" s="137">
        <f t="shared" si="2"/>
        <v>2.8928192900958594E-2</v>
      </c>
      <c r="H22" s="138">
        <f t="shared" si="3"/>
        <v>8.6784578702875786E-2</v>
      </c>
      <c r="J22" s="139">
        <f t="shared" si="4"/>
        <v>12</v>
      </c>
      <c r="K22" s="140">
        <f t="shared" si="5"/>
        <v>339.23800325586757</v>
      </c>
    </row>
    <row r="23" spans="1:42" x14ac:dyDescent="0.55000000000000004">
      <c r="A23" s="296">
        <f>ROW()</f>
        <v>23</v>
      </c>
      <c r="B23" s="133">
        <v>4</v>
      </c>
      <c r="C23" s="135">
        <f t="shared" si="0"/>
        <v>31.25</v>
      </c>
      <c r="D23" s="125">
        <f t="shared" si="1"/>
        <v>27.340995858938566</v>
      </c>
      <c r="E23" s="125"/>
      <c r="G23" s="137">
        <f t="shared" si="2"/>
        <v>2.7977724006887365E-2</v>
      </c>
      <c r="H23" s="138">
        <f t="shared" si="3"/>
        <v>0.11191089602754946</v>
      </c>
      <c r="J23" s="139">
        <f t="shared" si="4"/>
        <v>20</v>
      </c>
      <c r="K23" s="140">
        <f t="shared" si="5"/>
        <v>546.81991717877133</v>
      </c>
    </row>
    <row r="24" spans="1:42" x14ac:dyDescent="0.55000000000000004">
      <c r="A24" s="296">
        <f>ROW()</f>
        <v>24</v>
      </c>
      <c r="B24" s="133">
        <v>5</v>
      </c>
      <c r="C24" s="135">
        <f t="shared" si="0"/>
        <v>31.25</v>
      </c>
      <c r="D24" s="125">
        <f t="shared" si="1"/>
        <v>26.4426761406685</v>
      </c>
      <c r="E24" s="125"/>
      <c r="G24" s="137">
        <f t="shared" si="2"/>
        <v>2.7058483856405132E-2</v>
      </c>
      <c r="H24" s="138">
        <f t="shared" si="3"/>
        <v>0.13529241928202565</v>
      </c>
      <c r="J24" s="139">
        <f t="shared" si="4"/>
        <v>30</v>
      </c>
      <c r="K24" s="140">
        <f t="shared" si="5"/>
        <v>793.28028422005502</v>
      </c>
    </row>
    <row r="25" spans="1:42" x14ac:dyDescent="0.55000000000000004">
      <c r="A25" s="296">
        <f>ROW()</f>
        <v>25</v>
      </c>
      <c r="B25" s="133">
        <v>6</v>
      </c>
      <c r="C25" s="135">
        <f t="shared" si="0"/>
        <v>31.25</v>
      </c>
      <c r="D25" s="125">
        <f t="shared" si="1"/>
        <v>25.573871745117334</v>
      </c>
      <c r="E25" s="125"/>
      <c r="G25" s="137">
        <f t="shared" si="2"/>
        <v>2.616944639339135E-2</v>
      </c>
      <c r="H25" s="138">
        <f t="shared" si="3"/>
        <v>0.15701667836034811</v>
      </c>
      <c r="J25" s="139">
        <f t="shared" si="4"/>
        <v>42</v>
      </c>
      <c r="K25" s="140">
        <f t="shared" si="5"/>
        <v>1074.102613294928</v>
      </c>
    </row>
    <row r="26" spans="1:42" x14ac:dyDescent="0.55000000000000004">
      <c r="A26" s="296">
        <f>ROW()</f>
        <v>26</v>
      </c>
      <c r="B26" s="133">
        <v>7</v>
      </c>
      <c r="C26" s="135">
        <f t="shared" si="0"/>
        <v>31.25</v>
      </c>
      <c r="D26" s="125">
        <f t="shared" si="1"/>
        <v>24.733612912568702</v>
      </c>
      <c r="E26" s="125"/>
      <c r="G26" s="137">
        <f t="shared" si="2"/>
        <v>2.5309619273973922E-2</v>
      </c>
      <c r="H26" s="138">
        <f t="shared" si="3"/>
        <v>0.17716733491781744</v>
      </c>
      <c r="J26" s="139">
        <f t="shared" si="4"/>
        <v>56</v>
      </c>
      <c r="K26" s="140">
        <f t="shared" si="5"/>
        <v>1385.0823231038473</v>
      </c>
    </row>
    <row r="27" spans="1:42" x14ac:dyDescent="0.55000000000000004">
      <c r="A27" s="296">
        <f>ROW()</f>
        <v>27</v>
      </c>
      <c r="B27" s="133">
        <v>8</v>
      </c>
      <c r="C27" s="135">
        <f t="shared" si="0"/>
        <v>31.25</v>
      </c>
      <c r="D27" s="125">
        <f t="shared" si="1"/>
        <v>23.920961745871868</v>
      </c>
      <c r="E27" s="125"/>
      <c r="G27" s="137">
        <f t="shared" si="2"/>
        <v>2.4478042758874673E-2</v>
      </c>
      <c r="H27" s="138">
        <f t="shared" si="3"/>
        <v>0.19582434207099739</v>
      </c>
      <c r="J27" s="139">
        <f t="shared" si="4"/>
        <v>72</v>
      </c>
      <c r="K27" s="140">
        <f t="shared" si="5"/>
        <v>1722.3092457027744</v>
      </c>
    </row>
    <row r="28" spans="1:42" x14ac:dyDescent="0.55000000000000004">
      <c r="A28" s="296">
        <f>ROW()</f>
        <v>28</v>
      </c>
      <c r="B28" s="133">
        <v>9</v>
      </c>
      <c r="C28" s="135">
        <f t="shared" si="0"/>
        <v>31.25</v>
      </c>
      <c r="D28" s="125">
        <f t="shared" si="1"/>
        <v>23.135011163560677</v>
      </c>
      <c r="E28" s="125"/>
      <c r="G28" s="137">
        <f t="shared" si="2"/>
        <v>2.3673788642148124E-2</v>
      </c>
      <c r="H28" s="138">
        <f t="shared" si="3"/>
        <v>0.21306409777933311</v>
      </c>
      <c r="J28" s="139">
        <f t="shared" si="4"/>
        <v>90</v>
      </c>
      <c r="K28" s="140">
        <f t="shared" si="5"/>
        <v>2082.1510047204611</v>
      </c>
    </row>
    <row r="29" spans="1:42" x14ac:dyDescent="0.55000000000000004">
      <c r="A29" s="296">
        <f>ROW()</f>
        <v>29</v>
      </c>
      <c r="B29" s="133">
        <v>10</v>
      </c>
      <c r="C29" s="135">
        <f>+$C$5*$C$6/2+$C$5</f>
        <v>1031.25</v>
      </c>
      <c r="D29" s="125">
        <f t="shared" si="1"/>
        <v>738.37116828317471</v>
      </c>
      <c r="E29" s="125"/>
      <c r="G29" s="137">
        <f t="shared" si="2"/>
        <v>0.75556665409888368</v>
      </c>
      <c r="H29" s="138">
        <f t="shared" si="3"/>
        <v>7.5556665409888364</v>
      </c>
      <c r="J29" s="139">
        <f t="shared" si="4"/>
        <v>110</v>
      </c>
      <c r="K29" s="143">
        <f t="shared" si="5"/>
        <v>81220.828511149215</v>
      </c>
    </row>
    <row r="30" spans="1:42" x14ac:dyDescent="0.55000000000000004">
      <c r="A30" s="296">
        <f>ROW()</f>
        <v>30</v>
      </c>
      <c r="B30" s="133"/>
      <c r="C30" s="144"/>
      <c r="E30" s="125"/>
      <c r="G30" s="137">
        <f>SUM(G19:G29)</f>
        <v>1</v>
      </c>
      <c r="H30" s="259">
        <f>SUM(H20:H29)</f>
        <v>8.7234758876505332</v>
      </c>
      <c r="J30" s="139" t="s">
        <v>338</v>
      </c>
      <c r="K30" s="305">
        <f>SUM(K20:K29)</f>
        <v>89399.639750458067</v>
      </c>
      <c r="L30" s="301" t="s">
        <v>330</v>
      </c>
    </row>
    <row r="31" spans="1:42" ht="14.7" thickBot="1" x14ac:dyDescent="0.6">
      <c r="A31" s="296">
        <f>ROW()</f>
        <v>31</v>
      </c>
      <c r="B31" s="133"/>
      <c r="C31" s="144"/>
      <c r="E31" s="125"/>
      <c r="G31" s="137"/>
      <c r="H31" s="138"/>
      <c r="J31" s="139" t="s">
        <v>339</v>
      </c>
      <c r="K31" s="301">
        <f>K30/((1+C8)^2)</f>
        <v>78385.953806933467</v>
      </c>
      <c r="L31" s="301" t="s">
        <v>333</v>
      </c>
      <c r="AP31" s="36" t="s">
        <v>180</v>
      </c>
    </row>
    <row r="32" spans="1:42" ht="14.7" thickBot="1" x14ac:dyDescent="0.6">
      <c r="A32" s="296">
        <f>ROW()</f>
        <v>32</v>
      </c>
      <c r="C32" s="93" t="s">
        <v>181</v>
      </c>
      <c r="D32" s="257">
        <f>SUM(D19:D29)</f>
        <v>977.24160307707473</v>
      </c>
      <c r="E32" s="256"/>
      <c r="G32" s="96" t="s">
        <v>182</v>
      </c>
      <c r="H32" s="258">
        <f>+H30/2</f>
        <v>4.3617379438252666</v>
      </c>
      <c r="J32" s="96" t="s">
        <v>183</v>
      </c>
      <c r="K32" s="123">
        <f>K31/(D32*C9^2)</f>
        <v>20.052859385058127</v>
      </c>
      <c r="L32" s="302" t="s">
        <v>334</v>
      </c>
    </row>
    <row r="33" spans="1:46" x14ac:dyDescent="0.55000000000000004">
      <c r="A33" s="296">
        <f>ROW()</f>
        <v>33</v>
      </c>
      <c r="D33" s="135"/>
      <c r="F33" s="125"/>
      <c r="K33" s="198"/>
      <c r="AP33" s="149"/>
      <c r="AT33" s="150"/>
    </row>
    <row r="34" spans="1:46" x14ac:dyDescent="0.55000000000000004">
      <c r="A34" s="267"/>
    </row>
    <row r="35" spans="1:46" x14ac:dyDescent="0.55000000000000004">
      <c r="M35" s="13" t="s">
        <v>328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3A01-145E-4AF0-901A-5578E99ABC1B}">
  <dimension ref="A1:AT35"/>
  <sheetViews>
    <sheetView topLeftCell="A7" workbookViewId="0">
      <selection activeCell="N32" sqref="N32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0.26171875" bestFit="1" customWidth="1"/>
    <col min="4" max="4" width="11.47265625" customWidth="1"/>
    <col min="5" max="5" width="12.5234375" customWidth="1"/>
    <col min="6" max="6" width="11.15625" customWidth="1"/>
    <col min="7" max="7" width="10.26171875" bestFit="1" customWidth="1"/>
    <col min="8" max="8" width="11.26171875" customWidth="1"/>
    <col min="9" max="9" width="13.26171875" customWidth="1"/>
    <col min="10" max="10" width="17.734375" bestFit="1" customWidth="1"/>
    <col min="11" max="12" width="11.26171875" customWidth="1"/>
    <col min="13" max="13" width="5.734375" customWidth="1"/>
    <col min="14" max="16" width="9.3671875" customWidth="1"/>
    <col min="17" max="24" width="8.62890625" customWidth="1"/>
    <col min="25" max="25" width="10.26171875" customWidth="1"/>
    <col min="26" max="26" width="10" customWidth="1"/>
    <col min="27" max="28" width="8.89453125"/>
    <col min="29" max="29" width="12.5234375" customWidth="1"/>
    <col min="30" max="30" width="13.15625" customWidth="1"/>
    <col min="31" max="256" width="8.89453125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2" max="284" width="8.89453125"/>
    <col min="285" max="285" width="12.5234375" customWidth="1"/>
    <col min="286" max="286" width="13.15625" customWidth="1"/>
    <col min="287" max="512" width="8.89453125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38" max="540" width="8.89453125"/>
    <col min="541" max="541" width="12.5234375" customWidth="1"/>
    <col min="542" max="542" width="13.15625" customWidth="1"/>
    <col min="543" max="768" width="8.89453125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4" max="796" width="8.89453125"/>
    <col min="797" max="797" width="12.5234375" customWidth="1"/>
    <col min="798" max="798" width="13.15625" customWidth="1"/>
    <col min="799" max="1024" width="8.89453125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0" max="1052" width="8.89453125"/>
    <col min="1053" max="1053" width="12.5234375" customWidth="1"/>
    <col min="1054" max="1054" width="13.15625" customWidth="1"/>
    <col min="1055" max="1280" width="8.89453125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6" max="1308" width="8.89453125"/>
    <col min="1309" max="1309" width="12.5234375" customWidth="1"/>
    <col min="1310" max="1310" width="13.15625" customWidth="1"/>
    <col min="1311" max="1536" width="8.89453125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2" max="1564" width="8.89453125"/>
    <col min="1565" max="1565" width="12.5234375" customWidth="1"/>
    <col min="1566" max="1566" width="13.15625" customWidth="1"/>
    <col min="1567" max="1792" width="8.89453125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18" max="1820" width="8.89453125"/>
    <col min="1821" max="1821" width="12.5234375" customWidth="1"/>
    <col min="1822" max="1822" width="13.15625" customWidth="1"/>
    <col min="1823" max="2048" width="8.89453125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4" max="2076" width="8.89453125"/>
    <col min="2077" max="2077" width="12.5234375" customWidth="1"/>
    <col min="2078" max="2078" width="13.15625" customWidth="1"/>
    <col min="2079" max="2304" width="8.89453125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0" max="2332" width="8.89453125"/>
    <col min="2333" max="2333" width="12.5234375" customWidth="1"/>
    <col min="2334" max="2334" width="13.15625" customWidth="1"/>
    <col min="2335" max="2560" width="8.89453125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6" max="2588" width="8.89453125"/>
    <col min="2589" max="2589" width="12.5234375" customWidth="1"/>
    <col min="2590" max="2590" width="13.15625" customWidth="1"/>
    <col min="2591" max="2816" width="8.89453125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2" max="2844" width="8.89453125"/>
    <col min="2845" max="2845" width="12.5234375" customWidth="1"/>
    <col min="2846" max="2846" width="13.15625" customWidth="1"/>
    <col min="2847" max="3072" width="8.89453125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098" max="3100" width="8.89453125"/>
    <col min="3101" max="3101" width="12.5234375" customWidth="1"/>
    <col min="3102" max="3102" width="13.15625" customWidth="1"/>
    <col min="3103" max="3328" width="8.89453125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4" max="3356" width="8.89453125"/>
    <col min="3357" max="3357" width="12.5234375" customWidth="1"/>
    <col min="3358" max="3358" width="13.15625" customWidth="1"/>
    <col min="3359" max="3584" width="8.89453125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0" max="3612" width="8.89453125"/>
    <col min="3613" max="3613" width="12.5234375" customWidth="1"/>
    <col min="3614" max="3614" width="13.15625" customWidth="1"/>
    <col min="3615" max="3840" width="8.89453125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6" max="3868" width="8.89453125"/>
    <col min="3869" max="3869" width="12.5234375" customWidth="1"/>
    <col min="3870" max="3870" width="13.15625" customWidth="1"/>
    <col min="3871" max="4096" width="8.89453125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2" max="4124" width="8.89453125"/>
    <col min="4125" max="4125" width="12.5234375" customWidth="1"/>
    <col min="4126" max="4126" width="13.15625" customWidth="1"/>
    <col min="4127" max="4352" width="8.89453125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78" max="4380" width="8.89453125"/>
    <col min="4381" max="4381" width="12.5234375" customWidth="1"/>
    <col min="4382" max="4382" width="13.15625" customWidth="1"/>
    <col min="4383" max="4608" width="8.89453125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4" max="4636" width="8.89453125"/>
    <col min="4637" max="4637" width="12.5234375" customWidth="1"/>
    <col min="4638" max="4638" width="13.15625" customWidth="1"/>
    <col min="4639" max="4864" width="8.89453125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0" max="4892" width="8.89453125"/>
    <col min="4893" max="4893" width="12.5234375" customWidth="1"/>
    <col min="4894" max="4894" width="13.15625" customWidth="1"/>
    <col min="4895" max="5120" width="8.89453125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6" max="5148" width="8.89453125"/>
    <col min="5149" max="5149" width="12.5234375" customWidth="1"/>
    <col min="5150" max="5150" width="13.15625" customWidth="1"/>
    <col min="5151" max="5376" width="8.89453125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2" max="5404" width="8.89453125"/>
    <col min="5405" max="5405" width="12.5234375" customWidth="1"/>
    <col min="5406" max="5406" width="13.15625" customWidth="1"/>
    <col min="5407" max="5632" width="8.89453125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58" max="5660" width="8.89453125"/>
    <col min="5661" max="5661" width="12.5234375" customWidth="1"/>
    <col min="5662" max="5662" width="13.15625" customWidth="1"/>
    <col min="5663" max="5888" width="8.89453125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4" max="5916" width="8.89453125"/>
    <col min="5917" max="5917" width="12.5234375" customWidth="1"/>
    <col min="5918" max="5918" width="13.15625" customWidth="1"/>
    <col min="5919" max="6144" width="8.89453125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0" max="6172" width="8.89453125"/>
    <col min="6173" max="6173" width="12.5234375" customWidth="1"/>
    <col min="6174" max="6174" width="13.15625" customWidth="1"/>
    <col min="6175" max="6400" width="8.89453125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6" max="6428" width="8.89453125"/>
    <col min="6429" max="6429" width="12.5234375" customWidth="1"/>
    <col min="6430" max="6430" width="13.15625" customWidth="1"/>
    <col min="6431" max="6656" width="8.89453125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2" max="6684" width="8.89453125"/>
    <col min="6685" max="6685" width="12.5234375" customWidth="1"/>
    <col min="6686" max="6686" width="13.15625" customWidth="1"/>
    <col min="6687" max="6912" width="8.89453125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38" max="6940" width="8.89453125"/>
    <col min="6941" max="6941" width="12.5234375" customWidth="1"/>
    <col min="6942" max="6942" width="13.15625" customWidth="1"/>
    <col min="6943" max="7168" width="8.89453125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4" max="7196" width="8.89453125"/>
    <col min="7197" max="7197" width="12.5234375" customWidth="1"/>
    <col min="7198" max="7198" width="13.15625" customWidth="1"/>
    <col min="7199" max="7424" width="8.89453125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0" max="7452" width="8.89453125"/>
    <col min="7453" max="7453" width="12.5234375" customWidth="1"/>
    <col min="7454" max="7454" width="13.15625" customWidth="1"/>
    <col min="7455" max="7680" width="8.89453125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6" max="7708" width="8.89453125"/>
    <col min="7709" max="7709" width="12.5234375" customWidth="1"/>
    <col min="7710" max="7710" width="13.15625" customWidth="1"/>
    <col min="7711" max="7936" width="8.89453125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2" max="7964" width="8.89453125"/>
    <col min="7965" max="7965" width="12.5234375" customWidth="1"/>
    <col min="7966" max="7966" width="13.15625" customWidth="1"/>
    <col min="7967" max="8192" width="8.89453125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18" max="8220" width="8.89453125"/>
    <col min="8221" max="8221" width="12.5234375" customWidth="1"/>
    <col min="8222" max="8222" width="13.15625" customWidth="1"/>
    <col min="8223" max="8448" width="8.89453125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4" max="8476" width="8.89453125"/>
    <col min="8477" max="8477" width="12.5234375" customWidth="1"/>
    <col min="8478" max="8478" width="13.15625" customWidth="1"/>
    <col min="8479" max="8704" width="8.89453125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0" max="8732" width="8.89453125"/>
    <col min="8733" max="8733" width="12.5234375" customWidth="1"/>
    <col min="8734" max="8734" width="13.15625" customWidth="1"/>
    <col min="8735" max="8960" width="8.89453125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6" max="8988" width="8.89453125"/>
    <col min="8989" max="8989" width="12.5234375" customWidth="1"/>
    <col min="8990" max="8990" width="13.15625" customWidth="1"/>
    <col min="8991" max="9216" width="8.89453125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2" max="9244" width="8.89453125"/>
    <col min="9245" max="9245" width="12.5234375" customWidth="1"/>
    <col min="9246" max="9246" width="13.15625" customWidth="1"/>
    <col min="9247" max="9472" width="8.89453125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498" max="9500" width="8.89453125"/>
    <col min="9501" max="9501" width="12.5234375" customWidth="1"/>
    <col min="9502" max="9502" width="13.15625" customWidth="1"/>
    <col min="9503" max="9728" width="8.89453125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4" max="9756" width="8.89453125"/>
    <col min="9757" max="9757" width="12.5234375" customWidth="1"/>
    <col min="9758" max="9758" width="13.15625" customWidth="1"/>
    <col min="9759" max="9984" width="8.89453125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0" max="10012" width="8.89453125"/>
    <col min="10013" max="10013" width="12.5234375" customWidth="1"/>
    <col min="10014" max="10014" width="13.15625" customWidth="1"/>
    <col min="10015" max="10240" width="8.89453125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6" max="10268" width="8.89453125"/>
    <col min="10269" max="10269" width="12.5234375" customWidth="1"/>
    <col min="10270" max="10270" width="13.15625" customWidth="1"/>
    <col min="10271" max="10496" width="8.89453125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2" max="10524" width="8.89453125"/>
    <col min="10525" max="10525" width="12.5234375" customWidth="1"/>
    <col min="10526" max="10526" width="13.15625" customWidth="1"/>
    <col min="10527" max="10752" width="8.89453125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78" max="10780" width="8.89453125"/>
    <col min="10781" max="10781" width="12.5234375" customWidth="1"/>
    <col min="10782" max="10782" width="13.15625" customWidth="1"/>
    <col min="10783" max="11008" width="8.89453125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4" max="11036" width="8.89453125"/>
    <col min="11037" max="11037" width="12.5234375" customWidth="1"/>
    <col min="11038" max="11038" width="13.15625" customWidth="1"/>
    <col min="11039" max="11264" width="8.89453125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0" max="11292" width="8.89453125"/>
    <col min="11293" max="11293" width="12.5234375" customWidth="1"/>
    <col min="11294" max="11294" width="13.15625" customWidth="1"/>
    <col min="11295" max="11520" width="8.89453125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6" max="11548" width="8.89453125"/>
    <col min="11549" max="11549" width="12.5234375" customWidth="1"/>
    <col min="11550" max="11550" width="13.15625" customWidth="1"/>
    <col min="11551" max="11776" width="8.89453125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2" max="11804" width="8.89453125"/>
    <col min="11805" max="11805" width="12.5234375" customWidth="1"/>
    <col min="11806" max="11806" width="13.15625" customWidth="1"/>
    <col min="11807" max="12032" width="8.89453125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58" max="12060" width="8.89453125"/>
    <col min="12061" max="12061" width="12.5234375" customWidth="1"/>
    <col min="12062" max="12062" width="13.15625" customWidth="1"/>
    <col min="12063" max="12288" width="8.89453125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4" max="12316" width="8.89453125"/>
    <col min="12317" max="12317" width="12.5234375" customWidth="1"/>
    <col min="12318" max="12318" width="13.15625" customWidth="1"/>
    <col min="12319" max="12544" width="8.89453125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0" max="12572" width="8.89453125"/>
    <col min="12573" max="12573" width="12.5234375" customWidth="1"/>
    <col min="12574" max="12574" width="13.15625" customWidth="1"/>
    <col min="12575" max="12800" width="8.89453125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6" max="12828" width="8.89453125"/>
    <col min="12829" max="12829" width="12.5234375" customWidth="1"/>
    <col min="12830" max="12830" width="13.15625" customWidth="1"/>
    <col min="12831" max="13056" width="8.89453125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2" max="13084" width="8.89453125"/>
    <col min="13085" max="13085" width="12.5234375" customWidth="1"/>
    <col min="13086" max="13086" width="13.15625" customWidth="1"/>
    <col min="13087" max="13312" width="8.89453125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38" max="13340" width="8.89453125"/>
    <col min="13341" max="13341" width="12.5234375" customWidth="1"/>
    <col min="13342" max="13342" width="13.15625" customWidth="1"/>
    <col min="13343" max="13568" width="8.89453125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4" max="13596" width="8.89453125"/>
    <col min="13597" max="13597" width="12.5234375" customWidth="1"/>
    <col min="13598" max="13598" width="13.15625" customWidth="1"/>
    <col min="13599" max="13824" width="8.89453125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0" max="13852" width="8.89453125"/>
    <col min="13853" max="13853" width="12.5234375" customWidth="1"/>
    <col min="13854" max="13854" width="13.15625" customWidth="1"/>
    <col min="13855" max="14080" width="8.89453125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6" max="14108" width="8.89453125"/>
    <col min="14109" max="14109" width="12.5234375" customWidth="1"/>
    <col min="14110" max="14110" width="13.15625" customWidth="1"/>
    <col min="14111" max="14336" width="8.89453125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2" max="14364" width="8.89453125"/>
    <col min="14365" max="14365" width="12.5234375" customWidth="1"/>
    <col min="14366" max="14366" width="13.15625" customWidth="1"/>
    <col min="14367" max="14592" width="8.89453125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18" max="14620" width="8.89453125"/>
    <col min="14621" max="14621" width="12.5234375" customWidth="1"/>
    <col min="14622" max="14622" width="13.15625" customWidth="1"/>
    <col min="14623" max="14848" width="8.89453125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4" max="14876" width="8.89453125"/>
    <col min="14877" max="14877" width="12.5234375" customWidth="1"/>
    <col min="14878" max="14878" width="13.15625" customWidth="1"/>
    <col min="14879" max="15104" width="8.89453125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0" max="15132" width="8.89453125"/>
    <col min="15133" max="15133" width="12.5234375" customWidth="1"/>
    <col min="15134" max="15134" width="13.15625" customWidth="1"/>
    <col min="15135" max="15360" width="8.89453125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6" max="15388" width="8.89453125"/>
    <col min="15389" max="15389" width="12.5234375" customWidth="1"/>
    <col min="15390" max="15390" width="13.15625" customWidth="1"/>
    <col min="15391" max="15616" width="8.89453125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2" max="15644" width="8.89453125"/>
    <col min="15645" max="15645" width="12.5234375" customWidth="1"/>
    <col min="15646" max="15646" width="13.15625" customWidth="1"/>
    <col min="15647" max="15872" width="8.89453125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898" max="15900" width="8.89453125"/>
    <col min="15901" max="15901" width="12.5234375" customWidth="1"/>
    <col min="15902" max="15902" width="13.15625" customWidth="1"/>
    <col min="15903" max="16128" width="8.89453125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4" max="16156" width="8.89453125"/>
    <col min="16157" max="16157" width="12.5234375" customWidth="1"/>
    <col min="16158" max="16158" width="13.15625" customWidth="1"/>
    <col min="16159" max="16384" width="8.89453125"/>
  </cols>
  <sheetData>
    <row r="1" spans="1:13" x14ac:dyDescent="0.55000000000000004">
      <c r="A1" s="296">
        <f>ROW()</f>
        <v>1</v>
      </c>
      <c r="B1" s="298" t="s">
        <v>39</v>
      </c>
      <c r="C1" s="297" t="s">
        <v>50</v>
      </c>
      <c r="D1" s="297" t="s">
        <v>53</v>
      </c>
      <c r="E1" s="297" t="s">
        <v>57</v>
      </c>
      <c r="F1" s="297" t="s">
        <v>58</v>
      </c>
      <c r="G1" s="297" t="s">
        <v>59</v>
      </c>
      <c r="H1" s="297" t="s">
        <v>60</v>
      </c>
      <c r="I1" s="297" t="s">
        <v>61</v>
      </c>
      <c r="J1" s="297" t="s">
        <v>62</v>
      </c>
      <c r="K1" s="297" t="s">
        <v>63</v>
      </c>
      <c r="L1" s="297" t="s">
        <v>64</v>
      </c>
      <c r="M1" s="297"/>
    </row>
    <row r="2" spans="1:13" ht="18.55" customHeight="1" x14ac:dyDescent="0.6">
      <c r="A2" s="296">
        <f>ROW()</f>
        <v>2</v>
      </c>
      <c r="B2" s="55" t="s">
        <v>294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.3" x14ac:dyDescent="0.55000000000000004">
      <c r="A3" s="296">
        <f>ROW()</f>
        <v>3</v>
      </c>
      <c r="B3" s="98" t="s">
        <v>156</v>
      </c>
    </row>
    <row r="4" spans="1:13" ht="15.3" x14ac:dyDescent="0.55000000000000004">
      <c r="A4" s="296">
        <f>ROW()</f>
        <v>4</v>
      </c>
      <c r="B4" s="98"/>
      <c r="G4" s="101"/>
      <c r="L4" s="102"/>
    </row>
    <row r="5" spans="1:13" x14ac:dyDescent="0.55000000000000004">
      <c r="A5" s="296">
        <f>ROW()</f>
        <v>5</v>
      </c>
      <c r="B5" s="103" t="s">
        <v>135</v>
      </c>
      <c r="C5" s="294">
        <f>+'Fig. 11.10'!E21</f>
        <v>1000</v>
      </c>
      <c r="E5" s="101"/>
    </row>
    <row r="6" spans="1:13" x14ac:dyDescent="0.55000000000000004">
      <c r="A6" s="296">
        <f>ROW()</f>
        <v>6</v>
      </c>
      <c r="B6" s="103" t="s">
        <v>126</v>
      </c>
      <c r="C6" s="292">
        <f>+'Fig. 11.10'!E10</f>
        <v>6.25E-2</v>
      </c>
      <c r="E6" s="108"/>
    </row>
    <row r="7" spans="1:13" x14ac:dyDescent="0.55000000000000004">
      <c r="A7" s="296">
        <f>ROW()</f>
        <v>7</v>
      </c>
      <c r="B7" s="103" t="s">
        <v>326</v>
      </c>
      <c r="C7" s="293">
        <f>+('Fig. 11.10'!E9-'Fig. 11.10'!D8)/365</f>
        <v>5.5835616438356164</v>
      </c>
      <c r="E7" s="291" t="s">
        <v>327</v>
      </c>
      <c r="I7" s="103"/>
      <c r="J7" s="103"/>
      <c r="K7" s="103"/>
      <c r="L7" s="113"/>
    </row>
    <row r="8" spans="1:13" x14ac:dyDescent="0.55000000000000004">
      <c r="A8" s="296">
        <f>ROW()</f>
        <v>8</v>
      </c>
      <c r="B8" s="103" t="s">
        <v>161</v>
      </c>
      <c r="C8" s="292">
        <v>9.7500000000000003E-2</v>
      </c>
      <c r="E8" s="115"/>
    </row>
    <row r="9" spans="1:13" ht="14.7" thickBot="1" x14ac:dyDescent="0.6">
      <c r="A9" s="296">
        <f>ROW()</f>
        <v>9</v>
      </c>
      <c r="B9" s="103" t="s">
        <v>163</v>
      </c>
      <c r="C9" s="111">
        <f>+'Fig. 11.10'!E13</f>
        <v>2</v>
      </c>
      <c r="E9" s="116"/>
    </row>
    <row r="10" spans="1:13" ht="14.7" thickBot="1" x14ac:dyDescent="0.6">
      <c r="A10" s="296">
        <f>ROW()</f>
        <v>10</v>
      </c>
      <c r="B10" s="299" t="s">
        <v>165</v>
      </c>
      <c r="C10" s="295">
        <f>-PV(C8/C9,C7*C9,C6*C5/C9,C5)</f>
        <v>851.99381710847047</v>
      </c>
      <c r="D10" s="198" t="s">
        <v>295</v>
      </c>
      <c r="E10" s="108"/>
    </row>
    <row r="11" spans="1:13" ht="14.7" thickBot="1" x14ac:dyDescent="0.6">
      <c r="A11" s="296">
        <f>ROW()</f>
        <v>11</v>
      </c>
      <c r="E11" s="114"/>
      <c r="I11" s="103"/>
      <c r="J11" s="103"/>
      <c r="K11" s="103"/>
      <c r="L11" s="103"/>
    </row>
    <row r="12" spans="1:13" ht="14.7" thickBot="1" x14ac:dyDescent="0.6">
      <c r="A12" s="296">
        <f>ROW()</f>
        <v>12</v>
      </c>
      <c r="B12" s="299" t="s">
        <v>167</v>
      </c>
      <c r="C12" s="123">
        <f>+H32</f>
        <v>4.3128457234913977</v>
      </c>
      <c r="E12" s="114"/>
    </row>
    <row r="13" spans="1:13" x14ac:dyDescent="0.55000000000000004">
      <c r="A13" s="296">
        <f>ROW()</f>
        <v>13</v>
      </c>
      <c r="B13" s="255"/>
      <c r="C13" s="256"/>
      <c r="E13" s="114"/>
      <c r="I13" s="103"/>
      <c r="J13" s="103"/>
      <c r="K13" s="124"/>
      <c r="L13" s="101"/>
    </row>
    <row r="14" spans="1:13" x14ac:dyDescent="0.55000000000000004">
      <c r="A14" s="296">
        <f>ROW()</f>
        <v>14</v>
      </c>
      <c r="B14" s="103" t="s">
        <v>169</v>
      </c>
      <c r="C14" s="254">
        <f>+C12/(1+C8/C9)/100</f>
        <v>4.112367793555563E-2</v>
      </c>
      <c r="D14" s="265" t="s">
        <v>296</v>
      </c>
      <c r="E14" s="114"/>
    </row>
    <row r="15" spans="1:13" ht="14.7" thickBot="1" x14ac:dyDescent="0.6">
      <c r="A15" s="296">
        <f>ROW()</f>
        <v>15</v>
      </c>
      <c r="B15" s="103"/>
      <c r="C15" s="254"/>
      <c r="E15" s="261"/>
      <c r="I15" s="103"/>
      <c r="J15" s="103"/>
      <c r="K15" s="124"/>
      <c r="L15" s="101"/>
      <c r="M15" s="20"/>
    </row>
    <row r="16" spans="1:13" ht="14.7" thickBot="1" x14ac:dyDescent="0.6">
      <c r="A16" s="296">
        <f>ROW()</f>
        <v>16</v>
      </c>
      <c r="B16" s="299" t="s">
        <v>171</v>
      </c>
      <c r="C16" s="123">
        <f>+K32</f>
        <v>18.71167219358097</v>
      </c>
      <c r="D16" s="262">
        <f>+C16/C10</f>
        <v>2.196221594316889E-2</v>
      </c>
      <c r="E16" s="264" t="s">
        <v>305</v>
      </c>
    </row>
    <row r="17" spans="1:42" ht="14.7" thickBot="1" x14ac:dyDescent="0.6">
      <c r="A17" s="296">
        <f>ROW()</f>
        <v>17</v>
      </c>
      <c r="B17" s="129"/>
      <c r="C17" s="129"/>
      <c r="D17" s="129"/>
      <c r="E17" s="103"/>
      <c r="F17" s="103"/>
      <c r="G17" s="103"/>
      <c r="H17" s="103"/>
      <c r="I17" s="103"/>
      <c r="J17" s="103"/>
      <c r="L17" s="20"/>
      <c r="M17" s="20"/>
    </row>
    <row r="18" spans="1:42" ht="28.5" thickBot="1" x14ac:dyDescent="0.6">
      <c r="A18" s="296">
        <f>ROW()</f>
        <v>18</v>
      </c>
      <c r="B18" s="131" t="s">
        <v>173</v>
      </c>
      <c r="C18" s="131" t="s">
        <v>174</v>
      </c>
      <c r="D18" s="131" t="s">
        <v>175</v>
      </c>
      <c r="E18" s="103"/>
      <c r="G18" s="132" t="s">
        <v>176</v>
      </c>
      <c r="H18" s="132" t="s">
        <v>177</v>
      </c>
      <c r="I18" s="103"/>
      <c r="J18" s="132" t="s">
        <v>178</v>
      </c>
      <c r="K18" s="132" t="s">
        <v>179</v>
      </c>
    </row>
    <row r="19" spans="1:42" x14ac:dyDescent="0.55000000000000004">
      <c r="A19" s="296">
        <f>ROW()</f>
        <v>19</v>
      </c>
      <c r="B19" s="133">
        <v>0</v>
      </c>
      <c r="C19" s="134">
        <f>-C10</f>
        <v>-851.99381710847047</v>
      </c>
      <c r="D19" s="135"/>
      <c r="E19" s="103"/>
      <c r="I19" s="103"/>
      <c r="K19" s="103"/>
    </row>
    <row r="20" spans="1:42" x14ac:dyDescent="0.55000000000000004">
      <c r="A20" s="296">
        <f>ROW()</f>
        <v>20</v>
      </c>
      <c r="B20" s="133">
        <v>1</v>
      </c>
      <c r="C20" s="135">
        <f t="shared" ref="C20:C28" si="0">+$C$5*$C$6/2</f>
        <v>31.25</v>
      </c>
      <c r="D20" s="125">
        <f t="shared" ref="D20:D29" si="1">+C20/(1+($C$8/2))^B20</f>
        <v>29.797377830750893</v>
      </c>
      <c r="E20" s="256" t="s">
        <v>302</v>
      </c>
      <c r="G20" s="137">
        <f t="shared" ref="G20:G29" si="2">+D20/$D$32</f>
        <v>3.4485886580783075E-2</v>
      </c>
      <c r="H20" s="259">
        <f t="shared" ref="H20:H29" si="3">+G20*B20</f>
        <v>3.4485886580783075E-2</v>
      </c>
      <c r="I20" s="263" t="s">
        <v>299</v>
      </c>
      <c r="J20" s="260">
        <f t="shared" ref="J20:J29" si="4">+B20+B20^2</f>
        <v>2</v>
      </c>
      <c r="K20" s="261">
        <f t="shared" ref="K20:K29" si="5">+J20*D20</f>
        <v>59.594755661501786</v>
      </c>
      <c r="L20" s="264" t="s">
        <v>301</v>
      </c>
      <c r="M20" s="260"/>
    </row>
    <row r="21" spans="1:42" x14ac:dyDescent="0.55000000000000004">
      <c r="A21" s="296">
        <f>ROW()</f>
        <v>21</v>
      </c>
      <c r="B21" s="133">
        <v>2</v>
      </c>
      <c r="C21" s="135">
        <f t="shared" si="0"/>
        <v>31.25</v>
      </c>
      <c r="D21" s="125">
        <f t="shared" si="1"/>
        <v>28.41227921883279</v>
      </c>
      <c r="E21" s="125"/>
      <c r="G21" s="137">
        <f t="shared" si="2"/>
        <v>3.2882847752832484E-2</v>
      </c>
      <c r="H21" s="138">
        <f t="shared" si="3"/>
        <v>6.5765695505664967E-2</v>
      </c>
      <c r="I21" s="103"/>
      <c r="J21" s="139">
        <f t="shared" si="4"/>
        <v>6</v>
      </c>
      <c r="K21" s="140">
        <f t="shared" si="5"/>
        <v>170.47367531299673</v>
      </c>
    </row>
    <row r="22" spans="1:42" x14ac:dyDescent="0.55000000000000004">
      <c r="A22" s="296">
        <f>ROW()</f>
        <v>22</v>
      </c>
      <c r="B22" s="133">
        <v>3</v>
      </c>
      <c r="C22" s="135">
        <f t="shared" si="0"/>
        <v>31.25</v>
      </c>
      <c r="D22" s="125">
        <f t="shared" si="1"/>
        <v>27.091565405323276</v>
      </c>
      <c r="E22" s="125"/>
      <c r="G22" s="137">
        <f t="shared" si="2"/>
        <v>3.1354324436550639E-2</v>
      </c>
      <c r="H22" s="138">
        <f t="shared" si="3"/>
        <v>9.4062973309651909E-2</v>
      </c>
      <c r="I22" s="268" t="s">
        <v>300</v>
      </c>
      <c r="J22" s="139">
        <f t="shared" si="4"/>
        <v>12</v>
      </c>
      <c r="K22" s="140">
        <f t="shared" si="5"/>
        <v>325.0987848638793</v>
      </c>
    </row>
    <row r="23" spans="1:42" x14ac:dyDescent="0.55000000000000004">
      <c r="A23" s="296">
        <f>ROW()</f>
        <v>23</v>
      </c>
      <c r="B23" s="133">
        <v>4</v>
      </c>
      <c r="C23" s="135">
        <f t="shared" si="0"/>
        <v>31.25</v>
      </c>
      <c r="D23" s="125">
        <f t="shared" si="1"/>
        <v>25.832243533085364</v>
      </c>
      <c r="E23" s="125"/>
      <c r="G23" s="137">
        <f t="shared" si="2"/>
        <v>2.9896852859643039E-2</v>
      </c>
      <c r="H23" s="138">
        <f t="shared" si="3"/>
        <v>0.11958741143857216</v>
      </c>
      <c r="I23" s="103"/>
      <c r="J23" s="139">
        <f t="shared" si="4"/>
        <v>20</v>
      </c>
      <c r="K23" s="140">
        <f t="shared" si="5"/>
        <v>516.64487066170727</v>
      </c>
    </row>
    <row r="24" spans="1:42" x14ac:dyDescent="0.55000000000000004">
      <c r="A24" s="296">
        <f>ROW()</f>
        <v>24</v>
      </c>
      <c r="B24" s="133">
        <v>5</v>
      </c>
      <c r="C24" s="135">
        <f t="shared" si="0"/>
        <v>31.25</v>
      </c>
      <c r="D24" s="125">
        <f t="shared" si="1"/>
        <v>24.63145986468211</v>
      </c>
      <c r="E24" s="125"/>
      <c r="G24" s="137">
        <f t="shared" si="2"/>
        <v>2.8507130259492766E-2</v>
      </c>
      <c r="H24" s="138">
        <f t="shared" si="3"/>
        <v>0.14253565129746382</v>
      </c>
      <c r="I24" s="103"/>
      <c r="J24" s="139">
        <f t="shared" si="4"/>
        <v>30</v>
      </c>
      <c r="K24" s="140">
        <f t="shared" si="5"/>
        <v>738.94379594046336</v>
      </c>
    </row>
    <row r="25" spans="1:42" x14ac:dyDescent="0.55000000000000004">
      <c r="A25" s="296">
        <f>ROW()</f>
        <v>25</v>
      </c>
      <c r="B25" s="133">
        <v>6</v>
      </c>
      <c r="C25" s="135">
        <f t="shared" si="0"/>
        <v>31.25</v>
      </c>
      <c r="D25" s="125">
        <f t="shared" si="1"/>
        <v>23.486493315549087</v>
      </c>
      <c r="E25" s="125"/>
      <c r="G25" s="137">
        <f t="shared" si="2"/>
        <v>2.7182007398801201E-2</v>
      </c>
      <c r="H25" s="138">
        <f t="shared" si="3"/>
        <v>0.16309204439280722</v>
      </c>
      <c r="I25" s="103"/>
      <c r="J25" s="139">
        <f t="shared" si="4"/>
        <v>42</v>
      </c>
      <c r="K25" s="140">
        <f t="shared" si="5"/>
        <v>986.43271925306169</v>
      </c>
    </row>
    <row r="26" spans="1:42" x14ac:dyDescent="0.55000000000000004">
      <c r="A26" s="296">
        <f>ROW()</f>
        <v>26</v>
      </c>
      <c r="B26" s="133">
        <v>7</v>
      </c>
      <c r="C26" s="135">
        <f t="shared" si="0"/>
        <v>31.25</v>
      </c>
      <c r="D26" s="125">
        <f t="shared" si="1"/>
        <v>22.394749287770285</v>
      </c>
      <c r="E26" s="125"/>
      <c r="G26" s="137">
        <f t="shared" si="2"/>
        <v>2.5918481429131061E-2</v>
      </c>
      <c r="H26" s="138">
        <f t="shared" si="3"/>
        <v>0.18142937000391743</v>
      </c>
      <c r="I26" s="103"/>
      <c r="J26" s="139">
        <f t="shared" si="4"/>
        <v>56</v>
      </c>
      <c r="K26" s="140">
        <f t="shared" si="5"/>
        <v>1254.105960115136</v>
      </c>
    </row>
    <row r="27" spans="1:42" x14ac:dyDescent="0.55000000000000004">
      <c r="A27" s="296">
        <f>ROW()</f>
        <v>27</v>
      </c>
      <c r="B27" s="133">
        <v>8</v>
      </c>
      <c r="C27" s="135">
        <f t="shared" si="0"/>
        <v>31.25</v>
      </c>
      <c r="D27" s="125">
        <f t="shared" si="1"/>
        <v>21.353753790484177</v>
      </c>
      <c r="E27" s="125"/>
      <c r="G27" s="137">
        <f t="shared" si="2"/>
        <v>2.4713689086179789E-2</v>
      </c>
      <c r="H27" s="138">
        <f t="shared" si="3"/>
        <v>0.19770951268943832</v>
      </c>
      <c r="I27" s="103"/>
      <c r="J27" s="139">
        <f t="shared" si="4"/>
        <v>72</v>
      </c>
      <c r="K27" s="140">
        <f t="shared" si="5"/>
        <v>1537.4702729148607</v>
      </c>
    </row>
    <row r="28" spans="1:42" x14ac:dyDescent="0.55000000000000004">
      <c r="A28" s="296">
        <f>ROW()</f>
        <v>28</v>
      </c>
      <c r="B28" s="133">
        <v>9</v>
      </c>
      <c r="C28" s="135">
        <f t="shared" si="0"/>
        <v>31.25</v>
      </c>
      <c r="D28" s="125">
        <f t="shared" si="1"/>
        <v>20.361147833596355</v>
      </c>
      <c r="E28" s="125"/>
      <c r="G28" s="137">
        <f t="shared" si="2"/>
        <v>2.3564900201363329E-2</v>
      </c>
      <c r="H28" s="138">
        <f t="shared" si="3"/>
        <v>0.21208410181226994</v>
      </c>
      <c r="I28" s="103"/>
      <c r="J28" s="139">
        <f t="shared" si="4"/>
        <v>90</v>
      </c>
      <c r="K28" s="140">
        <f t="shared" si="5"/>
        <v>1832.5033050236721</v>
      </c>
    </row>
    <row r="29" spans="1:42" x14ac:dyDescent="0.55000000000000004">
      <c r="A29" s="296">
        <f>ROW()</f>
        <v>29</v>
      </c>
      <c r="B29" s="133">
        <v>10</v>
      </c>
      <c r="C29" s="135">
        <f>+$C$5*$C$6/2+$C$5</f>
        <v>1031.25</v>
      </c>
      <c r="D29" s="125">
        <f t="shared" si="1"/>
        <v>640.68450870911045</v>
      </c>
      <c r="E29" s="125"/>
      <c r="G29" s="137">
        <f t="shared" si="2"/>
        <v>0.74149387999522265</v>
      </c>
      <c r="H29" s="142">
        <f t="shared" si="3"/>
        <v>7.4149387999522265</v>
      </c>
      <c r="I29" s="103"/>
      <c r="J29" s="139">
        <f t="shared" si="4"/>
        <v>110</v>
      </c>
      <c r="K29" s="143">
        <f t="shared" si="5"/>
        <v>70475.295958002156</v>
      </c>
    </row>
    <row r="30" spans="1:42" x14ac:dyDescent="0.55000000000000004">
      <c r="A30" s="296">
        <f>ROW()</f>
        <v>30</v>
      </c>
      <c r="B30" s="133"/>
      <c r="C30" s="144"/>
      <c r="E30" s="125"/>
      <c r="G30" s="137">
        <f>SUM(G19:G29)</f>
        <v>1</v>
      </c>
      <c r="H30" s="259">
        <f>SUM(H20:H29)</f>
        <v>8.6256914469827954</v>
      </c>
      <c r="I30" s="263" t="s">
        <v>304</v>
      </c>
      <c r="J30" s="139" t="s">
        <v>338</v>
      </c>
      <c r="K30" s="305">
        <f>SUM(K20:K29)</f>
        <v>77896.564097749433</v>
      </c>
      <c r="L30" s="264" t="s">
        <v>303</v>
      </c>
      <c r="N30" s="301" t="s">
        <v>330</v>
      </c>
    </row>
    <row r="31" spans="1:42" ht="14.7" thickBot="1" x14ac:dyDescent="0.6">
      <c r="A31" s="296">
        <f>ROW()</f>
        <v>31</v>
      </c>
      <c r="B31" s="133"/>
      <c r="C31" s="144"/>
      <c r="E31" s="125"/>
      <c r="G31" s="137"/>
      <c r="H31" s="138"/>
      <c r="I31" s="103"/>
      <c r="J31" s="139" t="s">
        <v>339</v>
      </c>
      <c r="K31" s="301">
        <f>K30/((1+C8)^2)</f>
        <v>64670.950522464656</v>
      </c>
      <c r="N31" s="301" t="s">
        <v>333</v>
      </c>
      <c r="AP31" s="36" t="s">
        <v>180</v>
      </c>
    </row>
    <row r="32" spans="1:42" ht="14.7" thickBot="1" x14ac:dyDescent="0.6">
      <c r="A32" s="296">
        <f>ROW()</f>
        <v>32</v>
      </c>
      <c r="C32" s="93" t="s">
        <v>181</v>
      </c>
      <c r="D32" s="257">
        <f>SUM(D19:D29)</f>
        <v>864.04557878918479</v>
      </c>
      <c r="E32" s="256" t="s">
        <v>297</v>
      </c>
      <c r="G32" s="96" t="s">
        <v>182</v>
      </c>
      <c r="H32" s="258">
        <f>+H30/2</f>
        <v>4.3128457234913977</v>
      </c>
      <c r="I32" s="255" t="s">
        <v>298</v>
      </c>
      <c r="J32" s="96" t="s">
        <v>183</v>
      </c>
      <c r="K32" s="123">
        <f>K31/(D32*C9^2)</f>
        <v>18.71167219358097</v>
      </c>
      <c r="N32" s="302" t="s">
        <v>334</v>
      </c>
    </row>
    <row r="33" spans="1:46" x14ac:dyDescent="0.55000000000000004">
      <c r="A33" s="296">
        <f>ROW()</f>
        <v>33</v>
      </c>
      <c r="D33" s="135"/>
      <c r="F33" s="125"/>
      <c r="I33" s="103"/>
      <c r="K33" s="198"/>
      <c r="AP33" s="149"/>
      <c r="AT33" s="150"/>
    </row>
    <row r="34" spans="1:46" x14ac:dyDescent="0.55000000000000004">
      <c r="A34" s="267"/>
    </row>
    <row r="35" spans="1:46" x14ac:dyDescent="0.55000000000000004">
      <c r="M35" s="13" t="s">
        <v>329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A4B4-1210-41AE-A0C7-7070578716DD}">
  <dimension ref="A1:AT230"/>
  <sheetViews>
    <sheetView workbookViewId="0">
      <selection activeCell="L17" sqref="L17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0.26171875" bestFit="1" customWidth="1"/>
    <col min="4" max="4" width="11.47265625" customWidth="1"/>
    <col min="5" max="6" width="12.5234375" customWidth="1"/>
    <col min="7" max="7" width="10.26171875" bestFit="1" customWidth="1"/>
    <col min="8" max="13" width="11.26171875" customWidth="1"/>
    <col min="14" max="14" width="12.15625" customWidth="1"/>
    <col min="15" max="15" width="4.1015625" customWidth="1"/>
    <col min="16" max="16" width="4.7890625" customWidth="1"/>
    <col min="17" max="17" width="11.26171875" customWidth="1"/>
    <col min="18" max="18" width="12" customWidth="1"/>
    <col min="19" max="19" width="12.26171875" customWidth="1"/>
    <col min="20" max="20" width="11" customWidth="1"/>
    <col min="21" max="21" width="10.7890625" customWidth="1"/>
    <col min="22" max="22" width="12" customWidth="1"/>
    <col min="23" max="23" width="14.7890625" customWidth="1"/>
    <col min="24" max="24" width="13.734375" customWidth="1"/>
    <col min="25" max="25" width="13.7890625" customWidth="1"/>
    <col min="29" max="29" width="12.5234375" customWidth="1"/>
    <col min="30" max="30" width="13.15625" customWidth="1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5" max="285" width="12.5234375" customWidth="1"/>
    <col min="286" max="286" width="13.15625" customWidth="1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41" max="541" width="12.5234375" customWidth="1"/>
    <col min="542" max="542" width="13.15625" customWidth="1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7" max="797" width="12.5234375" customWidth="1"/>
    <col min="798" max="798" width="13.15625" customWidth="1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3" max="1053" width="12.5234375" customWidth="1"/>
    <col min="1054" max="1054" width="13.15625" customWidth="1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9" max="1309" width="12.5234375" customWidth="1"/>
    <col min="1310" max="1310" width="13.15625" customWidth="1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5" max="1565" width="12.5234375" customWidth="1"/>
    <col min="1566" max="1566" width="13.15625" customWidth="1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21" max="1821" width="12.5234375" customWidth="1"/>
    <col min="1822" max="1822" width="13.15625" customWidth="1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7" max="2077" width="12.5234375" customWidth="1"/>
    <col min="2078" max="2078" width="13.15625" customWidth="1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3" max="2333" width="12.5234375" customWidth="1"/>
    <col min="2334" max="2334" width="13.15625" customWidth="1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9" max="2589" width="12.5234375" customWidth="1"/>
    <col min="2590" max="2590" width="13.15625" customWidth="1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5" max="2845" width="12.5234375" customWidth="1"/>
    <col min="2846" max="2846" width="13.15625" customWidth="1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101" max="3101" width="12.5234375" customWidth="1"/>
    <col min="3102" max="3102" width="13.15625" customWidth="1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7" max="3357" width="12.5234375" customWidth="1"/>
    <col min="3358" max="3358" width="13.15625" customWidth="1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3" max="3613" width="12.5234375" customWidth="1"/>
    <col min="3614" max="3614" width="13.15625" customWidth="1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9" max="3869" width="12.5234375" customWidth="1"/>
    <col min="3870" max="3870" width="13.15625" customWidth="1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5" max="4125" width="12.5234375" customWidth="1"/>
    <col min="4126" max="4126" width="13.15625" customWidth="1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81" max="4381" width="12.5234375" customWidth="1"/>
    <col min="4382" max="4382" width="13.15625" customWidth="1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7" max="4637" width="12.5234375" customWidth="1"/>
    <col min="4638" max="4638" width="13.15625" customWidth="1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3" max="4893" width="12.5234375" customWidth="1"/>
    <col min="4894" max="4894" width="13.15625" customWidth="1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9" max="5149" width="12.5234375" customWidth="1"/>
    <col min="5150" max="5150" width="13.15625" customWidth="1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5" max="5405" width="12.5234375" customWidth="1"/>
    <col min="5406" max="5406" width="13.15625" customWidth="1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61" max="5661" width="12.5234375" customWidth="1"/>
    <col min="5662" max="5662" width="13.15625" customWidth="1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7" max="5917" width="12.5234375" customWidth="1"/>
    <col min="5918" max="5918" width="13.15625" customWidth="1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3" max="6173" width="12.5234375" customWidth="1"/>
    <col min="6174" max="6174" width="13.15625" customWidth="1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9" max="6429" width="12.5234375" customWidth="1"/>
    <col min="6430" max="6430" width="13.15625" customWidth="1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5" max="6685" width="12.5234375" customWidth="1"/>
    <col min="6686" max="6686" width="13.15625" customWidth="1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41" max="6941" width="12.5234375" customWidth="1"/>
    <col min="6942" max="6942" width="13.15625" customWidth="1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7" max="7197" width="12.5234375" customWidth="1"/>
    <col min="7198" max="7198" width="13.15625" customWidth="1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3" max="7453" width="12.5234375" customWidth="1"/>
    <col min="7454" max="7454" width="13.15625" customWidth="1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9" max="7709" width="12.5234375" customWidth="1"/>
    <col min="7710" max="7710" width="13.15625" customWidth="1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5" max="7965" width="12.5234375" customWidth="1"/>
    <col min="7966" max="7966" width="13.15625" customWidth="1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21" max="8221" width="12.5234375" customWidth="1"/>
    <col min="8222" max="8222" width="13.15625" customWidth="1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7" max="8477" width="12.5234375" customWidth="1"/>
    <col min="8478" max="8478" width="13.15625" customWidth="1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3" max="8733" width="12.5234375" customWidth="1"/>
    <col min="8734" max="8734" width="13.15625" customWidth="1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9" max="8989" width="12.5234375" customWidth="1"/>
    <col min="8990" max="8990" width="13.15625" customWidth="1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5" max="9245" width="12.5234375" customWidth="1"/>
    <col min="9246" max="9246" width="13.15625" customWidth="1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501" max="9501" width="12.5234375" customWidth="1"/>
    <col min="9502" max="9502" width="13.15625" customWidth="1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7" max="9757" width="12.5234375" customWidth="1"/>
    <col min="9758" max="9758" width="13.15625" customWidth="1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3" max="10013" width="12.5234375" customWidth="1"/>
    <col min="10014" max="10014" width="13.15625" customWidth="1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9" max="10269" width="12.5234375" customWidth="1"/>
    <col min="10270" max="10270" width="13.15625" customWidth="1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5" max="10525" width="12.5234375" customWidth="1"/>
    <col min="10526" max="10526" width="13.15625" customWidth="1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81" max="10781" width="12.5234375" customWidth="1"/>
    <col min="10782" max="10782" width="13.15625" customWidth="1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7" max="11037" width="12.5234375" customWidth="1"/>
    <col min="11038" max="11038" width="13.15625" customWidth="1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3" max="11293" width="12.5234375" customWidth="1"/>
    <col min="11294" max="11294" width="13.15625" customWidth="1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9" max="11549" width="12.5234375" customWidth="1"/>
    <col min="11550" max="11550" width="13.15625" customWidth="1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5" max="11805" width="12.5234375" customWidth="1"/>
    <col min="11806" max="11806" width="13.15625" customWidth="1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61" max="12061" width="12.5234375" customWidth="1"/>
    <col min="12062" max="12062" width="13.15625" customWidth="1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7" max="12317" width="12.5234375" customWidth="1"/>
    <col min="12318" max="12318" width="13.15625" customWidth="1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3" max="12573" width="12.5234375" customWidth="1"/>
    <col min="12574" max="12574" width="13.15625" customWidth="1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9" max="12829" width="12.5234375" customWidth="1"/>
    <col min="12830" max="12830" width="13.15625" customWidth="1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5" max="13085" width="12.5234375" customWidth="1"/>
    <col min="13086" max="13086" width="13.15625" customWidth="1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41" max="13341" width="12.5234375" customWidth="1"/>
    <col min="13342" max="13342" width="13.15625" customWidth="1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7" max="13597" width="12.5234375" customWidth="1"/>
    <col min="13598" max="13598" width="13.15625" customWidth="1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3" max="13853" width="12.5234375" customWidth="1"/>
    <col min="13854" max="13854" width="13.15625" customWidth="1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9" max="14109" width="12.5234375" customWidth="1"/>
    <col min="14110" max="14110" width="13.15625" customWidth="1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5" max="14365" width="12.5234375" customWidth="1"/>
    <col min="14366" max="14366" width="13.15625" customWidth="1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21" max="14621" width="12.5234375" customWidth="1"/>
    <col min="14622" max="14622" width="13.15625" customWidth="1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7" max="14877" width="12.5234375" customWidth="1"/>
    <col min="14878" max="14878" width="13.15625" customWidth="1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3" max="15133" width="12.5234375" customWidth="1"/>
    <col min="15134" max="15134" width="13.15625" customWidth="1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9" max="15389" width="12.5234375" customWidth="1"/>
    <col min="15390" max="15390" width="13.15625" customWidth="1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5" max="15645" width="12.5234375" customWidth="1"/>
    <col min="15646" max="15646" width="13.15625" customWidth="1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901" max="15901" width="12.5234375" customWidth="1"/>
    <col min="15902" max="15902" width="13.15625" customWidth="1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7" max="16157" width="12.5234375" customWidth="1"/>
    <col min="16158" max="16158" width="13.15625" customWidth="1"/>
  </cols>
  <sheetData>
    <row r="1" spans="1:14" ht="24" customHeight="1" x14ac:dyDescent="0.95">
      <c r="A1" s="14" t="s">
        <v>56</v>
      </c>
    </row>
    <row r="2" spans="1:14" ht="14.5" customHeight="1" x14ac:dyDescent="0.55000000000000004"/>
    <row r="3" spans="1:14" ht="14.5" customHeight="1" x14ac:dyDescent="0.55000000000000004">
      <c r="A3" s="15">
        <f>ROW()</f>
        <v>3</v>
      </c>
      <c r="B3" s="16" t="s">
        <v>39</v>
      </c>
      <c r="C3" s="16" t="s">
        <v>50</v>
      </c>
      <c r="D3" s="16" t="s">
        <v>53</v>
      </c>
      <c r="E3" s="16" t="s">
        <v>57</v>
      </c>
      <c r="F3" s="16" t="s">
        <v>58</v>
      </c>
      <c r="G3" s="16" t="s">
        <v>59</v>
      </c>
      <c r="H3" s="16" t="s">
        <v>60</v>
      </c>
      <c r="I3" s="16" t="s">
        <v>61</v>
      </c>
      <c r="J3" s="16" t="s">
        <v>62</v>
      </c>
      <c r="K3" s="16" t="s">
        <v>63</v>
      </c>
      <c r="L3" s="16" t="s">
        <v>64</v>
      </c>
      <c r="M3" s="16" t="s">
        <v>65</v>
      </c>
      <c r="N3" s="16" t="s">
        <v>66</v>
      </c>
    </row>
    <row r="4" spans="1:14" ht="20.5" customHeight="1" x14ac:dyDescent="0.6">
      <c r="A4" s="15">
        <f>ROW()</f>
        <v>4</v>
      </c>
      <c r="B4" s="17" t="s">
        <v>67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4.5" customHeight="1" x14ac:dyDescent="0.55000000000000004">
      <c r="A5" s="15">
        <f>ROW()</f>
        <v>5</v>
      </c>
      <c r="C5" s="19" t="s">
        <v>68</v>
      </c>
    </row>
    <row r="6" spans="1:14" ht="14.5" customHeight="1" x14ac:dyDescent="0.55000000000000004">
      <c r="A6" s="15">
        <f>ROW()</f>
        <v>6</v>
      </c>
      <c r="C6" s="20" t="s">
        <v>69</v>
      </c>
    </row>
    <row r="7" spans="1:14" ht="14.5" customHeight="1" x14ac:dyDescent="0.55000000000000004">
      <c r="A7" s="15">
        <f>ROW()</f>
        <v>7</v>
      </c>
    </row>
    <row r="8" spans="1:14" ht="14.5" customHeight="1" x14ac:dyDescent="0.55000000000000004">
      <c r="A8" s="15">
        <f>ROW()</f>
        <v>8</v>
      </c>
      <c r="D8" s="21" t="s">
        <v>70</v>
      </c>
      <c r="E8" s="338">
        <f>DATE(2019,1,17)</f>
        <v>43482</v>
      </c>
      <c r="F8" s="345"/>
    </row>
    <row r="9" spans="1:14" ht="14.5" customHeight="1" x14ac:dyDescent="0.55000000000000004">
      <c r="A9" s="15">
        <f>ROW()</f>
        <v>9</v>
      </c>
      <c r="D9" s="21" t="s">
        <v>71</v>
      </c>
      <c r="E9" s="338">
        <f>+E8+5</f>
        <v>43487</v>
      </c>
      <c r="F9" s="345"/>
    </row>
    <row r="10" spans="1:14" ht="14.5" customHeight="1" x14ac:dyDescent="0.55000000000000004">
      <c r="A10" s="15">
        <f>ROW()</f>
        <v>10</v>
      </c>
      <c r="D10" s="21" t="s">
        <v>72</v>
      </c>
      <c r="E10" s="22">
        <v>98.5</v>
      </c>
    </row>
    <row r="11" spans="1:14" ht="14.5" customHeight="1" x14ac:dyDescent="0.55000000000000004">
      <c r="A11" s="15">
        <f>ROW()</f>
        <v>11</v>
      </c>
      <c r="B11" s="23" t="s">
        <v>73</v>
      </c>
      <c r="D11" s="21" t="s">
        <v>74</v>
      </c>
      <c r="E11" s="24">
        <v>7.4999999999999997E-2</v>
      </c>
    </row>
    <row r="12" spans="1:14" ht="14.5" customHeight="1" x14ac:dyDescent="0.55000000000000004">
      <c r="A12" s="15">
        <f>ROW()</f>
        <v>12</v>
      </c>
      <c r="B12" s="25" t="s">
        <v>75</v>
      </c>
      <c r="D12" s="21" t="s">
        <v>76</v>
      </c>
      <c r="E12" s="21" t="s">
        <v>77</v>
      </c>
      <c r="F12" s="20" t="s">
        <v>78</v>
      </c>
    </row>
    <row r="13" spans="1:14" ht="14.5" customHeight="1" x14ac:dyDescent="0.55000000000000004">
      <c r="A13" s="15">
        <f>ROW()</f>
        <v>13</v>
      </c>
      <c r="B13" s="25" t="s">
        <v>79</v>
      </c>
      <c r="D13" s="21" t="s">
        <v>80</v>
      </c>
      <c r="E13" s="26">
        <v>1000</v>
      </c>
    </row>
    <row r="14" spans="1:14" ht="14.5" customHeight="1" x14ac:dyDescent="0.55000000000000004">
      <c r="A14" s="15">
        <f>ROW()</f>
        <v>14</v>
      </c>
      <c r="B14" s="25" t="s">
        <v>81</v>
      </c>
      <c r="D14" s="21" t="s">
        <v>82</v>
      </c>
      <c r="E14">
        <v>360</v>
      </c>
      <c r="F14" s="20" t="s">
        <v>83</v>
      </c>
    </row>
    <row r="15" spans="1:14" ht="14.5" customHeight="1" x14ac:dyDescent="0.55000000000000004">
      <c r="A15" s="15">
        <f>ROW()</f>
        <v>15</v>
      </c>
      <c r="B15" s="23" t="s">
        <v>84</v>
      </c>
    </row>
    <row r="16" spans="1:14" ht="14.5" customHeight="1" x14ac:dyDescent="0.55000000000000004">
      <c r="A16" s="15">
        <f>ROW()</f>
        <v>16</v>
      </c>
      <c r="D16" s="21" t="s">
        <v>85</v>
      </c>
      <c r="E16" s="27">
        <f>+E10*10</f>
        <v>985</v>
      </c>
    </row>
    <row r="17" spans="1:14" ht="14.5" customHeight="1" thickBot="1" x14ac:dyDescent="0.6">
      <c r="A17" s="15">
        <f>ROW()</f>
        <v>17</v>
      </c>
      <c r="D17" s="21" t="s">
        <v>86</v>
      </c>
      <c r="E17" s="27">
        <f>+(C26/E14)*(E11*E13)</f>
        <v>29.583333333333332</v>
      </c>
    </row>
    <row r="18" spans="1:14" ht="14.5" customHeight="1" thickBot="1" x14ac:dyDescent="0.6">
      <c r="A18" s="15">
        <f>ROW()</f>
        <v>18</v>
      </c>
      <c r="D18" s="21" t="s">
        <v>87</v>
      </c>
      <c r="E18" s="28">
        <f>+E17+E16</f>
        <v>1014.5833333333334</v>
      </c>
    </row>
    <row r="19" spans="1:14" ht="14.5" customHeight="1" x14ac:dyDescent="0.55000000000000004">
      <c r="A19" s="15">
        <f>ROW()</f>
        <v>19</v>
      </c>
      <c r="G19" s="29" t="s">
        <v>88</v>
      </c>
    </row>
    <row r="20" spans="1:14" ht="14.5" customHeight="1" x14ac:dyDescent="0.55000000000000004">
      <c r="A20" s="15">
        <f>ROW()</f>
        <v>20</v>
      </c>
    </row>
    <row r="21" spans="1:14" ht="14.5" customHeight="1" x14ac:dyDescent="0.55000000000000004">
      <c r="A21" s="15">
        <f>ROW()</f>
        <v>21</v>
      </c>
      <c r="C21" s="30">
        <f>+$E$11*$E$13/2</f>
        <v>37.5</v>
      </c>
      <c r="I21" s="30">
        <f>+$E$11*$E$13/2</f>
        <v>37.5</v>
      </c>
    </row>
    <row r="22" spans="1:14" ht="14.5" customHeight="1" x14ac:dyDescent="0.55000000000000004">
      <c r="A22" s="15">
        <f>ROW()</f>
        <v>22</v>
      </c>
      <c r="C22" s="9"/>
      <c r="D22" s="9"/>
      <c r="E22" s="9"/>
      <c r="F22" s="9"/>
      <c r="G22" s="9"/>
      <c r="H22" s="31"/>
    </row>
    <row r="23" spans="1:14" ht="14.5" customHeight="1" x14ac:dyDescent="0.55000000000000004">
      <c r="A23" s="15">
        <f>ROW()</f>
        <v>23</v>
      </c>
      <c r="C23" s="32" t="s">
        <v>89</v>
      </c>
      <c r="D23" s="33" t="s">
        <v>90</v>
      </c>
      <c r="E23" s="33" t="s">
        <v>91</v>
      </c>
      <c r="F23" s="33" t="s">
        <v>92</v>
      </c>
      <c r="G23" s="33" t="s">
        <v>93</v>
      </c>
      <c r="H23" s="33" t="s">
        <v>94</v>
      </c>
      <c r="I23" s="32" t="s">
        <v>95</v>
      </c>
    </row>
    <row r="24" spans="1:14" ht="14.5" customHeight="1" x14ac:dyDescent="0.55000000000000004">
      <c r="A24" s="15">
        <f>ROW()</f>
        <v>24</v>
      </c>
    </row>
    <row r="25" spans="1:14" ht="14.5" customHeight="1" x14ac:dyDescent="0.55000000000000004">
      <c r="A25" s="15">
        <f>ROW()</f>
        <v>25</v>
      </c>
      <c r="B25" s="34" t="s">
        <v>96</v>
      </c>
      <c r="C25" s="35">
        <v>30</v>
      </c>
      <c r="D25" s="35">
        <v>30</v>
      </c>
      <c r="E25" s="35">
        <v>30</v>
      </c>
      <c r="F25" s="35">
        <v>30</v>
      </c>
      <c r="G25" s="35">
        <v>22</v>
      </c>
      <c r="H25" s="36"/>
    </row>
    <row r="26" spans="1:14" ht="14.5" customHeight="1" x14ac:dyDescent="0.55000000000000004">
      <c r="A26" s="15">
        <f>ROW()</f>
        <v>26</v>
      </c>
      <c r="B26" s="37" t="s">
        <v>97</v>
      </c>
      <c r="C26" s="38">
        <f>SUM(C25:H25)</f>
        <v>142</v>
      </c>
    </row>
    <row r="27" spans="1:14" ht="14.5" customHeight="1" x14ac:dyDescent="0.55000000000000004"/>
    <row r="28" spans="1:14" ht="14.5" customHeight="1" x14ac:dyDescent="0.55000000000000004">
      <c r="A28" s="15">
        <f>ROW()</f>
        <v>28</v>
      </c>
      <c r="B28" s="16" t="s">
        <v>39</v>
      </c>
      <c r="C28" s="16" t="s">
        <v>50</v>
      </c>
      <c r="D28" s="16" t="s">
        <v>53</v>
      </c>
      <c r="E28" s="16" t="s">
        <v>57</v>
      </c>
      <c r="F28" s="16" t="s">
        <v>58</v>
      </c>
      <c r="G28" s="16" t="s">
        <v>59</v>
      </c>
      <c r="H28" s="16" t="s">
        <v>60</v>
      </c>
      <c r="I28" s="16" t="s">
        <v>61</v>
      </c>
      <c r="J28" s="16" t="s">
        <v>62</v>
      </c>
      <c r="K28" s="16" t="s">
        <v>63</v>
      </c>
      <c r="L28" s="16" t="s">
        <v>64</v>
      </c>
      <c r="M28" s="16" t="s">
        <v>65</v>
      </c>
      <c r="N28" s="16" t="s">
        <v>66</v>
      </c>
    </row>
    <row r="29" spans="1:14" ht="21.55" customHeight="1" x14ac:dyDescent="0.6">
      <c r="A29" s="15">
        <f>ROW()</f>
        <v>29</v>
      </c>
      <c r="B29" s="17" t="s">
        <v>98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55000000000000004">
      <c r="A30" s="15">
        <f>ROW()</f>
        <v>30</v>
      </c>
      <c r="B30" s="40"/>
      <c r="C30" s="40"/>
      <c r="D30" s="40"/>
      <c r="E30" s="40"/>
      <c r="F30" s="40"/>
      <c r="G30" s="40"/>
      <c r="H30" s="40"/>
      <c r="I30" s="40"/>
      <c r="J30" s="40"/>
    </row>
    <row r="31" spans="1:14" x14ac:dyDescent="0.55000000000000004">
      <c r="A31" s="15">
        <f>ROW()</f>
        <v>31</v>
      </c>
      <c r="B31" s="41" t="s">
        <v>99</v>
      </c>
      <c r="C31" s="40"/>
      <c r="D31" s="40"/>
      <c r="E31" s="40"/>
      <c r="F31" s="41" t="s">
        <v>100</v>
      </c>
      <c r="G31" s="40"/>
      <c r="H31" s="40"/>
      <c r="I31" s="40"/>
      <c r="J31" s="40"/>
    </row>
    <row r="32" spans="1:14" x14ac:dyDescent="0.55000000000000004">
      <c r="A32" s="15">
        <f>ROW()</f>
        <v>32</v>
      </c>
      <c r="B32" s="40" t="s">
        <v>101</v>
      </c>
      <c r="C32" s="40"/>
      <c r="D32" s="42">
        <v>42078</v>
      </c>
      <c r="E32" s="40"/>
      <c r="F32" s="40" t="s">
        <v>101</v>
      </c>
      <c r="G32" s="40"/>
      <c r="H32" s="43">
        <v>42078</v>
      </c>
      <c r="I32" s="40"/>
      <c r="J32" s="40"/>
    </row>
    <row r="33" spans="1:14" x14ac:dyDescent="0.55000000000000004">
      <c r="A33" s="15">
        <f>ROW()</f>
        <v>33</v>
      </c>
      <c r="B33" s="40" t="s">
        <v>102</v>
      </c>
      <c r="C33" s="40"/>
      <c r="D33" s="42">
        <v>45672</v>
      </c>
      <c r="E33" s="40"/>
      <c r="F33" s="40" t="s">
        <v>102</v>
      </c>
      <c r="G33" s="40"/>
      <c r="H33" s="42">
        <v>45672</v>
      </c>
      <c r="I33" s="40"/>
      <c r="J33" s="40"/>
    </row>
    <row r="34" spans="1:14" x14ac:dyDescent="0.55000000000000004">
      <c r="A34" s="15">
        <f>ROW()</f>
        <v>34</v>
      </c>
      <c r="B34" s="40" t="s">
        <v>103</v>
      </c>
      <c r="C34" s="40"/>
      <c r="D34" s="44">
        <v>4.2500000000000003E-2</v>
      </c>
      <c r="E34" s="40"/>
      <c r="F34" s="40" t="s">
        <v>103</v>
      </c>
      <c r="G34" s="40"/>
      <c r="H34" s="44">
        <v>4.2500000000000003E-2</v>
      </c>
      <c r="I34" s="40"/>
      <c r="J34" s="40"/>
    </row>
    <row r="35" spans="1:14" x14ac:dyDescent="0.55000000000000004">
      <c r="A35" s="15">
        <f>ROW()</f>
        <v>35</v>
      </c>
      <c r="B35" s="45" t="s">
        <v>104</v>
      </c>
      <c r="C35" s="45"/>
      <c r="D35" s="46">
        <v>4.7399999999999998E-2</v>
      </c>
      <c r="E35" s="40"/>
      <c r="F35" s="45" t="s">
        <v>105</v>
      </c>
      <c r="G35" s="45"/>
      <c r="H35" s="47">
        <v>96.178530201010034</v>
      </c>
      <c r="I35" s="40"/>
      <c r="J35" s="40"/>
    </row>
    <row r="36" spans="1:14" x14ac:dyDescent="0.55000000000000004">
      <c r="A36" s="15">
        <f>ROW()</f>
        <v>36</v>
      </c>
      <c r="B36" s="40" t="s">
        <v>106</v>
      </c>
      <c r="C36" s="40"/>
      <c r="D36" s="40">
        <v>100</v>
      </c>
      <c r="E36" s="40"/>
      <c r="F36" s="40" t="s">
        <v>106</v>
      </c>
      <c r="G36" s="40"/>
      <c r="H36" s="40">
        <v>100</v>
      </c>
      <c r="I36" s="40"/>
      <c r="J36" s="40"/>
    </row>
    <row r="37" spans="1:14" x14ac:dyDescent="0.55000000000000004">
      <c r="A37" s="15">
        <f>ROW()</f>
        <v>37</v>
      </c>
      <c r="B37" s="40" t="s">
        <v>107</v>
      </c>
      <c r="C37" s="40"/>
      <c r="D37" s="40">
        <v>2</v>
      </c>
      <c r="E37" s="40"/>
      <c r="F37" s="40" t="s">
        <v>107</v>
      </c>
      <c r="G37" s="40"/>
      <c r="H37" s="40">
        <v>2</v>
      </c>
      <c r="I37" s="40"/>
      <c r="J37" s="40"/>
    </row>
    <row r="38" spans="1:14" ht="14.7" thickBot="1" x14ac:dyDescent="0.6">
      <c r="A38" s="15">
        <f>ROW()</f>
        <v>38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4" ht="14.7" thickBot="1" x14ac:dyDescent="0.6">
      <c r="A39" s="15">
        <f>ROW()</f>
        <v>39</v>
      </c>
      <c r="B39" s="48" t="s">
        <v>108</v>
      </c>
      <c r="C39" s="45"/>
      <c r="D39" s="49">
        <v>96.178530201010034</v>
      </c>
      <c r="E39" s="50" t="s">
        <v>73</v>
      </c>
      <c r="F39" s="48" t="s">
        <v>109</v>
      </c>
      <c r="G39" s="40"/>
      <c r="H39" s="51">
        <v>4.7399999999998423E-2</v>
      </c>
      <c r="I39" s="40"/>
      <c r="J39" s="40"/>
    </row>
    <row r="40" spans="1:14" x14ac:dyDescent="0.55000000000000004">
      <c r="A40" s="15">
        <f>ROW()</f>
        <v>40</v>
      </c>
      <c r="B40" s="40" t="s">
        <v>110</v>
      </c>
      <c r="C40" s="40"/>
      <c r="D40" s="52">
        <v>59</v>
      </c>
      <c r="E40" s="53" t="s">
        <v>75</v>
      </c>
      <c r="F40" s="40"/>
      <c r="G40" s="40"/>
      <c r="H40" s="40"/>
      <c r="I40" s="40"/>
      <c r="J40" s="40"/>
    </row>
    <row r="41" spans="1:14" x14ac:dyDescent="0.55000000000000004">
      <c r="A41" s="15">
        <f>ROW()</f>
        <v>41</v>
      </c>
      <c r="B41" s="40" t="s">
        <v>111</v>
      </c>
      <c r="C41" s="40"/>
      <c r="D41" s="52">
        <v>181</v>
      </c>
      <c r="E41" s="53" t="s">
        <v>79</v>
      </c>
      <c r="F41" s="40"/>
      <c r="G41" s="40"/>
      <c r="H41" s="40"/>
      <c r="I41" s="40"/>
      <c r="J41" s="40"/>
    </row>
    <row r="42" spans="1:14" ht="14.7" thickBot="1" x14ac:dyDescent="0.6">
      <c r="A42" s="15">
        <f>ROW()</f>
        <v>42</v>
      </c>
      <c r="B42" s="40" t="s">
        <v>112</v>
      </c>
      <c r="C42" s="40"/>
      <c r="D42" s="52">
        <v>0.69267955801104975</v>
      </c>
      <c r="E42" s="53" t="s">
        <v>81</v>
      </c>
      <c r="F42" s="40"/>
      <c r="G42" s="40"/>
      <c r="H42" s="40"/>
      <c r="I42" s="40"/>
      <c r="J42" s="40"/>
    </row>
    <row r="43" spans="1:14" ht="14.7" thickBot="1" x14ac:dyDescent="0.6">
      <c r="A43" s="15">
        <f>ROW()</f>
        <v>43</v>
      </c>
      <c r="B43" s="45" t="s">
        <v>113</v>
      </c>
      <c r="C43" s="45"/>
      <c r="D43" s="49">
        <v>96.871209759021085</v>
      </c>
      <c r="E43" s="50" t="s">
        <v>84</v>
      </c>
      <c r="F43" s="40"/>
      <c r="G43" s="40"/>
      <c r="H43" s="40"/>
      <c r="I43" s="40"/>
      <c r="J43" s="40"/>
    </row>
    <row r="44" spans="1:14" x14ac:dyDescent="0.55000000000000004">
      <c r="A44" s="15">
        <f>ROW()</f>
        <v>44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4" ht="14.7" thickBot="1" x14ac:dyDescent="0.6">
      <c r="A45" s="15">
        <f>ROW()</f>
        <v>45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4" ht="14.7" thickBot="1" x14ac:dyDescent="0.6">
      <c r="A46" s="15">
        <f>ROW()</f>
        <v>46</v>
      </c>
      <c r="B46" s="48" t="s">
        <v>114</v>
      </c>
      <c r="C46" s="40"/>
      <c r="D46" s="51">
        <v>4.4188656149326017E-2</v>
      </c>
      <c r="E46" s="40"/>
      <c r="F46" s="40"/>
      <c r="G46" s="40"/>
      <c r="H46" s="40"/>
      <c r="I46" s="40"/>
      <c r="J46" s="40"/>
    </row>
    <row r="48" spans="1:14" x14ac:dyDescent="0.55000000000000004">
      <c r="A48" s="15">
        <f>ROW()</f>
        <v>48</v>
      </c>
      <c r="B48" s="54" t="s">
        <v>39</v>
      </c>
      <c r="C48" s="54" t="s">
        <v>50</v>
      </c>
      <c r="D48" s="54" t="s">
        <v>53</v>
      </c>
      <c r="E48" s="54" t="s">
        <v>57</v>
      </c>
      <c r="F48" s="54" t="s">
        <v>58</v>
      </c>
      <c r="G48" s="54" t="s">
        <v>59</v>
      </c>
      <c r="H48" s="54" t="s">
        <v>60</v>
      </c>
      <c r="I48" s="54" t="s">
        <v>61</v>
      </c>
      <c r="J48" s="54" t="s">
        <v>62</v>
      </c>
      <c r="K48" s="54" t="s">
        <v>63</v>
      </c>
      <c r="L48" s="54" t="s">
        <v>64</v>
      </c>
      <c r="M48" s="54" t="s">
        <v>65</v>
      </c>
      <c r="N48" s="54" t="s">
        <v>66</v>
      </c>
    </row>
    <row r="49" spans="1:14" ht="17.7" x14ac:dyDescent="0.6">
      <c r="A49" s="15">
        <f>ROW()</f>
        <v>49</v>
      </c>
      <c r="B49" s="55" t="s">
        <v>115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x14ac:dyDescent="0.55000000000000004">
      <c r="A50" s="15">
        <f>ROW()</f>
        <v>50</v>
      </c>
    </row>
    <row r="51" spans="1:14" ht="14.7" thickBot="1" x14ac:dyDescent="0.6">
      <c r="A51" s="15">
        <f>ROW()</f>
        <v>51</v>
      </c>
      <c r="D51" s="56"/>
      <c r="E51" s="56" t="s">
        <v>116</v>
      </c>
      <c r="G51" s="36"/>
      <c r="H51" s="56" t="s">
        <v>117</v>
      </c>
      <c r="I51" s="56" t="s">
        <v>118</v>
      </c>
      <c r="J51" s="56" t="s">
        <v>119</v>
      </c>
      <c r="K51" s="56" t="s">
        <v>120</v>
      </c>
      <c r="L51" s="56" t="s">
        <v>121</v>
      </c>
    </row>
    <row r="52" spans="1:14" ht="14.7" thickTop="1" x14ac:dyDescent="0.55000000000000004">
      <c r="A52" s="15">
        <f>ROW()</f>
        <v>52</v>
      </c>
      <c r="B52" s="20" t="s">
        <v>122</v>
      </c>
      <c r="E52" s="57">
        <v>42751</v>
      </c>
      <c r="H52" s="58">
        <f>+$E$52</f>
        <v>42751</v>
      </c>
      <c r="I52" s="58">
        <f>+$E$52</f>
        <v>42751</v>
      </c>
      <c r="J52" s="58">
        <f>+$E$52</f>
        <v>42751</v>
      </c>
      <c r="K52" s="58">
        <f>+$E$52</f>
        <v>42751</v>
      </c>
      <c r="L52" s="58">
        <f>+$E$52</f>
        <v>42751</v>
      </c>
    </row>
    <row r="53" spans="1:14" x14ac:dyDescent="0.55000000000000004">
      <c r="A53" s="15">
        <f>ROW()</f>
        <v>53</v>
      </c>
      <c r="B53" s="20" t="s">
        <v>123</v>
      </c>
      <c r="D53" s="338">
        <v>43417</v>
      </c>
      <c r="E53" s="338"/>
      <c r="H53" s="58">
        <f>+$D$53</f>
        <v>43417</v>
      </c>
      <c r="I53" s="58">
        <f>+$D$53</f>
        <v>43417</v>
      </c>
      <c r="J53" s="58">
        <f>+$D$53</f>
        <v>43417</v>
      </c>
      <c r="K53" s="58">
        <f>+$D$53</f>
        <v>43417</v>
      </c>
      <c r="L53" s="58">
        <f>+$D$53</f>
        <v>43417</v>
      </c>
    </row>
    <row r="54" spans="1:14" x14ac:dyDescent="0.55000000000000004">
      <c r="A54" s="15">
        <f>ROW()</f>
        <v>54</v>
      </c>
      <c r="E54" s="13"/>
    </row>
    <row r="55" spans="1:14" x14ac:dyDescent="0.55000000000000004">
      <c r="A55" s="15">
        <f>ROW()</f>
        <v>55</v>
      </c>
      <c r="B55" s="36" t="s">
        <v>124</v>
      </c>
      <c r="C55" s="36"/>
      <c r="D55" s="338">
        <f>+D53+3</f>
        <v>43420</v>
      </c>
      <c r="E55" s="338"/>
      <c r="G55" s="36"/>
      <c r="H55" s="59">
        <f>+$D$55</f>
        <v>43420</v>
      </c>
      <c r="I55" s="59">
        <f>+$D$55</f>
        <v>43420</v>
      </c>
      <c r="J55" s="59">
        <f>+$D$55</f>
        <v>43420</v>
      </c>
      <c r="K55" s="59">
        <f>+$D$55</f>
        <v>43420</v>
      </c>
      <c r="L55" s="59">
        <f>+$D$55</f>
        <v>43420</v>
      </c>
    </row>
    <row r="56" spans="1:14" x14ac:dyDescent="0.55000000000000004">
      <c r="A56" s="15">
        <f>ROW()</f>
        <v>56</v>
      </c>
      <c r="B56" s="36" t="s">
        <v>125</v>
      </c>
      <c r="C56" s="36"/>
      <c r="D56" s="36"/>
      <c r="E56" s="60">
        <f>DATE(2027,1,16)</f>
        <v>46403</v>
      </c>
      <c r="G56" s="36"/>
      <c r="H56" s="59">
        <f>+H52+365</f>
        <v>43116</v>
      </c>
      <c r="I56" s="59">
        <f>+I52+(365*2)</f>
        <v>43481</v>
      </c>
      <c r="J56" s="59">
        <f>+J52+(365*3)</f>
        <v>43846</v>
      </c>
      <c r="K56" s="59">
        <f>+K52+(365*4)+1</f>
        <v>44212</v>
      </c>
      <c r="L56" s="59">
        <f>+L52+(365*4)+1</f>
        <v>44212</v>
      </c>
    </row>
    <row r="57" spans="1:14" x14ac:dyDescent="0.55000000000000004">
      <c r="A57" s="15">
        <f>ROW()</f>
        <v>57</v>
      </c>
      <c r="B57" s="36" t="s">
        <v>126</v>
      </c>
      <c r="C57" s="36"/>
      <c r="D57" s="36"/>
      <c r="E57" s="61">
        <v>0.08</v>
      </c>
      <c r="G57" s="36"/>
      <c r="H57" s="62">
        <f>+$E$57</f>
        <v>0.08</v>
      </c>
      <c r="I57" s="62">
        <f>+$E$57</f>
        <v>0.08</v>
      </c>
      <c r="J57" s="62">
        <f>+$E$57</f>
        <v>0.08</v>
      </c>
      <c r="K57" s="62">
        <f>+$E$57</f>
        <v>0.08</v>
      </c>
      <c r="L57" s="62">
        <f>+$E$57</f>
        <v>0.08</v>
      </c>
    </row>
    <row r="58" spans="1:14" x14ac:dyDescent="0.55000000000000004">
      <c r="A58" s="15">
        <f>ROW()</f>
        <v>58</v>
      </c>
      <c r="B58" s="36" t="s">
        <v>127</v>
      </c>
      <c r="C58" s="36"/>
      <c r="D58" s="36"/>
      <c r="E58" s="63">
        <v>98.5</v>
      </c>
      <c r="G58" s="64"/>
      <c r="H58" s="64">
        <f>+$E$58</f>
        <v>98.5</v>
      </c>
      <c r="I58" s="64">
        <f>+$E$58</f>
        <v>98.5</v>
      </c>
      <c r="J58" s="64">
        <f>+$E$58</f>
        <v>98.5</v>
      </c>
      <c r="K58" s="64">
        <f>+$E$58</f>
        <v>98.5</v>
      </c>
      <c r="L58" s="64">
        <f>+$E$58</f>
        <v>98.5</v>
      </c>
    </row>
    <row r="59" spans="1:14" x14ac:dyDescent="0.55000000000000004">
      <c r="A59" s="15">
        <f>ROW()</f>
        <v>59</v>
      </c>
      <c r="B59" s="36" t="s">
        <v>128</v>
      </c>
      <c r="C59" s="36"/>
      <c r="D59" s="36"/>
      <c r="E59" s="63">
        <v>100</v>
      </c>
      <c r="G59" s="64"/>
      <c r="H59" s="64">
        <f>+H62</f>
        <v>105</v>
      </c>
      <c r="I59" s="64">
        <f>+I62</f>
        <v>104</v>
      </c>
      <c r="J59" s="64">
        <f>+J62</f>
        <v>103</v>
      </c>
      <c r="K59" s="64">
        <f>+K62</f>
        <v>102</v>
      </c>
      <c r="L59" s="64">
        <f>+L62</f>
        <v>101</v>
      </c>
    </row>
    <row r="60" spans="1:14" x14ac:dyDescent="0.55000000000000004">
      <c r="A60" s="15">
        <f>ROW()</f>
        <v>60</v>
      </c>
      <c r="B60" s="36" t="s">
        <v>129</v>
      </c>
      <c r="C60" s="36"/>
      <c r="D60" s="36"/>
      <c r="E60" s="36">
        <v>2</v>
      </c>
      <c r="G60" s="36"/>
      <c r="H60" s="36">
        <f>+$E$60</f>
        <v>2</v>
      </c>
      <c r="I60" s="36">
        <f>+$E$60</f>
        <v>2</v>
      </c>
      <c r="J60" s="36">
        <f>+$E$60</f>
        <v>2</v>
      </c>
      <c r="K60" s="36">
        <f>+$E$60</f>
        <v>2</v>
      </c>
      <c r="L60" s="36">
        <f>+$E$60</f>
        <v>2</v>
      </c>
    </row>
    <row r="61" spans="1:14" x14ac:dyDescent="0.55000000000000004">
      <c r="A61" s="15">
        <f>ROW()</f>
        <v>61</v>
      </c>
    </row>
    <row r="62" spans="1:14" x14ac:dyDescent="0.55000000000000004">
      <c r="A62" s="15">
        <f>ROW()</f>
        <v>62</v>
      </c>
      <c r="B62" t="s">
        <v>130</v>
      </c>
      <c r="E62" s="65"/>
      <c r="G62" s="22"/>
      <c r="H62" s="22">
        <v>105</v>
      </c>
      <c r="I62" s="66">
        <f>+H62-1</f>
        <v>104</v>
      </c>
      <c r="J62" s="66">
        <f>+I62-1</f>
        <v>103</v>
      </c>
      <c r="K62" s="66">
        <f>+J62-1</f>
        <v>102</v>
      </c>
      <c r="L62" s="66">
        <f>+K62-1</f>
        <v>101</v>
      </c>
    </row>
    <row r="63" spans="1:14" ht="14.7" thickBot="1" x14ac:dyDescent="0.6">
      <c r="A63" s="15">
        <f>ROW()</f>
        <v>63</v>
      </c>
    </row>
    <row r="64" spans="1:14" ht="14.7" thickBot="1" x14ac:dyDescent="0.6">
      <c r="A64" s="15">
        <f>ROW()</f>
        <v>64</v>
      </c>
      <c r="C64" s="34" t="s">
        <v>131</v>
      </c>
      <c r="D64" s="34"/>
      <c r="E64" s="67">
        <f>YIELD(D55,E56,E57,E58,E59,E60)</f>
        <v>8.2530245780665312E-2</v>
      </c>
      <c r="G64" s="34" t="s">
        <v>132</v>
      </c>
      <c r="H64" s="68" t="str">
        <f>IF(H56&lt;H55,"NA",YIELD(H55,H56,H57,H58,H59,H60))</f>
        <v>NA</v>
      </c>
      <c r="I64" s="69">
        <f>IF(I56&lt;I55,"NA",YIELD(I55,I56,I57,I58,I59,I60))</f>
        <v>0.40527182866556855</v>
      </c>
      <c r="J64" s="69">
        <f>IF(J56&lt;J55,"NA",YIELD(J55,J56,J57,J58,J59,J60))</f>
        <v>0.11863219589784557</v>
      </c>
      <c r="K64" s="69">
        <f>IF(K56&lt;K55,"NA",YIELD(K55,K56,K57,K58,K59,K60))</f>
        <v>9.6246619770315761E-2</v>
      </c>
      <c r="L64" s="69">
        <f>IF(L56&lt;L55,"NA",YIELD(L55,L56,L57,L58,L59,L60))</f>
        <v>9.1964906572378755E-2</v>
      </c>
    </row>
    <row r="65" spans="1:21" ht="14.7" thickBot="1" x14ac:dyDescent="0.6">
      <c r="A65" s="15">
        <f>ROW()</f>
        <v>65</v>
      </c>
      <c r="E65" s="70"/>
      <c r="G65" s="34"/>
    </row>
    <row r="66" spans="1:21" ht="14.7" thickBot="1" x14ac:dyDescent="0.6">
      <c r="A66" s="15">
        <f>ROW()</f>
        <v>66</v>
      </c>
      <c r="C66" s="34" t="s">
        <v>133</v>
      </c>
      <c r="D66" s="34"/>
      <c r="E66" s="71">
        <f>MIN(E64,I64,J64,K64,L64)</f>
        <v>8.2530245780665312E-2</v>
      </c>
      <c r="G66" s="34" t="s">
        <v>134</v>
      </c>
      <c r="H66" s="72">
        <f>+E69*E60/(E58*10)</f>
        <v>8.1218274111675121E-2</v>
      </c>
    </row>
    <row r="67" spans="1:21" x14ac:dyDescent="0.55000000000000004">
      <c r="A67" s="15">
        <f>ROW()</f>
        <v>67</v>
      </c>
    </row>
    <row r="68" spans="1:21" x14ac:dyDescent="0.55000000000000004">
      <c r="A68" s="15">
        <f>ROW()</f>
        <v>68</v>
      </c>
      <c r="B68" s="20" t="s">
        <v>135</v>
      </c>
      <c r="E68" s="26">
        <v>1000</v>
      </c>
    </row>
    <row r="69" spans="1:21" x14ac:dyDescent="0.55000000000000004">
      <c r="A69" s="15">
        <f>ROW()</f>
        <v>69</v>
      </c>
      <c r="B69" s="20" t="s">
        <v>136</v>
      </c>
      <c r="E69" s="26">
        <f>+E57*E68/2</f>
        <v>40</v>
      </c>
    </row>
    <row r="70" spans="1:21" x14ac:dyDescent="0.55000000000000004">
      <c r="A70" s="15">
        <f>ROW()</f>
        <v>70</v>
      </c>
      <c r="B70" s="20" t="s">
        <v>137</v>
      </c>
      <c r="E70" s="73">
        <f>+(E56-E52)/365</f>
        <v>10.005479452054795</v>
      </c>
      <c r="F70" s="20" t="s">
        <v>138</v>
      </c>
      <c r="G70" s="20"/>
    </row>
    <row r="72" spans="1:21" x14ac:dyDescent="0.55000000000000004">
      <c r="A72" s="15">
        <f>ROW()</f>
        <v>72</v>
      </c>
      <c r="B72" s="54" t="s">
        <v>39</v>
      </c>
      <c r="C72" s="54" t="s">
        <v>50</v>
      </c>
      <c r="D72" s="54" t="s">
        <v>53</v>
      </c>
      <c r="E72" s="54" t="s">
        <v>57</v>
      </c>
      <c r="F72" s="54" t="s">
        <v>58</v>
      </c>
      <c r="G72" s="54" t="s">
        <v>59</v>
      </c>
      <c r="H72" s="54" t="s">
        <v>60</v>
      </c>
      <c r="I72" s="54" t="s">
        <v>61</v>
      </c>
      <c r="J72" s="54" t="s">
        <v>62</v>
      </c>
      <c r="K72" s="54" t="s">
        <v>63</v>
      </c>
      <c r="L72" s="54" t="s">
        <v>64</v>
      </c>
      <c r="M72" s="54" t="s">
        <v>65</v>
      </c>
      <c r="N72" s="54" t="s">
        <v>66</v>
      </c>
    </row>
    <row r="73" spans="1:21" ht="17.7" x14ac:dyDescent="0.6">
      <c r="A73" s="15">
        <f>ROW()</f>
        <v>73</v>
      </c>
      <c r="B73" s="55" t="s">
        <v>139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21" x14ac:dyDescent="0.55000000000000004">
      <c r="A74" s="15">
        <f>ROW()</f>
        <v>74</v>
      </c>
    </row>
    <row r="75" spans="1:21" x14ac:dyDescent="0.55000000000000004">
      <c r="A75" s="15">
        <f>ROW()</f>
        <v>75</v>
      </c>
      <c r="B75" s="20" t="s">
        <v>80</v>
      </c>
      <c r="C75" s="74">
        <v>1000</v>
      </c>
      <c r="D75" s="74"/>
      <c r="I75" s="35"/>
    </row>
    <row r="76" spans="1:21" x14ac:dyDescent="0.55000000000000004">
      <c r="A76" s="15">
        <f>ROW()</f>
        <v>76</v>
      </c>
      <c r="B76" t="s">
        <v>140</v>
      </c>
      <c r="C76" s="75">
        <v>0.08</v>
      </c>
      <c r="D76" s="75"/>
      <c r="I76" s="35"/>
    </row>
    <row r="77" spans="1:21" x14ac:dyDescent="0.55000000000000004">
      <c r="A77" s="15">
        <f>ROW()</f>
        <v>77</v>
      </c>
      <c r="B77" t="s">
        <v>141</v>
      </c>
      <c r="C77" s="75">
        <v>0.1</v>
      </c>
      <c r="D77" s="75"/>
      <c r="I77" s="35"/>
    </row>
    <row r="78" spans="1:21" x14ac:dyDescent="0.55000000000000004">
      <c r="A78" s="15">
        <f>ROW()</f>
        <v>78</v>
      </c>
      <c r="B78" s="20" t="s">
        <v>142</v>
      </c>
      <c r="C78" s="6">
        <v>1</v>
      </c>
      <c r="D78" s="6"/>
      <c r="I78" s="35"/>
    </row>
    <row r="79" spans="1:21" x14ac:dyDescent="0.55000000000000004">
      <c r="A79" s="15">
        <f>ROW()</f>
        <v>79</v>
      </c>
      <c r="C79" s="75"/>
      <c r="D79" s="75"/>
      <c r="I79" s="35"/>
      <c r="R79" s="6"/>
      <c r="S79" s="76"/>
      <c r="T79" s="77"/>
      <c r="U79" s="76"/>
    </row>
    <row r="80" spans="1:21" x14ac:dyDescent="0.55000000000000004">
      <c r="A80" s="15">
        <f>ROW()</f>
        <v>80</v>
      </c>
      <c r="B80" s="78" t="s">
        <v>143</v>
      </c>
      <c r="C80" s="79" t="s">
        <v>144</v>
      </c>
      <c r="D80" s="79" t="s">
        <v>145</v>
      </c>
      <c r="F80" s="80" t="s">
        <v>146</v>
      </c>
      <c r="G80" s="78"/>
      <c r="I80" s="81"/>
      <c r="J80" s="81"/>
    </row>
    <row r="81" spans="1:14" ht="14.7" thickBot="1" x14ac:dyDescent="0.6">
      <c r="A81" s="15">
        <f>ROW()</f>
        <v>81</v>
      </c>
      <c r="B81" s="82" t="s">
        <v>147</v>
      </c>
      <c r="C81" s="83"/>
      <c r="D81" s="82"/>
      <c r="F81" s="84" t="s">
        <v>148</v>
      </c>
      <c r="G81" s="82" t="s">
        <v>149</v>
      </c>
      <c r="I81" s="83" t="s">
        <v>150</v>
      </c>
      <c r="J81" s="85" t="s">
        <v>151</v>
      </c>
    </row>
    <row r="82" spans="1:14" x14ac:dyDescent="0.55000000000000004">
      <c r="A82" s="15">
        <f>ROW()</f>
        <v>82</v>
      </c>
      <c r="B82" s="35">
        <v>1</v>
      </c>
      <c r="C82" s="86">
        <f t="shared" ref="C82:C90" si="0">+$C$75*$C$76</f>
        <v>80</v>
      </c>
      <c r="D82" s="87">
        <f t="shared" ref="D82:D91" si="1">+C82/(1+$C$77)^B82</f>
        <v>72.72727272727272</v>
      </c>
      <c r="F82" s="75">
        <f t="shared" ref="F82:F91" si="2">+D82/$D$93</f>
        <v>8.2917061727069474E-2</v>
      </c>
      <c r="G82" s="88">
        <f t="shared" ref="G82:G91" si="3">+F82*B82</f>
        <v>8.2917061727069474E-2</v>
      </c>
      <c r="I82" s="89">
        <f t="shared" ref="I82:I91" si="4">+B82+B82^2</f>
        <v>2</v>
      </c>
      <c r="J82" s="90">
        <f t="shared" ref="J82:J91" si="5">+I82*D82</f>
        <v>145.45454545454544</v>
      </c>
    </row>
    <row r="83" spans="1:14" x14ac:dyDescent="0.55000000000000004">
      <c r="A83" s="15">
        <f>ROW()</f>
        <v>83</v>
      </c>
      <c r="B83" s="35">
        <v>2</v>
      </c>
      <c r="C83" s="86">
        <f t="shared" si="0"/>
        <v>80</v>
      </c>
      <c r="D83" s="87">
        <f t="shared" si="1"/>
        <v>66.115702479338836</v>
      </c>
      <c r="F83" s="75">
        <f t="shared" si="2"/>
        <v>7.5379147024608614E-2</v>
      </c>
      <c r="G83" s="88">
        <f t="shared" si="3"/>
        <v>0.15075829404921723</v>
      </c>
      <c r="I83" s="89">
        <f t="shared" si="4"/>
        <v>6</v>
      </c>
      <c r="J83" s="90">
        <f t="shared" si="5"/>
        <v>396.69421487603302</v>
      </c>
    </row>
    <row r="84" spans="1:14" x14ac:dyDescent="0.55000000000000004">
      <c r="A84" s="15">
        <f>ROW()</f>
        <v>84</v>
      </c>
      <c r="B84" s="35">
        <v>3</v>
      </c>
      <c r="C84" s="86">
        <f t="shared" si="0"/>
        <v>80</v>
      </c>
      <c r="D84" s="87">
        <f t="shared" si="1"/>
        <v>60.1051840721262</v>
      </c>
      <c r="F84" s="75">
        <f t="shared" si="2"/>
        <v>6.8526497295098715E-2</v>
      </c>
      <c r="G84" s="88">
        <f t="shared" si="3"/>
        <v>0.20557949188529615</v>
      </c>
      <c r="I84" s="89">
        <f t="shared" si="4"/>
        <v>12</v>
      </c>
      <c r="J84" s="90">
        <f t="shared" si="5"/>
        <v>721.26220886551437</v>
      </c>
    </row>
    <row r="85" spans="1:14" x14ac:dyDescent="0.55000000000000004">
      <c r="A85" s="15">
        <f>ROW()</f>
        <v>85</v>
      </c>
      <c r="B85" s="35">
        <v>4</v>
      </c>
      <c r="C85" s="86">
        <f t="shared" si="0"/>
        <v>80</v>
      </c>
      <c r="D85" s="87">
        <f t="shared" si="1"/>
        <v>54.64107642920564</v>
      </c>
      <c r="F85" s="75">
        <f t="shared" si="2"/>
        <v>6.229681572281702E-2</v>
      </c>
      <c r="G85" s="88">
        <f t="shared" si="3"/>
        <v>0.24918726289126808</v>
      </c>
      <c r="I85" s="89">
        <f t="shared" si="4"/>
        <v>20</v>
      </c>
      <c r="J85" s="90">
        <f t="shared" si="5"/>
        <v>1092.8215285841129</v>
      </c>
    </row>
    <row r="86" spans="1:14" x14ac:dyDescent="0.55000000000000004">
      <c r="A86" s="15">
        <f>ROW()</f>
        <v>86</v>
      </c>
      <c r="B86" s="35">
        <v>5</v>
      </c>
      <c r="C86" s="86">
        <f t="shared" si="0"/>
        <v>80</v>
      </c>
      <c r="D86" s="87">
        <f t="shared" si="1"/>
        <v>49.673705844732396</v>
      </c>
      <c r="F86" s="75">
        <f t="shared" si="2"/>
        <v>5.6633468838924561E-2</v>
      </c>
      <c r="G86" s="88">
        <f t="shared" si="3"/>
        <v>0.28316734419462281</v>
      </c>
      <c r="I86" s="89">
        <f t="shared" si="4"/>
        <v>30</v>
      </c>
      <c r="J86" s="90">
        <f t="shared" si="5"/>
        <v>1490.211175341972</v>
      </c>
    </row>
    <row r="87" spans="1:14" x14ac:dyDescent="0.55000000000000004">
      <c r="A87" s="15">
        <f>ROW()</f>
        <v>87</v>
      </c>
      <c r="B87" s="35">
        <v>6</v>
      </c>
      <c r="C87" s="86">
        <f t="shared" si="0"/>
        <v>80</v>
      </c>
      <c r="D87" s="87">
        <f t="shared" si="1"/>
        <v>45.157914404302176</v>
      </c>
      <c r="F87" s="75">
        <f t="shared" si="2"/>
        <v>5.1484971671749598E-2</v>
      </c>
      <c r="G87" s="88">
        <f t="shared" si="3"/>
        <v>0.3089098300304976</v>
      </c>
      <c r="I87" s="89">
        <f t="shared" si="4"/>
        <v>42</v>
      </c>
      <c r="J87" s="90">
        <f t="shared" si="5"/>
        <v>1896.6324049806913</v>
      </c>
    </row>
    <row r="88" spans="1:14" x14ac:dyDescent="0.55000000000000004">
      <c r="A88" s="15">
        <f>ROW()</f>
        <v>88</v>
      </c>
      <c r="B88" s="35">
        <v>7</v>
      </c>
      <c r="C88" s="86">
        <f t="shared" si="0"/>
        <v>80</v>
      </c>
      <c r="D88" s="87">
        <f t="shared" si="1"/>
        <v>41.052649458456514</v>
      </c>
      <c r="F88" s="75">
        <f t="shared" si="2"/>
        <v>4.6804519701590531E-2</v>
      </c>
      <c r="G88" s="88">
        <f t="shared" si="3"/>
        <v>0.3276316379111337</v>
      </c>
      <c r="I88" s="89">
        <f t="shared" si="4"/>
        <v>56</v>
      </c>
      <c r="J88" s="90">
        <f t="shared" si="5"/>
        <v>2298.9483696735647</v>
      </c>
    </row>
    <row r="89" spans="1:14" x14ac:dyDescent="0.55000000000000004">
      <c r="A89" s="15">
        <f>ROW()</f>
        <v>89</v>
      </c>
      <c r="B89" s="35">
        <v>8</v>
      </c>
      <c r="C89" s="86">
        <f t="shared" si="0"/>
        <v>80</v>
      </c>
      <c r="D89" s="87">
        <f t="shared" si="1"/>
        <v>37.320590416778657</v>
      </c>
      <c r="F89" s="75">
        <f t="shared" si="2"/>
        <v>4.254956336508231E-2</v>
      </c>
      <c r="G89" s="88">
        <f t="shared" si="3"/>
        <v>0.34039650692065848</v>
      </c>
      <c r="I89" s="89">
        <f t="shared" si="4"/>
        <v>72</v>
      </c>
      <c r="J89" s="90">
        <f t="shared" si="5"/>
        <v>2687.0825100080633</v>
      </c>
    </row>
    <row r="90" spans="1:14" x14ac:dyDescent="0.55000000000000004">
      <c r="A90" s="15">
        <f>ROW()</f>
        <v>90</v>
      </c>
      <c r="B90" s="35">
        <v>9</v>
      </c>
      <c r="C90" s="86">
        <f t="shared" si="0"/>
        <v>80</v>
      </c>
      <c r="D90" s="87">
        <f t="shared" si="1"/>
        <v>33.927809469798774</v>
      </c>
      <c r="F90" s="75">
        <f t="shared" si="2"/>
        <v>3.8681421240983914E-2</v>
      </c>
      <c r="G90" s="88">
        <f t="shared" si="3"/>
        <v>0.3481327911688552</v>
      </c>
      <c r="I90" s="89">
        <f t="shared" si="4"/>
        <v>90</v>
      </c>
      <c r="J90" s="90">
        <f t="shared" si="5"/>
        <v>3053.5028522818898</v>
      </c>
    </row>
    <row r="91" spans="1:14" x14ac:dyDescent="0.55000000000000004">
      <c r="A91" s="15">
        <f>ROW()</f>
        <v>91</v>
      </c>
      <c r="B91" s="35">
        <v>10</v>
      </c>
      <c r="C91" s="91">
        <f>+$C$75*$C$76+C75</f>
        <v>1080</v>
      </c>
      <c r="D91" s="87">
        <f t="shared" si="1"/>
        <v>416.38675258389401</v>
      </c>
      <c r="F91" s="75">
        <f t="shared" si="2"/>
        <v>0.47472653341207527</v>
      </c>
      <c r="G91" s="88">
        <f t="shared" si="3"/>
        <v>4.7472653341207529</v>
      </c>
      <c r="I91" s="89">
        <f t="shared" si="4"/>
        <v>110</v>
      </c>
      <c r="J91" s="90">
        <f t="shared" si="5"/>
        <v>45802.542784228339</v>
      </c>
    </row>
    <row r="92" spans="1:14" ht="14.7" thickBot="1" x14ac:dyDescent="0.6">
      <c r="A92" s="15">
        <f>ROW()</f>
        <v>92</v>
      </c>
      <c r="F92" s="92">
        <f>SUM(F82:F91)</f>
        <v>1</v>
      </c>
      <c r="J92" s="90">
        <f>SUM(J82:J91)</f>
        <v>59585.152594294726</v>
      </c>
    </row>
    <row r="93" spans="1:14" ht="14.7" thickBot="1" x14ac:dyDescent="0.6">
      <c r="A93" s="15">
        <f>ROW()</f>
        <v>93</v>
      </c>
      <c r="C93" s="93" t="s">
        <v>152</v>
      </c>
      <c r="D93" s="94">
        <f>SUM(D82:D91)</f>
        <v>877.10865788590593</v>
      </c>
      <c r="F93" s="93" t="s">
        <v>153</v>
      </c>
      <c r="G93" s="95">
        <f>SUM(G82:G91)</f>
        <v>7.0439455548993717</v>
      </c>
      <c r="I93" s="96" t="s">
        <v>154</v>
      </c>
      <c r="J93" s="97">
        <f>+J92*(1/(D93*(1+C77)^2))</f>
        <v>56.143474723613508</v>
      </c>
    </row>
    <row r="94" spans="1:14" ht="13.75" customHeight="1" x14ac:dyDescent="0.55000000000000004">
      <c r="A94" s="15">
        <f>ROW()</f>
        <v>94</v>
      </c>
    </row>
    <row r="96" spans="1:14" x14ac:dyDescent="0.55000000000000004">
      <c r="A96" s="15">
        <f>ROW()</f>
        <v>96</v>
      </c>
      <c r="B96" s="54" t="s">
        <v>39</v>
      </c>
      <c r="C96" s="54" t="s">
        <v>50</v>
      </c>
      <c r="D96" s="54" t="s">
        <v>53</v>
      </c>
      <c r="E96" s="54" t="s">
        <v>57</v>
      </c>
      <c r="F96" s="54" t="s">
        <v>58</v>
      </c>
      <c r="G96" s="54" t="s">
        <v>59</v>
      </c>
      <c r="H96" s="54" t="s">
        <v>60</v>
      </c>
      <c r="I96" s="54" t="s">
        <v>61</v>
      </c>
      <c r="J96" s="54" t="s">
        <v>62</v>
      </c>
      <c r="K96" s="54" t="s">
        <v>63</v>
      </c>
      <c r="L96" s="54" t="s">
        <v>64</v>
      </c>
      <c r="M96" s="54" t="s">
        <v>65</v>
      </c>
      <c r="N96" s="54" t="s">
        <v>66</v>
      </c>
    </row>
    <row r="97" spans="1:15" ht="18.55" customHeight="1" thickBot="1" x14ac:dyDescent="0.65">
      <c r="A97" s="15">
        <f>ROW()</f>
        <v>97</v>
      </c>
      <c r="B97" s="55" t="s">
        <v>155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5" ht="15.6" thickBot="1" x14ac:dyDescent="0.6">
      <c r="A98" s="15">
        <f>ROW()</f>
        <v>98</v>
      </c>
      <c r="B98" s="98" t="s">
        <v>156</v>
      </c>
      <c r="K98" s="99" t="s">
        <v>157</v>
      </c>
      <c r="L98" s="100">
        <f>IRR(C112:C132)*2</f>
        <v>9.9999999999979661E-2</v>
      </c>
    </row>
    <row r="99" spans="1:15" ht="15.3" x14ac:dyDescent="0.55000000000000004">
      <c r="A99" s="15">
        <f>ROW()</f>
        <v>99</v>
      </c>
      <c r="B99" s="98"/>
      <c r="G99" s="101"/>
      <c r="L99" s="102"/>
    </row>
    <row r="100" spans="1:15" x14ac:dyDescent="0.55000000000000004">
      <c r="A100" s="15">
        <f>ROW()</f>
        <v>100</v>
      </c>
      <c r="B100" s="103" t="s">
        <v>135</v>
      </c>
      <c r="E100" s="104">
        <v>1000</v>
      </c>
      <c r="G100" s="101"/>
      <c r="I100" s="105" t="s">
        <v>158</v>
      </c>
      <c r="J100" s="105"/>
      <c r="K100" s="106">
        <v>0.01</v>
      </c>
      <c r="L100" s="105"/>
    </row>
    <row r="101" spans="1:15" x14ac:dyDescent="0.55000000000000004">
      <c r="A101" s="15">
        <f>ROW()</f>
        <v>101</v>
      </c>
      <c r="B101" s="103" t="s">
        <v>126</v>
      </c>
      <c r="E101" s="107">
        <v>0.08</v>
      </c>
      <c r="G101" s="108"/>
      <c r="I101" s="103" t="s">
        <v>159</v>
      </c>
      <c r="J101" s="103"/>
      <c r="K101" s="102">
        <f>-(E105+PV((E103+K100)/E104,E102*E104,E101*E100/E104,E100))</f>
        <v>-54.633633848524482</v>
      </c>
      <c r="L101" s="109">
        <f>+K101/E105</f>
        <v>-6.2411484299876405E-2</v>
      </c>
      <c r="N101" s="110"/>
    </row>
    <row r="102" spans="1:15" x14ac:dyDescent="0.55000000000000004">
      <c r="A102" s="15">
        <f>ROW()</f>
        <v>102</v>
      </c>
      <c r="B102" s="103" t="s">
        <v>160</v>
      </c>
      <c r="E102" s="111">
        <v>10</v>
      </c>
      <c r="G102" s="112"/>
      <c r="I102" s="103"/>
      <c r="J102" s="103"/>
      <c r="K102" s="103"/>
      <c r="L102" s="113"/>
      <c r="N102" s="114"/>
    </row>
    <row r="103" spans="1:15" x14ac:dyDescent="0.55000000000000004">
      <c r="A103" s="15">
        <f>ROW()</f>
        <v>103</v>
      </c>
      <c r="B103" s="103" t="s">
        <v>161</v>
      </c>
      <c r="E103" s="107">
        <v>0.1</v>
      </c>
      <c r="G103" s="115"/>
      <c r="I103" s="103" t="s">
        <v>162</v>
      </c>
      <c r="J103" s="103"/>
      <c r="K103" s="102">
        <f>(-E108*K100*E105)</f>
        <v>-57.027688662978989</v>
      </c>
      <c r="L103" s="102"/>
      <c r="N103" s="20"/>
    </row>
    <row r="104" spans="1:15" ht="14.7" thickBot="1" x14ac:dyDescent="0.6">
      <c r="A104" s="15">
        <f>ROW()</f>
        <v>104</v>
      </c>
      <c r="B104" s="103" t="s">
        <v>163</v>
      </c>
      <c r="E104" s="111">
        <v>2</v>
      </c>
      <c r="G104" s="116"/>
      <c r="I104" s="103" t="s">
        <v>164</v>
      </c>
      <c r="J104" s="103"/>
      <c r="K104" s="117">
        <f>0.5*E109*K100^2*E105</f>
        <v>2.2526421999533697</v>
      </c>
      <c r="L104" s="118"/>
      <c r="N104" s="20"/>
    </row>
    <row r="105" spans="1:15" ht="14.7" thickBot="1" x14ac:dyDescent="0.6">
      <c r="A105" s="15">
        <f>ROW()</f>
        <v>105</v>
      </c>
      <c r="B105" s="119" t="s">
        <v>165</v>
      </c>
      <c r="C105" s="120"/>
      <c r="D105" s="120"/>
      <c r="E105" s="121">
        <f>-PV(E103/E104,E102*E104,E101*E100/E104,E100)</f>
        <v>875.37789657460007</v>
      </c>
      <c r="G105" s="108">
        <v>2</v>
      </c>
      <c r="I105" s="103" t="s">
        <v>166</v>
      </c>
      <c r="J105" s="103"/>
      <c r="K105" s="122">
        <f>+K103+K104</f>
        <v>-54.775046463025618</v>
      </c>
      <c r="L105" s="110"/>
      <c r="N105" s="20"/>
      <c r="O105" s="110"/>
    </row>
    <row r="106" spans="1:15" ht="14.7" thickBot="1" x14ac:dyDescent="0.6">
      <c r="A106" s="15">
        <f>ROW()</f>
        <v>106</v>
      </c>
      <c r="G106" s="114"/>
      <c r="I106" s="103"/>
      <c r="J106" s="103"/>
      <c r="K106" s="103"/>
      <c r="L106" s="103"/>
      <c r="N106" s="20"/>
      <c r="O106" s="114"/>
    </row>
    <row r="107" spans="1:15" ht="14.7" thickBot="1" x14ac:dyDescent="0.6">
      <c r="A107" s="15">
        <f>ROW()</f>
        <v>107</v>
      </c>
      <c r="B107" s="119" t="s">
        <v>167</v>
      </c>
      <c r="C107" s="120"/>
      <c r="D107" s="120"/>
      <c r="E107" s="123">
        <f>+G135</f>
        <v>6.8403684089394892</v>
      </c>
      <c r="G107" s="114"/>
      <c r="I107" s="103" t="s">
        <v>168</v>
      </c>
      <c r="J107" s="103"/>
      <c r="K107" s="124">
        <f>-PV((E103+K100)/E104,E102*E104,E101*E100/E104,E100)</f>
        <v>820.74426272607559</v>
      </c>
      <c r="L107" s="101"/>
      <c r="N107" s="103"/>
      <c r="O107" s="20"/>
    </row>
    <row r="108" spans="1:15" ht="14.7" thickBot="1" x14ac:dyDescent="0.6">
      <c r="A108" s="15">
        <f>ROW()</f>
        <v>108</v>
      </c>
      <c r="B108" s="103" t="s">
        <v>169</v>
      </c>
      <c r="E108" s="125">
        <f>+E107/(1+E103/E104)</f>
        <v>6.51463657994237</v>
      </c>
      <c r="G108" s="114"/>
      <c r="I108" s="103" t="s">
        <v>170</v>
      </c>
      <c r="J108" s="103"/>
      <c r="K108" s="126">
        <f>+E105+K105</f>
        <v>820.60285011157441</v>
      </c>
      <c r="L108" s="127"/>
      <c r="M108" s="20"/>
      <c r="N108" s="103"/>
      <c r="O108" s="20"/>
    </row>
    <row r="109" spans="1:15" ht="14.7" thickBot="1" x14ac:dyDescent="0.6">
      <c r="A109" s="15">
        <f>ROW()</f>
        <v>109</v>
      </c>
      <c r="B109" s="119" t="s">
        <v>171</v>
      </c>
      <c r="C109" s="120"/>
      <c r="D109" s="120"/>
      <c r="E109" s="123">
        <f>+J135</f>
        <v>51.466737023360487</v>
      </c>
      <c r="G109" s="114"/>
      <c r="I109" s="103" t="s">
        <v>172</v>
      </c>
      <c r="J109" s="103"/>
      <c r="K109" s="124">
        <f>+K108-K107</f>
        <v>-0.14141261450117781</v>
      </c>
      <c r="L109" s="101"/>
      <c r="M109" s="20"/>
      <c r="N109" s="128"/>
      <c r="O109" s="20"/>
    </row>
    <row r="110" spans="1:15" ht="14.7" thickBot="1" x14ac:dyDescent="0.6">
      <c r="A110" s="15">
        <f>ROW()</f>
        <v>110</v>
      </c>
      <c r="B110" s="129"/>
      <c r="C110" s="129"/>
      <c r="D110" s="129"/>
      <c r="E110" s="103"/>
      <c r="F110" s="103"/>
      <c r="G110" s="103"/>
      <c r="H110" s="103"/>
      <c r="I110" s="103"/>
      <c r="J110" s="103"/>
      <c r="L110" s="20"/>
      <c r="M110" s="20"/>
      <c r="N110" s="130"/>
      <c r="O110" s="20"/>
    </row>
    <row r="111" spans="1:15" ht="28.5" thickBot="1" x14ac:dyDescent="0.6">
      <c r="A111" s="15">
        <f>ROW()</f>
        <v>111</v>
      </c>
      <c r="B111" s="131" t="s">
        <v>173</v>
      </c>
      <c r="C111" s="131" t="s">
        <v>174</v>
      </c>
      <c r="D111" s="131" t="s">
        <v>175</v>
      </c>
      <c r="E111" s="103"/>
      <c r="F111" s="132" t="s">
        <v>176</v>
      </c>
      <c r="G111" s="132" t="s">
        <v>177</v>
      </c>
      <c r="H111" s="103"/>
      <c r="I111" s="132" t="s">
        <v>178</v>
      </c>
      <c r="J111" s="132" t="s">
        <v>179</v>
      </c>
      <c r="M111" s="103"/>
      <c r="N111" s="130"/>
      <c r="O111" s="103"/>
    </row>
    <row r="112" spans="1:15" x14ac:dyDescent="0.55000000000000004">
      <c r="A112" s="15">
        <f>ROW()</f>
        <v>112</v>
      </c>
      <c r="B112" s="133">
        <v>0</v>
      </c>
      <c r="C112" s="134">
        <f>-E105</f>
        <v>-875.37789657460007</v>
      </c>
      <c r="D112" s="135"/>
      <c r="E112" s="103"/>
      <c r="H112" s="103"/>
      <c r="J112" s="103"/>
      <c r="M112" s="103"/>
      <c r="N112" s="136"/>
      <c r="O112" s="103"/>
    </row>
    <row r="113" spans="1:23" x14ac:dyDescent="0.55000000000000004">
      <c r="A113" s="15">
        <f>ROW()</f>
        <v>113</v>
      </c>
      <c r="B113" s="133">
        <v>1</v>
      </c>
      <c r="C113" s="135">
        <f t="shared" ref="C113:C131" si="6">+$E$100*$E$101/2</f>
        <v>40</v>
      </c>
      <c r="D113" s="125">
        <f t="shared" ref="D113:D132" si="7">+C113/(1+($E$103/2))^B113</f>
        <v>38.095238095238095</v>
      </c>
      <c r="E113" s="103"/>
      <c r="F113" s="137">
        <f t="shared" ref="F113:F132" si="8">+D113/$D$135</f>
        <v>4.3518620066038648E-2</v>
      </c>
      <c r="G113" s="138">
        <f t="shared" ref="G113:G132" si="9">+F113*B113</f>
        <v>4.3518620066038648E-2</v>
      </c>
      <c r="H113" s="103"/>
      <c r="I113" s="139">
        <f t="shared" ref="I113:I132" si="10">+B113+B113^2</f>
        <v>2</v>
      </c>
      <c r="J113" s="140">
        <f t="shared" ref="J113:J132" si="11">+I113*D113</f>
        <v>76.19047619047619</v>
      </c>
      <c r="M113" s="128"/>
      <c r="N113" s="103"/>
      <c r="O113" s="128"/>
    </row>
    <row r="114" spans="1:23" x14ac:dyDescent="0.55000000000000004">
      <c r="A114" s="15">
        <f>ROW()</f>
        <v>114</v>
      </c>
      <c r="B114" s="133">
        <v>2</v>
      </c>
      <c r="C114" s="135">
        <f t="shared" si="6"/>
        <v>40</v>
      </c>
      <c r="D114" s="125">
        <f t="shared" si="7"/>
        <v>36.281179138321995</v>
      </c>
      <c r="E114" s="125"/>
      <c r="F114" s="137">
        <f t="shared" si="8"/>
        <v>4.1446304824798712E-2</v>
      </c>
      <c r="G114" s="138">
        <f t="shared" si="9"/>
        <v>8.2892609649597424E-2</v>
      </c>
      <c r="H114" s="103"/>
      <c r="I114" s="139">
        <f t="shared" si="10"/>
        <v>6</v>
      </c>
      <c r="J114" s="140">
        <f t="shared" si="11"/>
        <v>217.68707482993199</v>
      </c>
      <c r="M114" s="128"/>
      <c r="N114" s="103"/>
      <c r="O114" s="130"/>
    </row>
    <row r="115" spans="1:23" x14ac:dyDescent="0.55000000000000004">
      <c r="A115" s="15">
        <f>ROW()</f>
        <v>115</v>
      </c>
      <c r="B115" s="133">
        <v>3</v>
      </c>
      <c r="C115" s="135">
        <f t="shared" si="6"/>
        <v>40</v>
      </c>
      <c r="D115" s="125">
        <f t="shared" si="7"/>
        <v>34.553503941259038</v>
      </c>
      <c r="E115" s="125"/>
      <c r="F115" s="137">
        <f t="shared" si="8"/>
        <v>3.9472671261713055E-2</v>
      </c>
      <c r="G115" s="138">
        <f t="shared" si="9"/>
        <v>0.11841801378513916</v>
      </c>
      <c r="H115" s="103"/>
      <c r="I115" s="139">
        <f t="shared" si="10"/>
        <v>12</v>
      </c>
      <c r="J115" s="140">
        <f t="shared" si="11"/>
        <v>414.64204729510845</v>
      </c>
      <c r="M115" s="128"/>
      <c r="N115" s="103"/>
      <c r="O115" s="130"/>
    </row>
    <row r="116" spans="1:23" x14ac:dyDescent="0.55000000000000004">
      <c r="A116" s="15">
        <f>ROW()</f>
        <v>116</v>
      </c>
      <c r="B116" s="133">
        <v>4</v>
      </c>
      <c r="C116" s="135">
        <f t="shared" si="6"/>
        <v>40</v>
      </c>
      <c r="D116" s="125">
        <f t="shared" si="7"/>
        <v>32.908098991675281</v>
      </c>
      <c r="E116" s="125"/>
      <c r="F116" s="137">
        <f t="shared" si="8"/>
        <v>3.7593020249250535E-2</v>
      </c>
      <c r="G116" s="138">
        <f t="shared" si="9"/>
        <v>0.15037208099700214</v>
      </c>
      <c r="H116" s="103"/>
      <c r="I116" s="139">
        <f t="shared" si="10"/>
        <v>20</v>
      </c>
      <c r="J116" s="140">
        <f t="shared" si="11"/>
        <v>658.1619798335056</v>
      </c>
      <c r="M116" s="128"/>
      <c r="N116" s="103"/>
      <c r="O116" s="136"/>
    </row>
    <row r="117" spans="1:23" x14ac:dyDescent="0.55000000000000004">
      <c r="A117" s="15">
        <f>ROW()</f>
        <v>117</v>
      </c>
      <c r="B117" s="133">
        <v>5</v>
      </c>
      <c r="C117" s="135">
        <f t="shared" si="6"/>
        <v>40</v>
      </c>
      <c r="D117" s="125">
        <f t="shared" si="7"/>
        <v>31.341046658738357</v>
      </c>
      <c r="E117" s="125"/>
      <c r="F117" s="137">
        <f t="shared" si="8"/>
        <v>3.5802876427857643E-2</v>
      </c>
      <c r="G117" s="138">
        <f t="shared" si="9"/>
        <v>0.17901438213928822</v>
      </c>
      <c r="H117" s="103"/>
      <c r="I117" s="139">
        <f t="shared" si="10"/>
        <v>30</v>
      </c>
      <c r="J117" s="140">
        <f t="shared" si="11"/>
        <v>940.23139976215066</v>
      </c>
      <c r="M117" s="128"/>
      <c r="N117" s="103"/>
      <c r="O117" s="103"/>
      <c r="P117" s="103"/>
      <c r="Q117" s="103"/>
    </row>
    <row r="118" spans="1:23" x14ac:dyDescent="0.55000000000000004">
      <c r="A118" s="15">
        <f>ROW()</f>
        <v>118</v>
      </c>
      <c r="B118" s="133">
        <v>6</v>
      </c>
      <c r="C118" s="135">
        <f t="shared" si="6"/>
        <v>40</v>
      </c>
      <c r="D118" s="125">
        <f t="shared" si="7"/>
        <v>29.848615865465106</v>
      </c>
      <c r="E118" s="125"/>
      <c r="F118" s="137">
        <f t="shared" si="8"/>
        <v>3.4097977550340622E-2</v>
      </c>
      <c r="G118" s="138">
        <f t="shared" si="9"/>
        <v>0.20458786530204373</v>
      </c>
      <c r="H118" s="103"/>
      <c r="I118" s="139">
        <f t="shared" si="10"/>
        <v>42</v>
      </c>
      <c r="J118" s="140">
        <f t="shared" si="11"/>
        <v>1253.6418663495344</v>
      </c>
      <c r="M118" s="128"/>
      <c r="N118" s="103"/>
      <c r="O118" s="103"/>
      <c r="P118" s="103"/>
      <c r="Q118" s="103"/>
      <c r="T118" s="140"/>
      <c r="U118" s="140"/>
      <c r="V118" s="140"/>
      <c r="W118" s="140"/>
    </row>
    <row r="119" spans="1:23" x14ac:dyDescent="0.55000000000000004">
      <c r="A119" s="15">
        <f>ROW()</f>
        <v>119</v>
      </c>
      <c r="B119" s="133">
        <v>7</v>
      </c>
      <c r="C119" s="135">
        <f t="shared" si="6"/>
        <v>40</v>
      </c>
      <c r="D119" s="125">
        <f t="shared" si="7"/>
        <v>28.42725320520486</v>
      </c>
      <c r="E119" s="125"/>
      <c r="F119" s="137">
        <f t="shared" si="8"/>
        <v>3.2474264333657729E-2</v>
      </c>
      <c r="G119" s="138">
        <f t="shared" si="9"/>
        <v>0.22731985033560409</v>
      </c>
      <c r="H119" s="103"/>
      <c r="I119" s="139">
        <f t="shared" si="10"/>
        <v>56</v>
      </c>
      <c r="J119" s="140">
        <f t="shared" si="11"/>
        <v>1591.9261794914721</v>
      </c>
      <c r="M119" s="128"/>
      <c r="N119" s="103"/>
      <c r="O119" s="103"/>
      <c r="P119" s="103"/>
      <c r="Q119" s="103"/>
    </row>
    <row r="120" spans="1:23" x14ac:dyDescent="0.55000000000000004">
      <c r="A120" s="15">
        <f>ROW()</f>
        <v>120</v>
      </c>
      <c r="B120" s="133">
        <v>8</v>
      </c>
      <c r="C120" s="135">
        <f t="shared" si="6"/>
        <v>40</v>
      </c>
      <c r="D120" s="125">
        <f t="shared" si="7"/>
        <v>27.073574481147489</v>
      </c>
      <c r="E120" s="125"/>
      <c r="F120" s="137">
        <f t="shared" si="8"/>
        <v>3.0927870793959745E-2</v>
      </c>
      <c r="G120" s="138">
        <f t="shared" si="9"/>
        <v>0.24742296635167796</v>
      </c>
      <c r="H120" s="103"/>
      <c r="I120" s="139">
        <f t="shared" si="10"/>
        <v>72</v>
      </c>
      <c r="J120" s="140">
        <f t="shared" si="11"/>
        <v>1949.2973626426192</v>
      </c>
      <c r="M120" s="128"/>
      <c r="N120" s="103"/>
      <c r="O120" s="103"/>
      <c r="P120" s="103"/>
      <c r="Q120" s="103"/>
    </row>
    <row r="121" spans="1:23" x14ac:dyDescent="0.55000000000000004">
      <c r="A121" s="15">
        <f>ROW()</f>
        <v>121</v>
      </c>
      <c r="B121" s="133">
        <v>9</v>
      </c>
      <c r="C121" s="135">
        <f t="shared" si="6"/>
        <v>40</v>
      </c>
      <c r="D121" s="125">
        <f t="shared" si="7"/>
        <v>25.784356648711892</v>
      </c>
      <c r="E121" s="125"/>
      <c r="F121" s="137">
        <f t="shared" si="8"/>
        <v>2.9455115041866424E-2</v>
      </c>
      <c r="G121" s="138">
        <f t="shared" si="9"/>
        <v>0.26509603537679782</v>
      </c>
      <c r="H121" s="103"/>
      <c r="I121" s="139">
        <f t="shared" si="10"/>
        <v>90</v>
      </c>
      <c r="J121" s="140">
        <f t="shared" si="11"/>
        <v>2320.5920983840701</v>
      </c>
      <c r="M121" s="128"/>
      <c r="N121" s="103"/>
      <c r="O121" s="103"/>
      <c r="P121" s="103"/>
      <c r="Q121" s="103"/>
    </row>
    <row r="122" spans="1:23" x14ac:dyDescent="0.55000000000000004">
      <c r="A122" s="15">
        <f>ROW()</f>
        <v>122</v>
      </c>
      <c r="B122" s="133">
        <v>10</v>
      </c>
      <c r="C122" s="135">
        <f t="shared" si="6"/>
        <v>40</v>
      </c>
      <c r="D122" s="125">
        <f t="shared" si="7"/>
        <v>24.556530141630372</v>
      </c>
      <c r="E122" s="125"/>
      <c r="F122" s="137">
        <f t="shared" si="8"/>
        <v>2.8052490516063257E-2</v>
      </c>
      <c r="G122" s="138">
        <f t="shared" si="9"/>
        <v>0.28052490516063255</v>
      </c>
      <c r="H122" s="103"/>
      <c r="I122" s="139">
        <f t="shared" si="10"/>
        <v>110</v>
      </c>
      <c r="J122" s="140">
        <f t="shared" si="11"/>
        <v>2701.2183155793409</v>
      </c>
      <c r="M122" s="128"/>
      <c r="N122" s="103"/>
      <c r="O122" s="103"/>
      <c r="P122" s="103"/>
      <c r="Q122" s="103"/>
    </row>
    <row r="123" spans="1:23" x14ac:dyDescent="0.55000000000000004">
      <c r="A123" s="15">
        <f>ROW()</f>
        <v>123</v>
      </c>
      <c r="B123" s="133">
        <v>11</v>
      </c>
      <c r="C123" s="135">
        <f t="shared" si="6"/>
        <v>40</v>
      </c>
      <c r="D123" s="125">
        <f t="shared" si="7"/>
        <v>23.387171563457496</v>
      </c>
      <c r="E123" s="125"/>
      <c r="F123" s="137">
        <f t="shared" si="8"/>
        <v>2.6716657634345959E-2</v>
      </c>
      <c r="G123" s="138">
        <f t="shared" si="9"/>
        <v>0.29388323397780552</v>
      </c>
      <c r="H123" s="103"/>
      <c r="I123" s="139">
        <f t="shared" si="10"/>
        <v>132</v>
      </c>
      <c r="J123" s="140">
        <f t="shared" si="11"/>
        <v>3087.1066463763896</v>
      </c>
      <c r="M123" s="128"/>
      <c r="N123" s="103"/>
      <c r="O123" s="103"/>
      <c r="P123" s="103"/>
      <c r="Q123" s="103"/>
    </row>
    <row r="124" spans="1:23" x14ac:dyDescent="0.55000000000000004">
      <c r="A124" s="15">
        <f>ROW()</f>
        <v>124</v>
      </c>
      <c r="B124" s="133">
        <v>12</v>
      </c>
      <c r="C124" s="135">
        <f t="shared" si="6"/>
        <v>40</v>
      </c>
      <c r="D124" s="125">
        <f t="shared" si="7"/>
        <v>22.27349672710238</v>
      </c>
      <c r="E124" s="125"/>
      <c r="F124" s="137">
        <f t="shared" si="8"/>
        <v>2.5444435842234249E-2</v>
      </c>
      <c r="G124" s="138">
        <f t="shared" si="9"/>
        <v>0.30533323010681102</v>
      </c>
      <c r="H124" s="103"/>
      <c r="I124" s="139">
        <f t="shared" si="10"/>
        <v>156</v>
      </c>
      <c r="J124" s="140">
        <f t="shared" si="11"/>
        <v>3474.6654894279714</v>
      </c>
      <c r="M124" s="128"/>
      <c r="N124" s="103"/>
      <c r="O124" s="103"/>
      <c r="P124" s="103"/>
      <c r="Q124" s="103"/>
    </row>
    <row r="125" spans="1:23" x14ac:dyDescent="0.55000000000000004">
      <c r="A125" s="15">
        <f>ROW()</f>
        <v>125</v>
      </c>
      <c r="B125" s="133">
        <v>13</v>
      </c>
      <c r="C125" s="135">
        <f t="shared" si="6"/>
        <v>40</v>
      </c>
      <c r="D125" s="125">
        <f t="shared" si="7"/>
        <v>21.212854025811787</v>
      </c>
      <c r="E125" s="125"/>
      <c r="F125" s="137">
        <f t="shared" si="8"/>
        <v>2.423279604022309E-2</v>
      </c>
      <c r="G125" s="138">
        <f t="shared" si="9"/>
        <v>0.31502634852290018</v>
      </c>
      <c r="H125" s="103"/>
      <c r="I125" s="139">
        <f t="shared" si="10"/>
        <v>182</v>
      </c>
      <c r="J125" s="140">
        <f t="shared" si="11"/>
        <v>3860.7394326977451</v>
      </c>
      <c r="M125" s="128"/>
      <c r="N125" s="103"/>
      <c r="O125" s="103"/>
      <c r="P125" s="103"/>
      <c r="Q125" s="103"/>
    </row>
    <row r="126" spans="1:23" x14ac:dyDescent="0.55000000000000004">
      <c r="A126" s="15">
        <f>ROW()</f>
        <v>126</v>
      </c>
      <c r="B126" s="133">
        <v>14</v>
      </c>
      <c r="C126" s="135">
        <f t="shared" si="6"/>
        <v>40</v>
      </c>
      <c r="D126" s="125">
        <f t="shared" si="7"/>
        <v>20.202718119820755</v>
      </c>
      <c r="E126" s="125"/>
      <c r="F126" s="137">
        <f t="shared" si="8"/>
        <v>2.3078853371641044E-2</v>
      </c>
      <c r="G126" s="138">
        <f t="shared" si="9"/>
        <v>0.32310394720297464</v>
      </c>
      <c r="H126" s="103"/>
      <c r="I126" s="139">
        <f t="shared" si="10"/>
        <v>210</v>
      </c>
      <c r="J126" s="140">
        <f t="shared" si="11"/>
        <v>4242.5708051623587</v>
      </c>
      <c r="M126" s="128"/>
      <c r="N126" s="103"/>
      <c r="O126" s="103"/>
      <c r="P126" s="103"/>
      <c r="Q126" s="103"/>
    </row>
    <row r="127" spans="1:23" ht="15.75" customHeight="1" x14ac:dyDescent="0.55000000000000004">
      <c r="A127" s="15">
        <f>ROW()</f>
        <v>127</v>
      </c>
      <c r="B127" s="133">
        <v>15</v>
      </c>
      <c r="C127" s="135">
        <f t="shared" si="6"/>
        <v>40</v>
      </c>
      <c r="D127" s="125">
        <f t="shared" si="7"/>
        <v>19.240683923638809</v>
      </c>
      <c r="E127" s="125"/>
      <c r="F127" s="137">
        <f t="shared" si="8"/>
        <v>2.1979860353943847E-2</v>
      </c>
      <c r="G127" s="138">
        <f t="shared" si="9"/>
        <v>0.32969790530915771</v>
      </c>
      <c r="H127" s="103"/>
      <c r="I127" s="139">
        <f t="shared" si="10"/>
        <v>240</v>
      </c>
      <c r="J127" s="140">
        <f t="shared" si="11"/>
        <v>4617.764141673314</v>
      </c>
      <c r="M127" s="128"/>
      <c r="N127" s="103"/>
      <c r="O127" s="103"/>
      <c r="P127" s="103"/>
      <c r="Q127" s="103"/>
    </row>
    <row r="128" spans="1:23" ht="15.75" customHeight="1" x14ac:dyDescent="0.55000000000000004">
      <c r="A128" s="15">
        <f>ROW()</f>
        <v>128</v>
      </c>
      <c r="B128" s="133">
        <v>16</v>
      </c>
      <c r="C128" s="135">
        <f t="shared" si="6"/>
        <v>40</v>
      </c>
      <c r="D128" s="125">
        <f t="shared" si="7"/>
        <v>18.324460879656009</v>
      </c>
      <c r="E128" s="125"/>
      <c r="F128" s="137">
        <f t="shared" si="8"/>
        <v>2.0933200337089376E-2</v>
      </c>
      <c r="G128" s="138">
        <f t="shared" si="9"/>
        <v>0.33493120539343002</v>
      </c>
      <c r="H128" s="103"/>
      <c r="I128" s="139">
        <f t="shared" si="10"/>
        <v>272</v>
      </c>
      <c r="J128" s="140">
        <f t="shared" si="11"/>
        <v>4984.253359266434</v>
      </c>
      <c r="M128" s="128"/>
      <c r="N128" s="103"/>
      <c r="O128" s="103"/>
      <c r="P128" s="103"/>
      <c r="Q128" s="103"/>
    </row>
    <row r="129" spans="1:46" x14ac:dyDescent="0.55000000000000004">
      <c r="A129" s="15">
        <f>ROW()</f>
        <v>129</v>
      </c>
      <c r="B129" s="133">
        <v>17</v>
      </c>
      <c r="C129" s="135">
        <f t="shared" si="6"/>
        <v>40</v>
      </c>
      <c r="D129" s="125">
        <f t="shared" si="7"/>
        <v>17.451867504434293</v>
      </c>
      <c r="E129" s="125"/>
      <c r="F129" s="137">
        <f t="shared" si="8"/>
        <v>1.9936381273418454E-2</v>
      </c>
      <c r="G129" s="138">
        <f t="shared" si="9"/>
        <v>0.33891848164811372</v>
      </c>
      <c r="H129" s="103"/>
      <c r="I129" s="139">
        <f t="shared" si="10"/>
        <v>306</v>
      </c>
      <c r="J129" s="140">
        <f t="shared" si="11"/>
        <v>5340.2714563568934</v>
      </c>
      <c r="M129" s="128"/>
      <c r="N129" s="103"/>
      <c r="O129" s="103"/>
      <c r="P129" s="103"/>
      <c r="Q129" s="103"/>
    </row>
    <row r="130" spans="1:46" x14ac:dyDescent="0.55000000000000004">
      <c r="A130" s="15">
        <f>ROW()</f>
        <v>130</v>
      </c>
      <c r="B130" s="133">
        <v>18</v>
      </c>
      <c r="C130" s="135">
        <f t="shared" si="6"/>
        <v>40</v>
      </c>
      <c r="D130" s="125">
        <f t="shared" si="7"/>
        <v>16.620826194699326</v>
      </c>
      <c r="E130" s="125"/>
      <c r="F130" s="137">
        <f t="shared" si="8"/>
        <v>1.8987029784208052E-2</v>
      </c>
      <c r="G130" s="138">
        <f t="shared" si="9"/>
        <v>0.34176653611574492</v>
      </c>
      <c r="H130" s="103"/>
      <c r="I130" s="139">
        <f t="shared" si="10"/>
        <v>342</v>
      </c>
      <c r="J130" s="140">
        <f t="shared" si="11"/>
        <v>5684.3225585871696</v>
      </c>
      <c r="M130" s="128"/>
      <c r="O130" s="103"/>
      <c r="P130" s="103"/>
      <c r="Q130" s="103"/>
    </row>
    <row r="131" spans="1:46" x14ac:dyDescent="0.55000000000000004">
      <c r="A131" s="15">
        <f>ROW()</f>
        <v>131</v>
      </c>
      <c r="B131" s="133">
        <v>19</v>
      </c>
      <c r="C131" s="135">
        <f t="shared" si="6"/>
        <v>40</v>
      </c>
      <c r="D131" s="125">
        <f t="shared" si="7"/>
        <v>15.829358280666025</v>
      </c>
      <c r="E131" s="125"/>
      <c r="F131" s="137">
        <f t="shared" si="8"/>
        <v>1.8082885508769572E-2</v>
      </c>
      <c r="G131" s="138">
        <f t="shared" si="9"/>
        <v>0.34357482466662187</v>
      </c>
      <c r="H131" s="103"/>
      <c r="I131" s="139">
        <f t="shared" si="10"/>
        <v>380</v>
      </c>
      <c r="J131" s="140">
        <f t="shared" si="11"/>
        <v>6015.1561466530893</v>
      </c>
      <c r="M131" s="128"/>
      <c r="O131" s="103"/>
      <c r="P131" s="103"/>
      <c r="Q131" s="103"/>
    </row>
    <row r="132" spans="1:46" x14ac:dyDescent="0.55000000000000004">
      <c r="A132" s="15">
        <f>ROW()</f>
        <v>132</v>
      </c>
      <c r="B132" s="133">
        <v>20</v>
      </c>
      <c r="C132" s="135">
        <f>+$E$100*$E$101/2+$E$100</f>
        <v>1040</v>
      </c>
      <c r="D132" s="141">
        <f t="shared" si="7"/>
        <v>391.96506218792064</v>
      </c>
      <c r="E132" s="125"/>
      <c r="F132" s="137">
        <f t="shared" si="8"/>
        <v>0.44776668878857989</v>
      </c>
      <c r="G132" s="142">
        <f t="shared" si="9"/>
        <v>8.9553337757715976</v>
      </c>
      <c r="H132" s="103"/>
      <c r="I132" s="139">
        <f t="shared" si="10"/>
        <v>420</v>
      </c>
      <c r="J132" s="143">
        <f t="shared" si="11"/>
        <v>164625.32611892666</v>
      </c>
      <c r="M132" s="128"/>
      <c r="O132" s="103"/>
      <c r="P132" s="103"/>
      <c r="Q132" s="103"/>
    </row>
    <row r="133" spans="1:46" x14ac:dyDescent="0.55000000000000004">
      <c r="A133" s="15">
        <f>ROW()</f>
        <v>133</v>
      </c>
      <c r="B133" s="133"/>
      <c r="C133" s="144"/>
      <c r="E133" s="125"/>
      <c r="F133" s="137">
        <f>SUM(F112:F132)</f>
        <v>1</v>
      </c>
      <c r="G133" s="138">
        <f>SUM(G113:G132)</f>
        <v>13.680736817878978</v>
      </c>
      <c r="H133" s="103"/>
      <c r="I133" s="139"/>
      <c r="J133" s="140">
        <f>SUM(J112:J132)</f>
        <v>218055.76495548623</v>
      </c>
      <c r="M133" s="145"/>
      <c r="O133" s="103"/>
      <c r="P133" s="103"/>
      <c r="Q133" s="103"/>
    </row>
    <row r="134" spans="1:46" ht="14.7" thickBot="1" x14ac:dyDescent="0.6">
      <c r="A134" s="15"/>
      <c r="B134" s="133"/>
      <c r="C134" s="144"/>
      <c r="E134" s="125"/>
      <c r="F134" s="137"/>
      <c r="G134" s="138"/>
      <c r="H134" s="103"/>
      <c r="I134" s="139"/>
      <c r="J134" s="140"/>
      <c r="M134" s="145"/>
      <c r="P134" s="103"/>
      <c r="Q134" s="103"/>
      <c r="AP134" s="36" t="s">
        <v>180</v>
      </c>
    </row>
    <row r="135" spans="1:46" ht="14.7" thickBot="1" x14ac:dyDescent="0.6">
      <c r="A135" s="15">
        <f>ROW()</f>
        <v>135</v>
      </c>
      <c r="C135" s="93" t="s">
        <v>181</v>
      </c>
      <c r="D135" s="146">
        <f>SUM(D112:D132)</f>
        <v>875.37789657460007</v>
      </c>
      <c r="E135" s="125"/>
      <c r="F135" s="96" t="s">
        <v>182</v>
      </c>
      <c r="G135" s="147">
        <f>+G133/2</f>
        <v>6.8403684089394892</v>
      </c>
      <c r="H135" s="103"/>
      <c r="I135" s="96" t="s">
        <v>183</v>
      </c>
      <c r="J135" s="123">
        <f>+((J133/((1+E103)^2))/(D135*E104^2))</f>
        <v>51.466737023360487</v>
      </c>
      <c r="M135" s="148"/>
      <c r="P135" s="103"/>
      <c r="Q135" s="103"/>
    </row>
    <row r="136" spans="1:46" x14ac:dyDescent="0.55000000000000004">
      <c r="D136" s="135"/>
      <c r="F136" s="125"/>
      <c r="I136" s="103"/>
      <c r="P136" s="103"/>
      <c r="Q136" s="103"/>
      <c r="AP136" s="149"/>
      <c r="AT136" s="150"/>
    </row>
    <row r="137" spans="1:46" x14ac:dyDescent="0.55000000000000004">
      <c r="A137" s="15">
        <f>ROW()</f>
        <v>137</v>
      </c>
      <c r="B137" s="54" t="s">
        <v>39</v>
      </c>
      <c r="C137" s="54" t="s">
        <v>50</v>
      </c>
      <c r="D137" s="54" t="s">
        <v>53</v>
      </c>
      <c r="E137" s="54" t="s">
        <v>57</v>
      </c>
      <c r="F137" s="54" t="s">
        <v>58</v>
      </c>
      <c r="G137" s="54" t="s">
        <v>59</v>
      </c>
      <c r="H137" s="54" t="s">
        <v>60</v>
      </c>
      <c r="I137" s="54" t="s">
        <v>61</v>
      </c>
      <c r="J137" s="54" t="s">
        <v>62</v>
      </c>
      <c r="K137" s="54" t="s">
        <v>63</v>
      </c>
      <c r="L137" s="54" t="s">
        <v>64</v>
      </c>
      <c r="M137" s="54" t="s">
        <v>65</v>
      </c>
      <c r="N137" s="54" t="s">
        <v>66</v>
      </c>
      <c r="P137" s="103"/>
      <c r="Q137" s="103"/>
      <c r="AP137" s="149"/>
      <c r="AT137" s="150"/>
    </row>
    <row r="138" spans="1:46" ht="17.7" x14ac:dyDescent="0.6">
      <c r="A138" s="15">
        <f>ROW()</f>
        <v>138</v>
      </c>
      <c r="B138" s="55" t="s">
        <v>184</v>
      </c>
      <c r="C138" s="18"/>
      <c r="D138" s="18"/>
      <c r="E138" s="18"/>
      <c r="F138" s="18"/>
      <c r="G138" s="18"/>
      <c r="H138" s="18"/>
      <c r="I138" s="18"/>
      <c r="J138" s="18"/>
      <c r="K138" s="55" t="s">
        <v>185</v>
      </c>
      <c r="L138" s="18"/>
      <c r="M138" s="18"/>
      <c r="N138" s="18"/>
      <c r="P138" s="103"/>
      <c r="Q138" s="103"/>
      <c r="AP138" s="149"/>
      <c r="AT138" s="150"/>
    </row>
    <row r="139" spans="1:46" x14ac:dyDescent="0.55000000000000004">
      <c r="A139" s="15">
        <f>ROW()</f>
        <v>139</v>
      </c>
      <c r="B139" t="s">
        <v>186</v>
      </c>
      <c r="C139" s="77">
        <v>1000</v>
      </c>
      <c r="E139" t="s">
        <v>187</v>
      </c>
      <c r="G139" s="151">
        <f>+C140/2</f>
        <v>0.04</v>
      </c>
      <c r="P139" s="103"/>
      <c r="AP139" s="149"/>
      <c r="AT139" s="150"/>
    </row>
    <row r="140" spans="1:46" x14ac:dyDescent="0.55000000000000004">
      <c r="A140" s="15">
        <f>ROW()</f>
        <v>140</v>
      </c>
      <c r="B140" t="s">
        <v>188</v>
      </c>
      <c r="C140" s="75">
        <v>0.08</v>
      </c>
      <c r="E140" t="s">
        <v>189</v>
      </c>
      <c r="G140" s="76">
        <f>+C140*$C$139/2</f>
        <v>40</v>
      </c>
      <c r="H140" t="s">
        <v>190</v>
      </c>
      <c r="K140" t="s">
        <v>101</v>
      </c>
      <c r="M140" s="58">
        <f>DATE(2000,1,1)</f>
        <v>36526</v>
      </c>
      <c r="P140" s="103"/>
      <c r="AP140" s="149"/>
      <c r="AT140" s="150"/>
    </row>
    <row r="141" spans="1:46" x14ac:dyDescent="0.55000000000000004">
      <c r="A141" s="15">
        <f>ROW()</f>
        <v>141</v>
      </c>
      <c r="B141" t="s">
        <v>191</v>
      </c>
      <c r="C141">
        <v>20</v>
      </c>
      <c r="D141" t="s">
        <v>192</v>
      </c>
      <c r="E141" t="s">
        <v>193</v>
      </c>
      <c r="G141">
        <f>+C141*2</f>
        <v>40</v>
      </c>
      <c r="H141" t="s">
        <v>194</v>
      </c>
      <c r="K141" t="s">
        <v>102</v>
      </c>
      <c r="M141" s="58">
        <f>DATE(2010,1,1)</f>
        <v>40179</v>
      </c>
      <c r="P141" s="103"/>
      <c r="AP141" s="149"/>
      <c r="AT141" s="150"/>
    </row>
    <row r="142" spans="1:46" x14ac:dyDescent="0.55000000000000004">
      <c r="A142" s="15">
        <f>ROW()</f>
        <v>142</v>
      </c>
      <c r="K142" t="s">
        <v>103</v>
      </c>
      <c r="M142" s="24">
        <v>0.08</v>
      </c>
      <c r="P142" s="103"/>
      <c r="AP142" s="149"/>
      <c r="AT142" s="150"/>
    </row>
    <row r="143" spans="1:46" x14ac:dyDescent="0.55000000000000004">
      <c r="A143" s="15">
        <f>ROW()</f>
        <v>143</v>
      </c>
      <c r="B143" t="s">
        <v>195</v>
      </c>
      <c r="E143" s="152">
        <f>PV(C140/2,G141,-G140)</f>
        <v>791.71095533705898</v>
      </c>
      <c r="F143" s="153" t="s">
        <v>196</v>
      </c>
      <c r="K143" t="s">
        <v>197</v>
      </c>
      <c r="M143">
        <v>110</v>
      </c>
      <c r="P143" s="103"/>
    </row>
    <row r="144" spans="1:46" x14ac:dyDescent="0.55000000000000004">
      <c r="A144" s="15">
        <f>ROW()</f>
        <v>144</v>
      </c>
      <c r="B144" t="s">
        <v>198</v>
      </c>
      <c r="E144" s="152">
        <f>PV(C140/2,G141,0,-C139,0)</f>
        <v>208.28904466294102</v>
      </c>
      <c r="F144" s="153" t="s">
        <v>199</v>
      </c>
      <c r="K144" t="s">
        <v>200</v>
      </c>
      <c r="M144">
        <v>100</v>
      </c>
      <c r="P144" s="103"/>
    </row>
    <row r="145" spans="1:13" ht="14.7" thickBot="1" x14ac:dyDescent="0.6">
      <c r="A145" s="15">
        <f>ROW()</f>
        <v>145</v>
      </c>
      <c r="B145" t="s">
        <v>201</v>
      </c>
      <c r="E145" s="154">
        <f>SUM(E143:E144)</f>
        <v>1000</v>
      </c>
      <c r="F145" s="152"/>
      <c r="K145" t="s">
        <v>202</v>
      </c>
      <c r="M145">
        <v>2</v>
      </c>
    </row>
    <row r="146" spans="1:13" ht="14.7" thickTop="1" x14ac:dyDescent="0.55000000000000004">
      <c r="A146" s="15">
        <f>ROW()</f>
        <v>146</v>
      </c>
    </row>
    <row r="147" spans="1:13" x14ac:dyDescent="0.55000000000000004">
      <c r="A147" s="15">
        <f>ROW()</f>
        <v>147</v>
      </c>
      <c r="B147" t="s">
        <v>203</v>
      </c>
      <c r="C147" s="7"/>
      <c r="D147" s="155">
        <f>NPV($C$140/2,D152:D191)</f>
        <v>999.99999999999909</v>
      </c>
      <c r="E147" s="155">
        <f>NPV($C$140/2,E152:E191)</f>
        <v>0</v>
      </c>
      <c r="F147" s="155">
        <f>NPV($C$140/2,F152:F191)</f>
        <v>999.99999999999909</v>
      </c>
      <c r="K147" t="s">
        <v>104</v>
      </c>
      <c r="M147" s="156">
        <f>YIELD(M140,M141,M142,M143,M144,M145)</f>
        <v>6.6170485461349668E-2</v>
      </c>
    </row>
    <row r="148" spans="1:13" ht="14.7" thickBot="1" x14ac:dyDescent="0.6">
      <c r="A148" s="15">
        <f>ROW()</f>
        <v>148</v>
      </c>
      <c r="D148" s="157"/>
      <c r="E148" s="27"/>
      <c r="F148" s="27"/>
    </row>
    <row r="149" spans="1:13" ht="14.7" thickBot="1" x14ac:dyDescent="0.6">
      <c r="A149" s="15">
        <f>ROW()</f>
        <v>149</v>
      </c>
      <c r="C149" s="158" t="s">
        <v>204</v>
      </c>
      <c r="D149" s="159"/>
      <c r="E149" s="159"/>
      <c r="F149" s="160"/>
      <c r="J149" s="158" t="s">
        <v>204</v>
      </c>
      <c r="K149" s="159"/>
      <c r="L149" s="159"/>
      <c r="M149" s="160"/>
    </row>
    <row r="150" spans="1:13" ht="25.8" thickBot="1" x14ac:dyDescent="0.6">
      <c r="A150" s="15">
        <f>ROW()</f>
        <v>150</v>
      </c>
      <c r="C150" s="161" t="s">
        <v>173</v>
      </c>
      <c r="D150" s="162" t="s">
        <v>205</v>
      </c>
      <c r="E150" s="162" t="s">
        <v>206</v>
      </c>
      <c r="F150" s="163" t="s">
        <v>207</v>
      </c>
      <c r="J150" s="161" t="s">
        <v>173</v>
      </c>
      <c r="K150" s="162" t="s">
        <v>205</v>
      </c>
      <c r="L150" s="162" t="s">
        <v>206</v>
      </c>
      <c r="M150" s="163" t="s">
        <v>207</v>
      </c>
    </row>
    <row r="151" spans="1:13" x14ac:dyDescent="0.55000000000000004">
      <c r="A151" s="15">
        <f>ROW()</f>
        <v>151</v>
      </c>
      <c r="C151" s="164">
        <v>0</v>
      </c>
      <c r="D151" s="165"/>
      <c r="E151" s="165"/>
      <c r="F151" s="166">
        <f>-C139</f>
        <v>-1000</v>
      </c>
      <c r="J151" s="164">
        <v>0</v>
      </c>
      <c r="K151" s="165"/>
      <c r="L151" s="165"/>
      <c r="M151" s="166">
        <f>-M143*10</f>
        <v>-1100</v>
      </c>
    </row>
    <row r="152" spans="1:13" x14ac:dyDescent="0.55000000000000004">
      <c r="A152" s="15">
        <f>ROW()</f>
        <v>152</v>
      </c>
      <c r="C152" s="167">
        <v>1</v>
      </c>
      <c r="D152" s="76">
        <f t="shared" ref="D152:D190" si="12">+$G$140</f>
        <v>40</v>
      </c>
      <c r="E152" s="77">
        <v>0</v>
      </c>
      <c r="F152" s="168">
        <f t="shared" ref="F152:F191" si="13">+E152+D152</f>
        <v>40</v>
      </c>
      <c r="J152" s="167">
        <v>1</v>
      </c>
      <c r="K152" s="76">
        <f t="shared" ref="K152:K171" si="14">+$M$142/2*1000</f>
        <v>40</v>
      </c>
      <c r="L152" s="77">
        <v>0</v>
      </c>
      <c r="M152" s="168">
        <f>+L152+K152</f>
        <v>40</v>
      </c>
    </row>
    <row r="153" spans="1:13" x14ac:dyDescent="0.55000000000000004">
      <c r="A153" s="15">
        <f>ROW()</f>
        <v>153</v>
      </c>
      <c r="C153" s="167">
        <f t="shared" ref="C153:C191" si="15">+C152+1</f>
        <v>2</v>
      </c>
      <c r="D153" s="76">
        <f t="shared" si="12"/>
        <v>40</v>
      </c>
      <c r="E153" s="77">
        <v>0</v>
      </c>
      <c r="F153" s="168">
        <f t="shared" si="13"/>
        <v>40</v>
      </c>
      <c r="J153" s="167">
        <f>+J152+1</f>
        <v>2</v>
      </c>
      <c r="K153" s="76">
        <f t="shared" si="14"/>
        <v>40</v>
      </c>
      <c r="L153" s="77">
        <v>0</v>
      </c>
      <c r="M153" s="168">
        <f t="shared" ref="M153:M171" si="16">+L153+K153</f>
        <v>40</v>
      </c>
    </row>
    <row r="154" spans="1:13" x14ac:dyDescent="0.55000000000000004">
      <c r="A154" s="15">
        <f>ROW()</f>
        <v>154</v>
      </c>
      <c r="C154" s="167">
        <f t="shared" si="15"/>
        <v>3</v>
      </c>
      <c r="D154" s="76">
        <f t="shared" si="12"/>
        <v>40</v>
      </c>
      <c r="E154" s="77">
        <v>0</v>
      </c>
      <c r="F154" s="168">
        <f t="shared" si="13"/>
        <v>40</v>
      </c>
      <c r="J154" s="167">
        <f t="shared" ref="J154:J171" si="17">+J153+1</f>
        <v>3</v>
      </c>
      <c r="K154" s="76">
        <f t="shared" si="14"/>
        <v>40</v>
      </c>
      <c r="L154" s="77">
        <v>0</v>
      </c>
      <c r="M154" s="168">
        <f t="shared" si="16"/>
        <v>40</v>
      </c>
    </row>
    <row r="155" spans="1:13" x14ac:dyDescent="0.55000000000000004">
      <c r="A155" s="15">
        <f>ROW()</f>
        <v>155</v>
      </c>
      <c r="C155" s="167">
        <f t="shared" si="15"/>
        <v>4</v>
      </c>
      <c r="D155" s="76">
        <f t="shared" si="12"/>
        <v>40</v>
      </c>
      <c r="E155" s="77">
        <v>0</v>
      </c>
      <c r="F155" s="168">
        <f t="shared" si="13"/>
        <v>40</v>
      </c>
      <c r="J155" s="167">
        <f t="shared" si="17"/>
        <v>4</v>
      </c>
      <c r="K155" s="76">
        <f t="shared" si="14"/>
        <v>40</v>
      </c>
      <c r="L155" s="77">
        <v>0</v>
      </c>
      <c r="M155" s="168">
        <f t="shared" si="16"/>
        <v>40</v>
      </c>
    </row>
    <row r="156" spans="1:13" x14ac:dyDescent="0.55000000000000004">
      <c r="A156" s="15">
        <f>ROW()</f>
        <v>156</v>
      </c>
      <c r="C156" s="167">
        <f t="shared" si="15"/>
        <v>5</v>
      </c>
      <c r="D156" s="76">
        <f t="shared" si="12"/>
        <v>40</v>
      </c>
      <c r="E156" s="77">
        <v>0</v>
      </c>
      <c r="F156" s="168">
        <f t="shared" si="13"/>
        <v>40</v>
      </c>
      <c r="J156" s="167">
        <f t="shared" si="17"/>
        <v>5</v>
      </c>
      <c r="K156" s="76">
        <f t="shared" si="14"/>
        <v>40</v>
      </c>
      <c r="L156" s="77">
        <v>0</v>
      </c>
      <c r="M156" s="168">
        <f t="shared" si="16"/>
        <v>40</v>
      </c>
    </row>
    <row r="157" spans="1:13" x14ac:dyDescent="0.55000000000000004">
      <c r="A157" s="15">
        <f>ROW()</f>
        <v>157</v>
      </c>
      <c r="C157" s="167">
        <f t="shared" si="15"/>
        <v>6</v>
      </c>
      <c r="D157" s="76">
        <f t="shared" si="12"/>
        <v>40</v>
      </c>
      <c r="E157" s="77">
        <v>0</v>
      </c>
      <c r="F157" s="168">
        <f t="shared" si="13"/>
        <v>40</v>
      </c>
      <c r="J157" s="167">
        <f t="shared" si="17"/>
        <v>6</v>
      </c>
      <c r="K157" s="76">
        <f t="shared" si="14"/>
        <v>40</v>
      </c>
      <c r="L157" s="77">
        <v>0</v>
      </c>
      <c r="M157" s="168">
        <f t="shared" si="16"/>
        <v>40</v>
      </c>
    </row>
    <row r="158" spans="1:13" x14ac:dyDescent="0.55000000000000004">
      <c r="A158" s="15">
        <f>ROW()</f>
        <v>158</v>
      </c>
      <c r="C158" s="167">
        <f t="shared" si="15"/>
        <v>7</v>
      </c>
      <c r="D158" s="76">
        <f t="shared" si="12"/>
        <v>40</v>
      </c>
      <c r="E158" s="77">
        <v>0</v>
      </c>
      <c r="F158" s="168">
        <f t="shared" si="13"/>
        <v>40</v>
      </c>
      <c r="J158" s="167">
        <f t="shared" si="17"/>
        <v>7</v>
      </c>
      <c r="K158" s="76">
        <f t="shared" si="14"/>
        <v>40</v>
      </c>
      <c r="L158" s="77">
        <v>0</v>
      </c>
      <c r="M158" s="168">
        <f t="shared" si="16"/>
        <v>40</v>
      </c>
    </row>
    <row r="159" spans="1:13" x14ac:dyDescent="0.55000000000000004">
      <c r="A159" s="15">
        <f>ROW()</f>
        <v>159</v>
      </c>
      <c r="C159" s="167">
        <f t="shared" si="15"/>
        <v>8</v>
      </c>
      <c r="D159" s="76">
        <f t="shared" si="12"/>
        <v>40</v>
      </c>
      <c r="E159" s="77">
        <v>0</v>
      </c>
      <c r="F159" s="168">
        <f t="shared" si="13"/>
        <v>40</v>
      </c>
      <c r="J159" s="167">
        <f t="shared" si="17"/>
        <v>8</v>
      </c>
      <c r="K159" s="76">
        <f t="shared" si="14"/>
        <v>40</v>
      </c>
      <c r="L159" s="77">
        <v>0</v>
      </c>
      <c r="M159" s="168">
        <f t="shared" si="16"/>
        <v>40</v>
      </c>
    </row>
    <row r="160" spans="1:13" x14ac:dyDescent="0.55000000000000004">
      <c r="A160" s="15">
        <f>ROW()</f>
        <v>160</v>
      </c>
      <c r="C160" s="167">
        <f t="shared" si="15"/>
        <v>9</v>
      </c>
      <c r="D160" s="76">
        <f t="shared" si="12"/>
        <v>40</v>
      </c>
      <c r="E160" s="77">
        <v>0</v>
      </c>
      <c r="F160" s="168">
        <f t="shared" si="13"/>
        <v>40</v>
      </c>
      <c r="J160" s="167">
        <f t="shared" si="17"/>
        <v>9</v>
      </c>
      <c r="K160" s="76">
        <f t="shared" si="14"/>
        <v>40</v>
      </c>
      <c r="L160" s="77">
        <v>0</v>
      </c>
      <c r="M160" s="168">
        <f t="shared" si="16"/>
        <v>40</v>
      </c>
    </row>
    <row r="161" spans="1:14" x14ac:dyDescent="0.55000000000000004">
      <c r="A161" s="15">
        <f>ROW()</f>
        <v>161</v>
      </c>
      <c r="C161" s="167">
        <f t="shared" si="15"/>
        <v>10</v>
      </c>
      <c r="D161" s="76">
        <f t="shared" si="12"/>
        <v>40</v>
      </c>
      <c r="E161" s="77">
        <v>0</v>
      </c>
      <c r="F161" s="168">
        <f t="shared" si="13"/>
        <v>40</v>
      </c>
      <c r="J161" s="167">
        <f t="shared" si="17"/>
        <v>10</v>
      </c>
      <c r="K161" s="76">
        <f t="shared" si="14"/>
        <v>40</v>
      </c>
      <c r="L161" s="77">
        <v>0</v>
      </c>
      <c r="M161" s="168">
        <f t="shared" si="16"/>
        <v>40</v>
      </c>
    </row>
    <row r="162" spans="1:14" x14ac:dyDescent="0.55000000000000004">
      <c r="A162" s="15">
        <f>ROW()</f>
        <v>162</v>
      </c>
      <c r="C162" s="167">
        <f t="shared" si="15"/>
        <v>11</v>
      </c>
      <c r="D162" s="76">
        <f t="shared" si="12"/>
        <v>40</v>
      </c>
      <c r="E162" s="77">
        <v>0</v>
      </c>
      <c r="F162" s="168">
        <f t="shared" si="13"/>
        <v>40</v>
      </c>
      <c r="J162" s="167">
        <f t="shared" si="17"/>
        <v>11</v>
      </c>
      <c r="K162" s="76">
        <f t="shared" si="14"/>
        <v>40</v>
      </c>
      <c r="L162" s="77">
        <v>0</v>
      </c>
      <c r="M162" s="168">
        <f t="shared" si="16"/>
        <v>40</v>
      </c>
    </row>
    <row r="163" spans="1:14" x14ac:dyDescent="0.55000000000000004">
      <c r="A163" s="15">
        <f>ROW()</f>
        <v>163</v>
      </c>
      <c r="C163" s="167">
        <f t="shared" si="15"/>
        <v>12</v>
      </c>
      <c r="D163" s="76">
        <f t="shared" si="12"/>
        <v>40</v>
      </c>
      <c r="E163" s="77">
        <v>0</v>
      </c>
      <c r="F163" s="168">
        <f t="shared" si="13"/>
        <v>40</v>
      </c>
      <c r="J163" s="167">
        <f t="shared" si="17"/>
        <v>12</v>
      </c>
      <c r="K163" s="76">
        <f t="shared" si="14"/>
        <v>40</v>
      </c>
      <c r="L163" s="77">
        <v>0</v>
      </c>
      <c r="M163" s="168">
        <f t="shared" si="16"/>
        <v>40</v>
      </c>
    </row>
    <row r="164" spans="1:14" x14ac:dyDescent="0.55000000000000004">
      <c r="A164" s="15">
        <f>ROW()</f>
        <v>164</v>
      </c>
      <c r="C164" s="167">
        <f t="shared" si="15"/>
        <v>13</v>
      </c>
      <c r="D164" s="76">
        <f t="shared" si="12"/>
        <v>40</v>
      </c>
      <c r="E164" s="77">
        <v>0</v>
      </c>
      <c r="F164" s="168">
        <f t="shared" si="13"/>
        <v>40</v>
      </c>
      <c r="J164" s="167">
        <f t="shared" si="17"/>
        <v>13</v>
      </c>
      <c r="K164" s="76">
        <f t="shared" si="14"/>
        <v>40</v>
      </c>
      <c r="L164" s="77">
        <v>0</v>
      </c>
      <c r="M164" s="168">
        <f t="shared" si="16"/>
        <v>40</v>
      </c>
    </row>
    <row r="165" spans="1:14" x14ac:dyDescent="0.55000000000000004">
      <c r="A165" s="15">
        <f>ROW()</f>
        <v>165</v>
      </c>
      <c r="C165" s="167">
        <f t="shared" si="15"/>
        <v>14</v>
      </c>
      <c r="D165" s="76">
        <f t="shared" si="12"/>
        <v>40</v>
      </c>
      <c r="E165" s="77">
        <v>0</v>
      </c>
      <c r="F165" s="168">
        <f t="shared" si="13"/>
        <v>40</v>
      </c>
      <c r="J165" s="167">
        <f t="shared" si="17"/>
        <v>14</v>
      </c>
      <c r="K165" s="76">
        <f t="shared" si="14"/>
        <v>40</v>
      </c>
      <c r="L165" s="77">
        <v>0</v>
      </c>
      <c r="M165" s="168">
        <f t="shared" si="16"/>
        <v>40</v>
      </c>
    </row>
    <row r="166" spans="1:14" x14ac:dyDescent="0.55000000000000004">
      <c r="A166" s="15">
        <f>ROW()</f>
        <v>166</v>
      </c>
      <c r="C166" s="167">
        <f t="shared" si="15"/>
        <v>15</v>
      </c>
      <c r="D166" s="76">
        <f t="shared" si="12"/>
        <v>40</v>
      </c>
      <c r="E166" s="77">
        <v>0</v>
      </c>
      <c r="F166" s="168">
        <f t="shared" si="13"/>
        <v>40</v>
      </c>
      <c r="J166" s="167">
        <f t="shared" si="17"/>
        <v>15</v>
      </c>
      <c r="K166" s="76">
        <f t="shared" si="14"/>
        <v>40</v>
      </c>
      <c r="L166" s="77">
        <v>0</v>
      </c>
      <c r="M166" s="168">
        <f t="shared" si="16"/>
        <v>40</v>
      </c>
    </row>
    <row r="167" spans="1:14" x14ac:dyDescent="0.55000000000000004">
      <c r="A167" s="15">
        <f>ROW()</f>
        <v>167</v>
      </c>
      <c r="C167" s="167">
        <f t="shared" si="15"/>
        <v>16</v>
      </c>
      <c r="D167" s="76">
        <f t="shared" si="12"/>
        <v>40</v>
      </c>
      <c r="E167" s="77">
        <v>0</v>
      </c>
      <c r="F167" s="168">
        <f t="shared" si="13"/>
        <v>40</v>
      </c>
      <c r="J167" s="167">
        <f t="shared" si="17"/>
        <v>16</v>
      </c>
      <c r="K167" s="76">
        <f t="shared" si="14"/>
        <v>40</v>
      </c>
      <c r="L167" s="77">
        <v>0</v>
      </c>
      <c r="M167" s="168">
        <f t="shared" si="16"/>
        <v>40</v>
      </c>
    </row>
    <row r="168" spans="1:14" x14ac:dyDescent="0.55000000000000004">
      <c r="A168" s="15">
        <f>ROW()</f>
        <v>168</v>
      </c>
      <c r="C168" s="167">
        <f t="shared" si="15"/>
        <v>17</v>
      </c>
      <c r="D168" s="76">
        <f t="shared" si="12"/>
        <v>40</v>
      </c>
      <c r="E168" s="77">
        <v>0</v>
      </c>
      <c r="F168" s="168">
        <f t="shared" si="13"/>
        <v>40</v>
      </c>
      <c r="J168" s="167">
        <f t="shared" si="17"/>
        <v>17</v>
      </c>
      <c r="K168" s="76">
        <f t="shared" si="14"/>
        <v>40</v>
      </c>
      <c r="L168" s="77">
        <v>0</v>
      </c>
      <c r="M168" s="168">
        <f t="shared" si="16"/>
        <v>40</v>
      </c>
    </row>
    <row r="169" spans="1:14" x14ac:dyDescent="0.55000000000000004">
      <c r="A169" s="15">
        <f>ROW()</f>
        <v>169</v>
      </c>
      <c r="C169" s="167">
        <f t="shared" si="15"/>
        <v>18</v>
      </c>
      <c r="D169" s="76">
        <f t="shared" si="12"/>
        <v>40</v>
      </c>
      <c r="E169" s="77">
        <v>0</v>
      </c>
      <c r="F169" s="168">
        <f t="shared" si="13"/>
        <v>40</v>
      </c>
      <c r="J169" s="167">
        <f t="shared" si="17"/>
        <v>18</v>
      </c>
      <c r="K169" s="76">
        <f t="shared" si="14"/>
        <v>40</v>
      </c>
      <c r="L169" s="77">
        <v>0</v>
      </c>
      <c r="M169" s="168">
        <f t="shared" si="16"/>
        <v>40</v>
      </c>
    </row>
    <row r="170" spans="1:14" x14ac:dyDescent="0.55000000000000004">
      <c r="A170" s="15">
        <f>ROW()</f>
        <v>170</v>
      </c>
      <c r="C170" s="167">
        <f t="shared" si="15"/>
        <v>19</v>
      </c>
      <c r="D170" s="76">
        <f t="shared" si="12"/>
        <v>40</v>
      </c>
      <c r="E170" s="77">
        <v>0</v>
      </c>
      <c r="F170" s="168">
        <f t="shared" si="13"/>
        <v>40</v>
      </c>
      <c r="J170" s="167">
        <f t="shared" si="17"/>
        <v>19</v>
      </c>
      <c r="K170" s="76">
        <f t="shared" si="14"/>
        <v>40</v>
      </c>
      <c r="L170" s="77">
        <v>0</v>
      </c>
      <c r="M170" s="168">
        <f t="shared" si="16"/>
        <v>40</v>
      </c>
    </row>
    <row r="171" spans="1:14" ht="14.7" thickBot="1" x14ac:dyDescent="0.6">
      <c r="A171" s="15">
        <f>ROW()</f>
        <v>171</v>
      </c>
      <c r="C171" s="167">
        <f t="shared" si="15"/>
        <v>20</v>
      </c>
      <c r="D171" s="76">
        <f t="shared" si="12"/>
        <v>40</v>
      </c>
      <c r="E171" s="77">
        <v>0</v>
      </c>
      <c r="F171" s="168">
        <f t="shared" si="13"/>
        <v>40</v>
      </c>
      <c r="J171" s="167">
        <f t="shared" si="17"/>
        <v>20</v>
      </c>
      <c r="K171" s="76">
        <f t="shared" si="14"/>
        <v>40</v>
      </c>
      <c r="L171" s="77">
        <v>1000</v>
      </c>
      <c r="M171" s="168">
        <f t="shared" si="16"/>
        <v>1040</v>
      </c>
    </row>
    <row r="172" spans="1:14" ht="14.7" thickBot="1" x14ac:dyDescent="0.6">
      <c r="A172" s="15">
        <f>ROW()</f>
        <v>172</v>
      </c>
      <c r="C172" s="167">
        <f t="shared" si="15"/>
        <v>21</v>
      </c>
      <c r="D172" s="76">
        <f t="shared" si="12"/>
        <v>40</v>
      </c>
      <c r="E172" s="77">
        <v>0</v>
      </c>
      <c r="F172" s="168">
        <f t="shared" si="13"/>
        <v>40</v>
      </c>
      <c r="J172" s="169" t="s">
        <v>208</v>
      </c>
      <c r="K172" s="170"/>
      <c r="L172" s="170"/>
      <c r="M172" s="171">
        <f>IRR(M151:M171)</f>
        <v>3.308524273127289E-2</v>
      </c>
      <c r="N172" s="172">
        <f>+M172*2</f>
        <v>6.6170485462545781E-2</v>
      </c>
    </row>
    <row r="173" spans="1:14" x14ac:dyDescent="0.55000000000000004">
      <c r="A173" s="15">
        <f>ROW()</f>
        <v>173</v>
      </c>
      <c r="C173" s="167">
        <f t="shared" si="15"/>
        <v>22</v>
      </c>
      <c r="D173" s="76">
        <f t="shared" si="12"/>
        <v>40</v>
      </c>
      <c r="E173" s="77">
        <v>0</v>
      </c>
      <c r="F173" s="168">
        <f t="shared" si="13"/>
        <v>40</v>
      </c>
    </row>
    <row r="174" spans="1:14" x14ac:dyDescent="0.55000000000000004">
      <c r="A174" s="15">
        <f>ROW()</f>
        <v>174</v>
      </c>
      <c r="C174" s="167">
        <f t="shared" si="15"/>
        <v>23</v>
      </c>
      <c r="D174" s="76">
        <f t="shared" si="12"/>
        <v>40</v>
      </c>
      <c r="E174" s="77">
        <v>0</v>
      </c>
      <c r="F174" s="168">
        <f t="shared" si="13"/>
        <v>40</v>
      </c>
    </row>
    <row r="175" spans="1:14" x14ac:dyDescent="0.55000000000000004">
      <c r="A175" s="15">
        <f>ROW()</f>
        <v>175</v>
      </c>
      <c r="C175" s="167">
        <f t="shared" si="15"/>
        <v>24</v>
      </c>
      <c r="D175" s="76">
        <f t="shared" si="12"/>
        <v>40</v>
      </c>
      <c r="E175" s="77">
        <v>0</v>
      </c>
      <c r="F175" s="168">
        <f t="shared" si="13"/>
        <v>40</v>
      </c>
    </row>
    <row r="176" spans="1:14" x14ac:dyDescent="0.55000000000000004">
      <c r="A176" s="15"/>
      <c r="C176" s="167">
        <f t="shared" si="15"/>
        <v>25</v>
      </c>
      <c r="D176" s="76">
        <f t="shared" si="12"/>
        <v>40</v>
      </c>
      <c r="E176" s="77">
        <v>0</v>
      </c>
      <c r="F176" s="168">
        <f t="shared" si="13"/>
        <v>40</v>
      </c>
    </row>
    <row r="177" spans="1:6" x14ac:dyDescent="0.55000000000000004">
      <c r="A177" s="15">
        <f>ROW()</f>
        <v>177</v>
      </c>
      <c r="C177" s="167">
        <f t="shared" si="15"/>
        <v>26</v>
      </c>
      <c r="D177" s="76">
        <f t="shared" si="12"/>
        <v>40</v>
      </c>
      <c r="E177" s="77">
        <v>0</v>
      </c>
      <c r="F177" s="168">
        <f t="shared" si="13"/>
        <v>40</v>
      </c>
    </row>
    <row r="178" spans="1:6" x14ac:dyDescent="0.55000000000000004">
      <c r="A178" s="15">
        <f>ROW()</f>
        <v>178</v>
      </c>
      <c r="C178" s="167">
        <f t="shared" si="15"/>
        <v>27</v>
      </c>
      <c r="D178" s="76">
        <f t="shared" si="12"/>
        <v>40</v>
      </c>
      <c r="E178" s="77">
        <v>0</v>
      </c>
      <c r="F178" s="168">
        <f t="shared" si="13"/>
        <v>40</v>
      </c>
    </row>
    <row r="179" spans="1:6" x14ac:dyDescent="0.55000000000000004">
      <c r="A179" s="15">
        <f>ROW()</f>
        <v>179</v>
      </c>
      <c r="C179" s="167">
        <f t="shared" si="15"/>
        <v>28</v>
      </c>
      <c r="D179" s="76">
        <f t="shared" si="12"/>
        <v>40</v>
      </c>
      <c r="E179" s="77">
        <v>0</v>
      </c>
      <c r="F179" s="168">
        <f t="shared" si="13"/>
        <v>40</v>
      </c>
    </row>
    <row r="180" spans="1:6" x14ac:dyDescent="0.55000000000000004">
      <c r="A180" s="15">
        <f>ROW()</f>
        <v>180</v>
      </c>
      <c r="C180" s="167">
        <f t="shared" si="15"/>
        <v>29</v>
      </c>
      <c r="D180" s="76">
        <f t="shared" si="12"/>
        <v>40</v>
      </c>
      <c r="E180" s="77">
        <v>0</v>
      </c>
      <c r="F180" s="168">
        <f t="shared" si="13"/>
        <v>40</v>
      </c>
    </row>
    <row r="181" spans="1:6" x14ac:dyDescent="0.55000000000000004">
      <c r="A181" s="15">
        <f>ROW()</f>
        <v>181</v>
      </c>
      <c r="C181" s="167">
        <f t="shared" si="15"/>
        <v>30</v>
      </c>
      <c r="D181" s="76">
        <f t="shared" si="12"/>
        <v>40</v>
      </c>
      <c r="E181" s="77">
        <v>0</v>
      </c>
      <c r="F181" s="168">
        <f t="shared" si="13"/>
        <v>40</v>
      </c>
    </row>
    <row r="182" spans="1:6" x14ac:dyDescent="0.55000000000000004">
      <c r="A182" s="15">
        <f>ROW()</f>
        <v>182</v>
      </c>
      <c r="C182" s="167">
        <f t="shared" si="15"/>
        <v>31</v>
      </c>
      <c r="D182" s="76">
        <f t="shared" si="12"/>
        <v>40</v>
      </c>
      <c r="E182" s="77">
        <v>0</v>
      </c>
      <c r="F182" s="168">
        <f t="shared" si="13"/>
        <v>40</v>
      </c>
    </row>
    <row r="183" spans="1:6" x14ac:dyDescent="0.55000000000000004">
      <c r="A183" s="15">
        <f>ROW()</f>
        <v>183</v>
      </c>
      <c r="C183" s="167">
        <f t="shared" si="15"/>
        <v>32</v>
      </c>
      <c r="D183" s="76">
        <f t="shared" si="12"/>
        <v>40</v>
      </c>
      <c r="E183" s="77">
        <v>0</v>
      </c>
      <c r="F183" s="168">
        <f t="shared" si="13"/>
        <v>40</v>
      </c>
    </row>
    <row r="184" spans="1:6" x14ac:dyDescent="0.55000000000000004">
      <c r="A184" s="15">
        <f>ROW()</f>
        <v>184</v>
      </c>
      <c r="C184" s="167">
        <f t="shared" si="15"/>
        <v>33</v>
      </c>
      <c r="D184" s="76">
        <f t="shared" si="12"/>
        <v>40</v>
      </c>
      <c r="E184" s="77">
        <v>0</v>
      </c>
      <c r="F184" s="168">
        <f t="shared" si="13"/>
        <v>40</v>
      </c>
    </row>
    <row r="185" spans="1:6" x14ac:dyDescent="0.55000000000000004">
      <c r="A185" s="15">
        <f>ROW()</f>
        <v>185</v>
      </c>
      <c r="C185" s="167">
        <f t="shared" si="15"/>
        <v>34</v>
      </c>
      <c r="D185" s="76">
        <f t="shared" si="12"/>
        <v>40</v>
      </c>
      <c r="E185" s="77">
        <v>0</v>
      </c>
      <c r="F185" s="168">
        <f t="shared" si="13"/>
        <v>40</v>
      </c>
    </row>
    <row r="186" spans="1:6" x14ac:dyDescent="0.55000000000000004">
      <c r="A186" s="15">
        <f>ROW()</f>
        <v>186</v>
      </c>
      <c r="C186" s="167">
        <f t="shared" si="15"/>
        <v>35</v>
      </c>
      <c r="D186" s="76">
        <f t="shared" si="12"/>
        <v>40</v>
      </c>
      <c r="E186" s="77">
        <v>0</v>
      </c>
      <c r="F186" s="168">
        <f t="shared" si="13"/>
        <v>40</v>
      </c>
    </row>
    <row r="187" spans="1:6" x14ac:dyDescent="0.55000000000000004">
      <c r="A187" s="15">
        <f>ROW()</f>
        <v>187</v>
      </c>
      <c r="C187" s="167">
        <f t="shared" si="15"/>
        <v>36</v>
      </c>
      <c r="D187" s="76">
        <f t="shared" si="12"/>
        <v>40</v>
      </c>
      <c r="E187" s="77">
        <v>0</v>
      </c>
      <c r="F187" s="168">
        <f t="shared" si="13"/>
        <v>40</v>
      </c>
    </row>
    <row r="188" spans="1:6" x14ac:dyDescent="0.55000000000000004">
      <c r="A188" s="15">
        <f>ROW()</f>
        <v>188</v>
      </c>
      <c r="C188" s="167">
        <f t="shared" si="15"/>
        <v>37</v>
      </c>
      <c r="D188" s="76">
        <f t="shared" si="12"/>
        <v>40</v>
      </c>
      <c r="E188" s="77">
        <v>0</v>
      </c>
      <c r="F188" s="168">
        <f t="shared" si="13"/>
        <v>40</v>
      </c>
    </row>
    <row r="189" spans="1:6" x14ac:dyDescent="0.55000000000000004">
      <c r="A189" s="15">
        <f>ROW()</f>
        <v>189</v>
      </c>
      <c r="C189" s="167">
        <f t="shared" si="15"/>
        <v>38</v>
      </c>
      <c r="D189" s="76">
        <f t="shared" si="12"/>
        <v>40</v>
      </c>
      <c r="E189" s="77">
        <v>0</v>
      </c>
      <c r="F189" s="168">
        <f t="shared" si="13"/>
        <v>40</v>
      </c>
    </row>
    <row r="190" spans="1:6" x14ac:dyDescent="0.55000000000000004">
      <c r="A190" s="15">
        <f>ROW()</f>
        <v>190</v>
      </c>
      <c r="C190" s="167">
        <f t="shared" si="15"/>
        <v>39</v>
      </c>
      <c r="D190" s="76">
        <f t="shared" si="12"/>
        <v>40</v>
      </c>
      <c r="E190" s="77">
        <v>0</v>
      </c>
      <c r="F190" s="168">
        <f t="shared" si="13"/>
        <v>40</v>
      </c>
    </row>
    <row r="191" spans="1:6" ht="14.7" thickBot="1" x14ac:dyDescent="0.6">
      <c r="A191" s="15">
        <f>ROW()</f>
        <v>191</v>
      </c>
      <c r="C191" s="167">
        <f t="shared" si="15"/>
        <v>40</v>
      </c>
      <c r="D191" s="76">
        <f>+$G$140+C139</f>
        <v>1040</v>
      </c>
      <c r="E191" s="77">
        <v>0</v>
      </c>
      <c r="F191" s="168">
        <f t="shared" si="13"/>
        <v>1040</v>
      </c>
    </row>
    <row r="192" spans="1:6" ht="14.7" thickBot="1" x14ac:dyDescent="0.6">
      <c r="A192" s="15">
        <f>ROW()</f>
        <v>192</v>
      </c>
      <c r="C192" s="173" t="s">
        <v>208</v>
      </c>
      <c r="D192" s="174"/>
      <c r="E192" s="174"/>
      <c r="F192" s="175">
        <f>IRR(F151:F191)</f>
        <v>3.9999999995648627E-2</v>
      </c>
    </row>
    <row r="193" spans="1:14" x14ac:dyDescent="0.55000000000000004">
      <c r="A193" s="15">
        <f>ROW()</f>
        <v>193</v>
      </c>
    </row>
    <row r="195" spans="1:14" x14ac:dyDescent="0.55000000000000004">
      <c r="A195" s="15">
        <f>ROW()</f>
        <v>195</v>
      </c>
      <c r="B195" s="54" t="s">
        <v>39</v>
      </c>
      <c r="C195" s="54" t="s">
        <v>50</v>
      </c>
      <c r="D195" s="54" t="s">
        <v>53</v>
      </c>
      <c r="E195" s="54" t="s">
        <v>57</v>
      </c>
      <c r="F195" s="54" t="s">
        <v>58</v>
      </c>
      <c r="G195" s="54" t="s">
        <v>59</v>
      </c>
      <c r="H195" s="54" t="s">
        <v>60</v>
      </c>
      <c r="I195" s="54" t="s">
        <v>61</v>
      </c>
      <c r="J195" s="54" t="s">
        <v>62</v>
      </c>
      <c r="K195" s="54" t="s">
        <v>63</v>
      </c>
      <c r="L195" s="54" t="s">
        <v>64</v>
      </c>
      <c r="M195" s="54" t="s">
        <v>65</v>
      </c>
      <c r="N195" s="54" t="s">
        <v>66</v>
      </c>
    </row>
    <row r="196" spans="1:14" x14ac:dyDescent="0.55000000000000004">
      <c r="A196" s="15">
        <f>ROW()</f>
        <v>196</v>
      </c>
      <c r="J196" s="18"/>
      <c r="K196" s="18"/>
      <c r="L196" s="18"/>
      <c r="M196" s="18"/>
      <c r="N196" s="18"/>
    </row>
    <row r="197" spans="1:14" x14ac:dyDescent="0.55000000000000004">
      <c r="A197" s="15">
        <f>ROW()</f>
        <v>197</v>
      </c>
    </row>
    <row r="198" spans="1:14" x14ac:dyDescent="0.55000000000000004">
      <c r="A198" s="15">
        <f>ROW()</f>
        <v>198</v>
      </c>
    </row>
    <row r="199" spans="1:14" x14ac:dyDescent="0.55000000000000004">
      <c r="A199" s="15">
        <f>ROW()</f>
        <v>199</v>
      </c>
    </row>
    <row r="200" spans="1:14" x14ac:dyDescent="0.55000000000000004">
      <c r="A200" s="15">
        <f>ROW()</f>
        <v>200</v>
      </c>
    </row>
    <row r="201" spans="1:14" x14ac:dyDescent="0.55000000000000004">
      <c r="A201" s="15">
        <f>ROW()</f>
        <v>201</v>
      </c>
    </row>
    <row r="202" spans="1:14" x14ac:dyDescent="0.55000000000000004">
      <c r="A202" s="15">
        <f>ROW()</f>
        <v>202</v>
      </c>
    </row>
    <row r="203" spans="1:14" x14ac:dyDescent="0.55000000000000004">
      <c r="A203" s="15">
        <f>ROW()</f>
        <v>203</v>
      </c>
    </row>
    <row r="204" spans="1:14" x14ac:dyDescent="0.55000000000000004">
      <c r="A204" s="15">
        <f>ROW()</f>
        <v>204</v>
      </c>
    </row>
    <row r="205" spans="1:14" x14ac:dyDescent="0.55000000000000004">
      <c r="A205" s="15">
        <f>ROW()</f>
        <v>205</v>
      </c>
    </row>
    <row r="206" spans="1:14" x14ac:dyDescent="0.55000000000000004">
      <c r="A206" s="15">
        <f>ROW()</f>
        <v>206</v>
      </c>
    </row>
    <row r="207" spans="1:14" x14ac:dyDescent="0.55000000000000004">
      <c r="A207" s="15">
        <f>ROW()</f>
        <v>207</v>
      </c>
    </row>
    <row r="208" spans="1:14" x14ac:dyDescent="0.55000000000000004">
      <c r="A208" s="15">
        <f>ROW()</f>
        <v>208</v>
      </c>
    </row>
    <row r="209" spans="1:1" x14ac:dyDescent="0.55000000000000004">
      <c r="A209" s="15">
        <f>ROW()</f>
        <v>209</v>
      </c>
    </row>
    <row r="210" spans="1:1" x14ac:dyDescent="0.55000000000000004">
      <c r="A210" s="15">
        <f>ROW()</f>
        <v>210</v>
      </c>
    </row>
    <row r="211" spans="1:1" x14ac:dyDescent="0.55000000000000004">
      <c r="A211" s="15">
        <f>ROW()</f>
        <v>211</v>
      </c>
    </row>
    <row r="212" spans="1:1" x14ac:dyDescent="0.55000000000000004">
      <c r="A212" s="15">
        <f>ROW()</f>
        <v>212</v>
      </c>
    </row>
    <row r="213" spans="1:1" x14ac:dyDescent="0.55000000000000004">
      <c r="A213" s="15">
        <f>ROW()</f>
        <v>213</v>
      </c>
    </row>
    <row r="214" spans="1:1" x14ac:dyDescent="0.55000000000000004">
      <c r="A214" s="15">
        <f>ROW()</f>
        <v>214</v>
      </c>
    </row>
    <row r="215" spans="1:1" x14ac:dyDescent="0.55000000000000004">
      <c r="A215" s="15">
        <f>ROW()</f>
        <v>215</v>
      </c>
    </row>
    <row r="216" spans="1:1" x14ac:dyDescent="0.55000000000000004">
      <c r="A216" s="15">
        <f>ROW()</f>
        <v>216</v>
      </c>
    </row>
    <row r="217" spans="1:1" x14ac:dyDescent="0.55000000000000004">
      <c r="A217" s="15">
        <f>ROW()</f>
        <v>217</v>
      </c>
    </row>
    <row r="218" spans="1:1" x14ac:dyDescent="0.55000000000000004">
      <c r="A218" s="15">
        <f>ROW()</f>
        <v>218</v>
      </c>
    </row>
    <row r="219" spans="1:1" x14ac:dyDescent="0.55000000000000004">
      <c r="A219" s="15">
        <f>ROW()</f>
        <v>219</v>
      </c>
    </row>
    <row r="220" spans="1:1" x14ac:dyDescent="0.55000000000000004">
      <c r="A220" s="15">
        <f>ROW()</f>
        <v>220</v>
      </c>
    </row>
    <row r="221" spans="1:1" x14ac:dyDescent="0.55000000000000004">
      <c r="A221" s="15">
        <f>ROW()</f>
        <v>221</v>
      </c>
    </row>
    <row r="222" spans="1:1" x14ac:dyDescent="0.55000000000000004">
      <c r="A222" s="15">
        <f>ROW()</f>
        <v>222</v>
      </c>
    </row>
    <row r="223" spans="1:1" x14ac:dyDescent="0.55000000000000004">
      <c r="A223" s="15">
        <f>ROW()</f>
        <v>223</v>
      </c>
    </row>
    <row r="224" spans="1:1" x14ac:dyDescent="0.55000000000000004">
      <c r="A224" s="15">
        <f>ROW()</f>
        <v>224</v>
      </c>
    </row>
    <row r="225" spans="1:1" x14ac:dyDescent="0.55000000000000004">
      <c r="A225" s="15">
        <f>ROW()</f>
        <v>225</v>
      </c>
    </row>
    <row r="226" spans="1:1" x14ac:dyDescent="0.55000000000000004">
      <c r="A226" s="15">
        <f>ROW()</f>
        <v>226</v>
      </c>
    </row>
    <row r="227" spans="1:1" x14ac:dyDescent="0.55000000000000004">
      <c r="A227" s="15">
        <f>ROW()</f>
        <v>227</v>
      </c>
    </row>
    <row r="228" spans="1:1" x14ac:dyDescent="0.55000000000000004">
      <c r="A228" s="15">
        <f>ROW()</f>
        <v>228</v>
      </c>
    </row>
    <row r="229" spans="1:1" x14ac:dyDescent="0.55000000000000004">
      <c r="A229" s="15">
        <f>ROW()</f>
        <v>229</v>
      </c>
    </row>
    <row r="230" spans="1:1" x14ac:dyDescent="0.55000000000000004">
      <c r="A230" s="15">
        <f>ROW()</f>
        <v>230</v>
      </c>
    </row>
  </sheetData>
  <mergeCells count="4">
    <mergeCell ref="E8:F8"/>
    <mergeCell ref="E9:F9"/>
    <mergeCell ref="D53:E53"/>
    <mergeCell ref="D55:E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0655-FB6B-4864-A067-BEF2911A2753}">
  <dimension ref="A1:K22"/>
  <sheetViews>
    <sheetView workbookViewId="0">
      <selection activeCell="J35" sqref="J35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0.5234375" customWidth="1"/>
    <col min="4" max="4" width="11.47265625" customWidth="1"/>
    <col min="5" max="5" width="14.1015625" customWidth="1"/>
    <col min="6" max="6" width="5.26171875" style="6" customWidth="1"/>
    <col min="7" max="7" width="10.734375" style="6" customWidth="1"/>
    <col min="8" max="8" width="9.26171875" style="6" customWidth="1"/>
    <col min="9" max="9" width="8.5234375" customWidth="1"/>
    <col min="10" max="10" width="11.5234375" customWidth="1"/>
    <col min="11" max="13" width="11.26171875" customWidth="1"/>
    <col min="14" max="14" width="12.15625" customWidth="1"/>
    <col min="15" max="15" width="4.1015625" customWidth="1"/>
    <col min="16" max="16" width="4.7890625" customWidth="1"/>
    <col min="17" max="17" width="11.26171875" customWidth="1"/>
    <col min="18" max="18" width="12" customWidth="1"/>
    <col min="19" max="19" width="12.26171875" customWidth="1"/>
    <col min="20" max="20" width="11" customWidth="1"/>
    <col min="21" max="21" width="10.7890625" customWidth="1"/>
    <col min="22" max="22" width="12" customWidth="1"/>
    <col min="23" max="23" width="14.7890625" customWidth="1"/>
    <col min="24" max="24" width="13.734375" customWidth="1"/>
    <col min="25" max="25" width="13.7890625" customWidth="1"/>
    <col min="29" max="29" width="12.5234375" customWidth="1"/>
    <col min="30" max="30" width="13.15625" customWidth="1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5" max="285" width="12.5234375" customWidth="1"/>
    <col min="286" max="286" width="13.15625" customWidth="1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41" max="541" width="12.5234375" customWidth="1"/>
    <col min="542" max="542" width="13.15625" customWidth="1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7" max="797" width="12.5234375" customWidth="1"/>
    <col min="798" max="798" width="13.15625" customWidth="1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3" max="1053" width="12.5234375" customWidth="1"/>
    <col min="1054" max="1054" width="13.15625" customWidth="1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9" max="1309" width="12.5234375" customWidth="1"/>
    <col min="1310" max="1310" width="13.15625" customWidth="1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5" max="1565" width="12.5234375" customWidth="1"/>
    <col min="1566" max="1566" width="13.15625" customWidth="1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21" max="1821" width="12.5234375" customWidth="1"/>
    <col min="1822" max="1822" width="13.15625" customWidth="1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7" max="2077" width="12.5234375" customWidth="1"/>
    <col min="2078" max="2078" width="13.15625" customWidth="1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3" max="2333" width="12.5234375" customWidth="1"/>
    <col min="2334" max="2334" width="13.15625" customWidth="1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9" max="2589" width="12.5234375" customWidth="1"/>
    <col min="2590" max="2590" width="13.15625" customWidth="1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5" max="2845" width="12.5234375" customWidth="1"/>
    <col min="2846" max="2846" width="13.15625" customWidth="1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101" max="3101" width="12.5234375" customWidth="1"/>
    <col min="3102" max="3102" width="13.15625" customWidth="1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7" max="3357" width="12.5234375" customWidth="1"/>
    <col min="3358" max="3358" width="13.15625" customWidth="1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3" max="3613" width="12.5234375" customWidth="1"/>
    <col min="3614" max="3614" width="13.15625" customWidth="1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9" max="3869" width="12.5234375" customWidth="1"/>
    <col min="3870" max="3870" width="13.15625" customWidth="1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5" max="4125" width="12.5234375" customWidth="1"/>
    <col min="4126" max="4126" width="13.15625" customWidth="1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81" max="4381" width="12.5234375" customWidth="1"/>
    <col min="4382" max="4382" width="13.15625" customWidth="1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7" max="4637" width="12.5234375" customWidth="1"/>
    <col min="4638" max="4638" width="13.15625" customWidth="1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3" max="4893" width="12.5234375" customWidth="1"/>
    <col min="4894" max="4894" width="13.15625" customWidth="1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9" max="5149" width="12.5234375" customWidth="1"/>
    <col min="5150" max="5150" width="13.15625" customWidth="1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5" max="5405" width="12.5234375" customWidth="1"/>
    <col min="5406" max="5406" width="13.15625" customWidth="1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61" max="5661" width="12.5234375" customWidth="1"/>
    <col min="5662" max="5662" width="13.15625" customWidth="1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7" max="5917" width="12.5234375" customWidth="1"/>
    <col min="5918" max="5918" width="13.15625" customWidth="1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3" max="6173" width="12.5234375" customWidth="1"/>
    <col min="6174" max="6174" width="13.15625" customWidth="1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9" max="6429" width="12.5234375" customWidth="1"/>
    <col min="6430" max="6430" width="13.15625" customWidth="1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5" max="6685" width="12.5234375" customWidth="1"/>
    <col min="6686" max="6686" width="13.15625" customWidth="1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41" max="6941" width="12.5234375" customWidth="1"/>
    <col min="6942" max="6942" width="13.15625" customWidth="1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7" max="7197" width="12.5234375" customWidth="1"/>
    <col min="7198" max="7198" width="13.15625" customWidth="1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3" max="7453" width="12.5234375" customWidth="1"/>
    <col min="7454" max="7454" width="13.15625" customWidth="1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9" max="7709" width="12.5234375" customWidth="1"/>
    <col min="7710" max="7710" width="13.15625" customWidth="1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5" max="7965" width="12.5234375" customWidth="1"/>
    <col min="7966" max="7966" width="13.15625" customWidth="1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21" max="8221" width="12.5234375" customWidth="1"/>
    <col min="8222" max="8222" width="13.15625" customWidth="1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7" max="8477" width="12.5234375" customWidth="1"/>
    <col min="8478" max="8478" width="13.15625" customWidth="1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3" max="8733" width="12.5234375" customWidth="1"/>
    <col min="8734" max="8734" width="13.15625" customWidth="1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9" max="8989" width="12.5234375" customWidth="1"/>
    <col min="8990" max="8990" width="13.15625" customWidth="1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5" max="9245" width="12.5234375" customWidth="1"/>
    <col min="9246" max="9246" width="13.15625" customWidth="1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501" max="9501" width="12.5234375" customWidth="1"/>
    <col min="9502" max="9502" width="13.15625" customWidth="1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7" max="9757" width="12.5234375" customWidth="1"/>
    <col min="9758" max="9758" width="13.15625" customWidth="1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3" max="10013" width="12.5234375" customWidth="1"/>
    <col min="10014" max="10014" width="13.15625" customWidth="1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9" max="10269" width="12.5234375" customWidth="1"/>
    <col min="10270" max="10270" width="13.15625" customWidth="1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5" max="10525" width="12.5234375" customWidth="1"/>
    <col min="10526" max="10526" width="13.15625" customWidth="1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81" max="10781" width="12.5234375" customWidth="1"/>
    <col min="10782" max="10782" width="13.15625" customWidth="1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7" max="11037" width="12.5234375" customWidth="1"/>
    <col min="11038" max="11038" width="13.15625" customWidth="1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3" max="11293" width="12.5234375" customWidth="1"/>
    <col min="11294" max="11294" width="13.15625" customWidth="1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9" max="11549" width="12.5234375" customWidth="1"/>
    <col min="11550" max="11550" width="13.15625" customWidth="1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5" max="11805" width="12.5234375" customWidth="1"/>
    <col min="11806" max="11806" width="13.15625" customWidth="1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61" max="12061" width="12.5234375" customWidth="1"/>
    <col min="12062" max="12062" width="13.15625" customWidth="1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7" max="12317" width="12.5234375" customWidth="1"/>
    <col min="12318" max="12318" width="13.15625" customWidth="1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3" max="12573" width="12.5234375" customWidth="1"/>
    <col min="12574" max="12574" width="13.15625" customWidth="1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9" max="12829" width="12.5234375" customWidth="1"/>
    <col min="12830" max="12830" width="13.15625" customWidth="1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5" max="13085" width="12.5234375" customWidth="1"/>
    <col min="13086" max="13086" width="13.15625" customWidth="1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41" max="13341" width="12.5234375" customWidth="1"/>
    <col min="13342" max="13342" width="13.15625" customWidth="1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7" max="13597" width="12.5234375" customWidth="1"/>
    <col min="13598" max="13598" width="13.15625" customWidth="1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3" max="13853" width="12.5234375" customWidth="1"/>
    <col min="13854" max="13854" width="13.15625" customWidth="1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9" max="14109" width="12.5234375" customWidth="1"/>
    <col min="14110" max="14110" width="13.15625" customWidth="1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5" max="14365" width="12.5234375" customWidth="1"/>
    <col min="14366" max="14366" width="13.15625" customWidth="1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21" max="14621" width="12.5234375" customWidth="1"/>
    <col min="14622" max="14622" width="13.15625" customWidth="1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7" max="14877" width="12.5234375" customWidth="1"/>
    <col min="14878" max="14878" width="13.15625" customWidth="1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3" max="15133" width="12.5234375" customWidth="1"/>
    <col min="15134" max="15134" width="13.15625" customWidth="1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9" max="15389" width="12.5234375" customWidth="1"/>
    <col min="15390" max="15390" width="13.15625" customWidth="1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5" max="15645" width="12.5234375" customWidth="1"/>
    <col min="15646" max="15646" width="13.15625" customWidth="1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901" max="15901" width="12.5234375" customWidth="1"/>
    <col min="15902" max="15902" width="13.15625" customWidth="1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7" max="16157" width="12.5234375" customWidth="1"/>
    <col min="16158" max="16158" width="13.15625" customWidth="1"/>
  </cols>
  <sheetData>
    <row r="1" spans="1:11" ht="14.5" customHeight="1" x14ac:dyDescent="0.55000000000000004">
      <c r="A1" s="270"/>
      <c r="B1" s="269" t="s">
        <v>39</v>
      </c>
      <c r="C1" s="269" t="s">
        <v>50</v>
      </c>
      <c r="D1" s="269" t="s">
        <v>53</v>
      </c>
      <c r="E1" s="269" t="s">
        <v>57</v>
      </c>
      <c r="F1" s="269" t="s">
        <v>58</v>
      </c>
      <c r="G1" s="269" t="s">
        <v>59</v>
      </c>
      <c r="H1" s="269" t="s">
        <v>60</v>
      </c>
      <c r="I1" s="269" t="s">
        <v>61</v>
      </c>
      <c r="J1" s="269" t="s">
        <v>62</v>
      </c>
      <c r="K1" s="269" t="s">
        <v>60</v>
      </c>
    </row>
    <row r="2" spans="1:11" ht="21.55" customHeight="1" x14ac:dyDescent="0.6">
      <c r="A2" s="270">
        <f>ROW()</f>
        <v>2</v>
      </c>
      <c r="B2" s="17" t="s">
        <v>261</v>
      </c>
      <c r="C2" s="39"/>
      <c r="D2" s="39"/>
      <c r="E2" s="39"/>
      <c r="F2" s="201"/>
      <c r="G2" s="201"/>
      <c r="H2" s="201"/>
      <c r="I2" s="39"/>
      <c r="J2" s="39"/>
      <c r="K2" s="39"/>
    </row>
    <row r="3" spans="1:11" x14ac:dyDescent="0.55000000000000004">
      <c r="A3" s="270">
        <f>ROW()</f>
        <v>3</v>
      </c>
      <c r="B3" s="233" t="s">
        <v>268</v>
      </c>
      <c r="C3" s="233"/>
      <c r="D3" s="233"/>
      <c r="E3" s="233"/>
      <c r="F3" s="234" t="s">
        <v>267</v>
      </c>
      <c r="G3" s="235"/>
      <c r="H3" s="235"/>
      <c r="I3" s="233"/>
      <c r="J3" s="233"/>
      <c r="K3" s="233"/>
    </row>
    <row r="4" spans="1:11" x14ac:dyDescent="0.55000000000000004">
      <c r="A4" s="270">
        <f>ROW()</f>
        <v>4</v>
      </c>
      <c r="E4" s="40"/>
      <c r="F4" s="195"/>
      <c r="G4" s="195"/>
      <c r="H4" s="195"/>
      <c r="I4" s="40"/>
      <c r="J4" s="40"/>
    </row>
    <row r="5" spans="1:11" ht="37.799999999999997" x14ac:dyDescent="0.55000000000000004">
      <c r="A5" s="270">
        <f>ROW()</f>
        <v>5</v>
      </c>
      <c r="B5" s="40" t="s">
        <v>80</v>
      </c>
      <c r="C5" s="40"/>
      <c r="D5" s="275">
        <v>1000</v>
      </c>
      <c r="E5" s="40"/>
      <c r="F5" s="228" t="s">
        <v>264</v>
      </c>
      <c r="G5" s="228" t="s">
        <v>271</v>
      </c>
      <c r="H5" s="228" t="s">
        <v>262</v>
      </c>
      <c r="I5" s="228" t="s">
        <v>263</v>
      </c>
      <c r="J5" s="40"/>
    </row>
    <row r="6" spans="1:11" x14ac:dyDescent="0.55000000000000004">
      <c r="A6" s="270">
        <f>ROW()</f>
        <v>6</v>
      </c>
      <c r="B6" s="40" t="s">
        <v>101</v>
      </c>
      <c r="C6" s="40"/>
      <c r="D6" s="42">
        <v>43480</v>
      </c>
      <c r="E6" s="40"/>
      <c r="F6" s="6">
        <v>0</v>
      </c>
      <c r="G6" s="211">
        <f>+D6</f>
        <v>43480</v>
      </c>
      <c r="J6" s="274" t="s">
        <v>314</v>
      </c>
    </row>
    <row r="7" spans="1:11" x14ac:dyDescent="0.55000000000000004">
      <c r="A7" s="270">
        <f>ROW()</f>
        <v>7</v>
      </c>
      <c r="B7" s="40" t="s">
        <v>102</v>
      </c>
      <c r="C7" s="40"/>
      <c r="D7" s="42">
        <v>45306</v>
      </c>
      <c r="E7" s="40"/>
      <c r="F7" s="195">
        <v>1</v>
      </c>
      <c r="G7" s="211">
        <f>+D6+181</f>
        <v>43661</v>
      </c>
      <c r="H7" s="273">
        <f>+$D$8/2*$D$5</f>
        <v>21.25</v>
      </c>
      <c r="I7" s="237">
        <f t="shared" ref="I7:I16" si="0">+H7/((1+$D$9/2)^F7)</f>
        <v>20.758034580443489</v>
      </c>
      <c r="J7" s="238" t="s">
        <v>311</v>
      </c>
    </row>
    <row r="8" spans="1:11" x14ac:dyDescent="0.55000000000000004">
      <c r="A8" s="270">
        <f>ROW()</f>
        <v>8</v>
      </c>
      <c r="B8" s="40" t="s">
        <v>103</v>
      </c>
      <c r="C8" s="40"/>
      <c r="D8" s="44">
        <v>4.2500000000000003E-2</v>
      </c>
      <c r="E8" s="40"/>
      <c r="F8" s="195">
        <v>2</v>
      </c>
      <c r="G8" s="211">
        <f>+G7+184</f>
        <v>43845</v>
      </c>
      <c r="H8" s="229">
        <f>+$D$8/2*$D$5</f>
        <v>21.25</v>
      </c>
      <c r="I8" s="230">
        <f t="shared" si="0"/>
        <v>20.277458806724123</v>
      </c>
      <c r="J8" s="272" t="s">
        <v>312</v>
      </c>
    </row>
    <row r="9" spans="1:11" x14ac:dyDescent="0.55000000000000004">
      <c r="A9" s="270">
        <f>ROW()</f>
        <v>9</v>
      </c>
      <c r="B9" s="45" t="s">
        <v>104</v>
      </c>
      <c r="C9" s="45"/>
      <c r="D9" s="46">
        <v>4.7399999999999998E-2</v>
      </c>
      <c r="E9" s="40"/>
      <c r="F9" s="195">
        <v>3</v>
      </c>
      <c r="G9" s="211">
        <f>+G8+182</f>
        <v>44027</v>
      </c>
      <c r="H9" s="229">
        <f t="shared" ref="H9:H15" si="1">+$D$8/2*$D$5</f>
        <v>21.25</v>
      </c>
      <c r="I9" s="230">
        <f t="shared" si="0"/>
        <v>19.808008993576362</v>
      </c>
      <c r="J9" s="272"/>
    </row>
    <row r="10" spans="1:11" x14ac:dyDescent="0.55000000000000004">
      <c r="A10" s="270">
        <f>ROW()</f>
        <v>10</v>
      </c>
      <c r="B10" s="40" t="s">
        <v>106</v>
      </c>
      <c r="C10" s="40"/>
      <c r="D10" s="40">
        <v>100</v>
      </c>
      <c r="E10" s="40"/>
      <c r="F10" s="195">
        <v>4</v>
      </c>
      <c r="G10" s="211">
        <f>+G9+184</f>
        <v>44211</v>
      </c>
      <c r="H10" s="229">
        <f t="shared" si="1"/>
        <v>21.25</v>
      </c>
      <c r="I10" s="230">
        <f t="shared" si="0"/>
        <v>19.349427560394997</v>
      </c>
      <c r="J10" s="272"/>
    </row>
    <row r="11" spans="1:11" x14ac:dyDescent="0.55000000000000004">
      <c r="A11" s="270">
        <f>ROW()</f>
        <v>11</v>
      </c>
      <c r="B11" s="40" t="s">
        <v>309</v>
      </c>
      <c r="C11" s="40"/>
      <c r="D11" s="40">
        <v>2</v>
      </c>
      <c r="E11" s="40"/>
      <c r="F11" s="195">
        <v>5</v>
      </c>
      <c r="G11" s="211">
        <f>+G10+181</f>
        <v>44392</v>
      </c>
      <c r="H11" s="229">
        <f t="shared" si="1"/>
        <v>21.25</v>
      </c>
      <c r="I11" s="230">
        <f t="shared" si="0"/>
        <v>18.901462889904266</v>
      </c>
      <c r="J11" s="40"/>
    </row>
    <row r="12" spans="1:11" ht="14.7" thickBot="1" x14ac:dyDescent="0.6">
      <c r="A12" s="270">
        <f>ROW()</f>
        <v>12</v>
      </c>
      <c r="B12" s="40"/>
      <c r="C12" s="40"/>
      <c r="D12" s="40"/>
      <c r="E12" s="50"/>
      <c r="F12" s="195">
        <v>6</v>
      </c>
      <c r="G12" s="211">
        <f>+G11+184</f>
        <v>44576</v>
      </c>
      <c r="H12" s="229">
        <f t="shared" si="1"/>
        <v>21.25</v>
      </c>
      <c r="I12" s="230">
        <f t="shared" si="0"/>
        <v>18.463869190098922</v>
      </c>
      <c r="J12" s="40"/>
    </row>
    <row r="13" spans="1:11" ht="14.7" thickBot="1" x14ac:dyDescent="0.6">
      <c r="A13" s="270">
        <f>ROW()</f>
        <v>13</v>
      </c>
      <c r="B13" s="48" t="s">
        <v>265</v>
      </c>
      <c r="C13" s="45"/>
      <c r="D13" s="49">
        <f>PRICE(D6,D7,D8,D9,D10,D11)</f>
        <v>97.841268296400656</v>
      </c>
      <c r="F13" s="195">
        <v>7</v>
      </c>
      <c r="G13" s="211">
        <f>+G12+181</f>
        <v>44757</v>
      </c>
      <c r="H13" s="229">
        <f t="shared" si="1"/>
        <v>21.25</v>
      </c>
      <c r="I13" s="230">
        <f t="shared" si="0"/>
        <v>18.036406359381573</v>
      </c>
    </row>
    <row r="14" spans="1:11" x14ac:dyDescent="0.55000000000000004">
      <c r="A14" s="270">
        <f>ROW()</f>
        <v>14</v>
      </c>
      <c r="F14" s="195">
        <v>8</v>
      </c>
      <c r="G14" s="211">
        <f>+G13+184</f>
        <v>44941</v>
      </c>
      <c r="H14" s="229">
        <f t="shared" si="1"/>
        <v>21.25</v>
      </c>
      <c r="I14" s="230">
        <f t="shared" si="0"/>
        <v>17.618839854822284</v>
      </c>
    </row>
    <row r="15" spans="1:11" x14ac:dyDescent="0.55000000000000004">
      <c r="A15" s="270">
        <f>ROW()</f>
        <v>15</v>
      </c>
      <c r="D15" s="236" t="s">
        <v>269</v>
      </c>
      <c r="F15" s="195">
        <v>9</v>
      </c>
      <c r="G15" s="211">
        <f>+G14+181</f>
        <v>45122</v>
      </c>
      <c r="H15" s="229">
        <f t="shared" si="1"/>
        <v>21.25</v>
      </c>
      <c r="I15" s="230">
        <f t="shared" si="0"/>
        <v>17.210940563468093</v>
      </c>
    </row>
    <row r="16" spans="1:11" x14ac:dyDescent="0.55000000000000004">
      <c r="A16" s="270">
        <f>ROW()</f>
        <v>16</v>
      </c>
      <c r="D16" s="236" t="s">
        <v>270</v>
      </c>
      <c r="F16" s="232">
        <v>10</v>
      </c>
      <c r="G16" s="239">
        <f>+G15+184</f>
        <v>45306</v>
      </c>
      <c r="H16" s="242">
        <f>+$D$8/2*$D$5+$D$5</f>
        <v>1021.25</v>
      </c>
      <c r="I16" s="240">
        <f t="shared" si="0"/>
        <v>807.98823416519258</v>
      </c>
    </row>
    <row r="17" spans="1:11" x14ac:dyDescent="0.55000000000000004">
      <c r="A17" s="270">
        <f>ROW()</f>
        <v>17</v>
      </c>
      <c r="F17" s="195"/>
      <c r="G17" s="211"/>
      <c r="H17" s="229"/>
      <c r="I17" s="230"/>
    </row>
    <row r="18" spans="1:11" ht="14.7" thickBot="1" x14ac:dyDescent="0.6">
      <c r="A18" s="270">
        <f>ROW()</f>
        <v>18</v>
      </c>
      <c r="E18" s="242" t="s">
        <v>313</v>
      </c>
      <c r="H18" s="13" t="s">
        <v>266</v>
      </c>
      <c r="I18" s="241">
        <f>SUM(I7:I16)</f>
        <v>978.41268296400665</v>
      </c>
      <c r="J18" s="241" t="s">
        <v>272</v>
      </c>
    </row>
    <row r="19" spans="1:11" ht="14.7" thickBot="1" x14ac:dyDescent="0.6">
      <c r="A19" s="270">
        <f>ROW()</f>
        <v>19</v>
      </c>
      <c r="H19" s="231" t="s">
        <v>72</v>
      </c>
      <c r="I19" s="271">
        <f>+I18/10</f>
        <v>97.841268296400671</v>
      </c>
      <c r="J19" s="6" t="s">
        <v>310</v>
      </c>
    </row>
    <row r="20" spans="1:11" x14ac:dyDescent="0.55000000000000004">
      <c r="A20" s="270">
        <f>ROW()</f>
        <v>20</v>
      </c>
      <c r="K20" s="13"/>
    </row>
    <row r="21" spans="1:11" ht="3" customHeight="1" x14ac:dyDescent="0.55000000000000004">
      <c r="K21" s="13"/>
    </row>
    <row r="22" spans="1:11" x14ac:dyDescent="0.55000000000000004">
      <c r="A22" s="276"/>
      <c r="B22" s="276"/>
      <c r="C22" s="276"/>
      <c r="D22" s="276"/>
      <c r="E22" s="276"/>
      <c r="F22" s="277"/>
      <c r="G22" s="277"/>
      <c r="H22" s="277"/>
      <c r="I22" s="276"/>
      <c r="J22" s="276"/>
      <c r="K22" s="278" t="s">
        <v>210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23BC-1107-4FBE-ABFB-C97C6B3740D6}">
  <dimension ref="A1:I34"/>
  <sheetViews>
    <sheetView showGridLines="0" topLeftCell="A7" workbookViewId="0">
      <selection activeCell="C30" sqref="C30"/>
    </sheetView>
  </sheetViews>
  <sheetFormatPr defaultRowHeight="14.4" x14ac:dyDescent="0.55000000000000004"/>
  <cols>
    <col min="1" max="1" width="11.3671875" customWidth="1"/>
    <col min="2" max="2" width="10.26171875" bestFit="1" customWidth="1"/>
    <col min="3" max="3" width="9.47265625" customWidth="1"/>
    <col min="4" max="5" width="12.5234375" customWidth="1"/>
    <col min="6" max="6" width="10.26171875" bestFit="1" customWidth="1"/>
    <col min="7" max="12" width="11.26171875" customWidth="1"/>
    <col min="13" max="13" width="12.15625" customWidth="1"/>
    <col min="14" max="14" width="4.1015625" customWidth="1"/>
    <col min="15" max="15" width="4.7890625" customWidth="1"/>
    <col min="16" max="16" width="11.26171875" customWidth="1"/>
    <col min="17" max="17" width="12" customWidth="1"/>
    <col min="18" max="18" width="12.26171875" customWidth="1"/>
    <col min="19" max="19" width="11" customWidth="1"/>
    <col min="20" max="20" width="10.7890625" customWidth="1"/>
    <col min="21" max="21" width="12" customWidth="1"/>
    <col min="22" max="22" width="14.7890625" customWidth="1"/>
    <col min="23" max="23" width="13.734375" customWidth="1"/>
    <col min="24" max="24" width="13.7890625" customWidth="1"/>
    <col min="28" max="28" width="12.5234375" customWidth="1"/>
    <col min="29" max="29" width="13.15625" customWidth="1"/>
    <col min="256" max="256" width="4.26171875" customWidth="1"/>
    <col min="257" max="257" width="18.26171875" customWidth="1"/>
    <col min="258" max="258" width="10.26171875" bestFit="1" customWidth="1"/>
    <col min="259" max="259" width="11.47265625" customWidth="1"/>
    <col min="260" max="261" width="12.5234375" customWidth="1"/>
    <col min="262" max="262" width="10.26171875" bestFit="1" customWidth="1"/>
    <col min="263" max="268" width="11.26171875" customWidth="1"/>
    <col min="269" max="269" width="12.15625" customWidth="1"/>
    <col min="270" max="270" width="4.1015625" customWidth="1"/>
    <col min="271" max="271" width="4.7890625" customWidth="1"/>
    <col min="272" max="272" width="11.26171875" customWidth="1"/>
    <col min="273" max="273" width="12" customWidth="1"/>
    <col min="274" max="274" width="12.26171875" customWidth="1"/>
    <col min="275" max="275" width="11" customWidth="1"/>
    <col min="276" max="276" width="10.7890625" customWidth="1"/>
    <col min="277" max="277" width="12" customWidth="1"/>
    <col min="278" max="278" width="14.7890625" customWidth="1"/>
    <col min="279" max="279" width="13.734375" customWidth="1"/>
    <col min="280" max="280" width="13.7890625" customWidth="1"/>
    <col min="284" max="284" width="12.5234375" customWidth="1"/>
    <col min="285" max="285" width="13.15625" customWidth="1"/>
    <col min="512" max="512" width="4.26171875" customWidth="1"/>
    <col min="513" max="513" width="18.26171875" customWidth="1"/>
    <col min="514" max="514" width="10.26171875" bestFit="1" customWidth="1"/>
    <col min="515" max="515" width="11.47265625" customWidth="1"/>
    <col min="516" max="517" width="12.5234375" customWidth="1"/>
    <col min="518" max="518" width="10.26171875" bestFit="1" customWidth="1"/>
    <col min="519" max="524" width="11.26171875" customWidth="1"/>
    <col min="525" max="525" width="12.15625" customWidth="1"/>
    <col min="526" max="526" width="4.1015625" customWidth="1"/>
    <col min="527" max="527" width="4.7890625" customWidth="1"/>
    <col min="528" max="528" width="11.26171875" customWidth="1"/>
    <col min="529" max="529" width="12" customWidth="1"/>
    <col min="530" max="530" width="12.26171875" customWidth="1"/>
    <col min="531" max="531" width="11" customWidth="1"/>
    <col min="532" max="532" width="10.7890625" customWidth="1"/>
    <col min="533" max="533" width="12" customWidth="1"/>
    <col min="534" max="534" width="14.7890625" customWidth="1"/>
    <col min="535" max="535" width="13.734375" customWidth="1"/>
    <col min="536" max="536" width="13.7890625" customWidth="1"/>
    <col min="540" max="540" width="12.5234375" customWidth="1"/>
    <col min="541" max="541" width="13.15625" customWidth="1"/>
    <col min="768" max="768" width="4.26171875" customWidth="1"/>
    <col min="769" max="769" width="18.26171875" customWidth="1"/>
    <col min="770" max="770" width="10.26171875" bestFit="1" customWidth="1"/>
    <col min="771" max="771" width="11.47265625" customWidth="1"/>
    <col min="772" max="773" width="12.5234375" customWidth="1"/>
    <col min="774" max="774" width="10.26171875" bestFit="1" customWidth="1"/>
    <col min="775" max="780" width="11.26171875" customWidth="1"/>
    <col min="781" max="781" width="12.15625" customWidth="1"/>
    <col min="782" max="782" width="4.1015625" customWidth="1"/>
    <col min="783" max="783" width="4.7890625" customWidth="1"/>
    <col min="784" max="784" width="11.26171875" customWidth="1"/>
    <col min="785" max="785" width="12" customWidth="1"/>
    <col min="786" max="786" width="12.26171875" customWidth="1"/>
    <col min="787" max="787" width="11" customWidth="1"/>
    <col min="788" max="788" width="10.7890625" customWidth="1"/>
    <col min="789" max="789" width="12" customWidth="1"/>
    <col min="790" max="790" width="14.7890625" customWidth="1"/>
    <col min="791" max="791" width="13.734375" customWidth="1"/>
    <col min="792" max="792" width="13.7890625" customWidth="1"/>
    <col min="796" max="796" width="12.5234375" customWidth="1"/>
    <col min="797" max="797" width="13.15625" customWidth="1"/>
    <col min="1024" max="1024" width="4.26171875" customWidth="1"/>
    <col min="1025" max="1025" width="18.26171875" customWidth="1"/>
    <col min="1026" max="1026" width="10.26171875" bestFit="1" customWidth="1"/>
    <col min="1027" max="1027" width="11.47265625" customWidth="1"/>
    <col min="1028" max="1029" width="12.5234375" customWidth="1"/>
    <col min="1030" max="1030" width="10.26171875" bestFit="1" customWidth="1"/>
    <col min="1031" max="1036" width="11.26171875" customWidth="1"/>
    <col min="1037" max="1037" width="12.15625" customWidth="1"/>
    <col min="1038" max="1038" width="4.1015625" customWidth="1"/>
    <col min="1039" max="1039" width="4.7890625" customWidth="1"/>
    <col min="1040" max="1040" width="11.26171875" customWidth="1"/>
    <col min="1041" max="1041" width="12" customWidth="1"/>
    <col min="1042" max="1042" width="12.26171875" customWidth="1"/>
    <col min="1043" max="1043" width="11" customWidth="1"/>
    <col min="1044" max="1044" width="10.7890625" customWidth="1"/>
    <col min="1045" max="1045" width="12" customWidth="1"/>
    <col min="1046" max="1046" width="14.7890625" customWidth="1"/>
    <col min="1047" max="1047" width="13.734375" customWidth="1"/>
    <col min="1048" max="1048" width="13.7890625" customWidth="1"/>
    <col min="1052" max="1052" width="12.5234375" customWidth="1"/>
    <col min="1053" max="1053" width="13.15625" customWidth="1"/>
    <col min="1280" max="1280" width="4.26171875" customWidth="1"/>
    <col min="1281" max="1281" width="18.26171875" customWidth="1"/>
    <col min="1282" max="1282" width="10.26171875" bestFit="1" customWidth="1"/>
    <col min="1283" max="1283" width="11.47265625" customWidth="1"/>
    <col min="1284" max="1285" width="12.5234375" customWidth="1"/>
    <col min="1286" max="1286" width="10.26171875" bestFit="1" customWidth="1"/>
    <col min="1287" max="1292" width="11.26171875" customWidth="1"/>
    <col min="1293" max="1293" width="12.15625" customWidth="1"/>
    <col min="1294" max="1294" width="4.1015625" customWidth="1"/>
    <col min="1295" max="1295" width="4.7890625" customWidth="1"/>
    <col min="1296" max="1296" width="11.26171875" customWidth="1"/>
    <col min="1297" max="1297" width="12" customWidth="1"/>
    <col min="1298" max="1298" width="12.26171875" customWidth="1"/>
    <col min="1299" max="1299" width="11" customWidth="1"/>
    <col min="1300" max="1300" width="10.7890625" customWidth="1"/>
    <col min="1301" max="1301" width="12" customWidth="1"/>
    <col min="1302" max="1302" width="14.7890625" customWidth="1"/>
    <col min="1303" max="1303" width="13.734375" customWidth="1"/>
    <col min="1304" max="1304" width="13.7890625" customWidth="1"/>
    <col min="1308" max="1308" width="12.5234375" customWidth="1"/>
    <col min="1309" max="1309" width="13.15625" customWidth="1"/>
    <col min="1536" max="1536" width="4.26171875" customWidth="1"/>
    <col min="1537" max="1537" width="18.26171875" customWidth="1"/>
    <col min="1538" max="1538" width="10.26171875" bestFit="1" customWidth="1"/>
    <col min="1539" max="1539" width="11.47265625" customWidth="1"/>
    <col min="1540" max="1541" width="12.5234375" customWidth="1"/>
    <col min="1542" max="1542" width="10.26171875" bestFit="1" customWidth="1"/>
    <col min="1543" max="1548" width="11.26171875" customWidth="1"/>
    <col min="1549" max="1549" width="12.15625" customWidth="1"/>
    <col min="1550" max="1550" width="4.1015625" customWidth="1"/>
    <col min="1551" max="1551" width="4.7890625" customWidth="1"/>
    <col min="1552" max="1552" width="11.26171875" customWidth="1"/>
    <col min="1553" max="1553" width="12" customWidth="1"/>
    <col min="1554" max="1554" width="12.26171875" customWidth="1"/>
    <col min="1555" max="1555" width="11" customWidth="1"/>
    <col min="1556" max="1556" width="10.7890625" customWidth="1"/>
    <col min="1557" max="1557" width="12" customWidth="1"/>
    <col min="1558" max="1558" width="14.7890625" customWidth="1"/>
    <col min="1559" max="1559" width="13.734375" customWidth="1"/>
    <col min="1560" max="1560" width="13.7890625" customWidth="1"/>
    <col min="1564" max="1564" width="12.5234375" customWidth="1"/>
    <col min="1565" max="1565" width="13.15625" customWidth="1"/>
    <col min="1792" max="1792" width="4.26171875" customWidth="1"/>
    <col min="1793" max="1793" width="18.26171875" customWidth="1"/>
    <col min="1794" max="1794" width="10.26171875" bestFit="1" customWidth="1"/>
    <col min="1795" max="1795" width="11.47265625" customWidth="1"/>
    <col min="1796" max="1797" width="12.5234375" customWidth="1"/>
    <col min="1798" max="1798" width="10.26171875" bestFit="1" customWidth="1"/>
    <col min="1799" max="1804" width="11.26171875" customWidth="1"/>
    <col min="1805" max="1805" width="12.15625" customWidth="1"/>
    <col min="1806" max="1806" width="4.1015625" customWidth="1"/>
    <col min="1807" max="1807" width="4.7890625" customWidth="1"/>
    <col min="1808" max="1808" width="11.26171875" customWidth="1"/>
    <col min="1809" max="1809" width="12" customWidth="1"/>
    <col min="1810" max="1810" width="12.26171875" customWidth="1"/>
    <col min="1811" max="1811" width="11" customWidth="1"/>
    <col min="1812" max="1812" width="10.7890625" customWidth="1"/>
    <col min="1813" max="1813" width="12" customWidth="1"/>
    <col min="1814" max="1814" width="14.7890625" customWidth="1"/>
    <col min="1815" max="1815" width="13.734375" customWidth="1"/>
    <col min="1816" max="1816" width="13.7890625" customWidth="1"/>
    <col min="1820" max="1820" width="12.5234375" customWidth="1"/>
    <col min="1821" max="1821" width="13.15625" customWidth="1"/>
    <col min="2048" max="2048" width="4.26171875" customWidth="1"/>
    <col min="2049" max="2049" width="18.26171875" customWidth="1"/>
    <col min="2050" max="2050" width="10.26171875" bestFit="1" customWidth="1"/>
    <col min="2051" max="2051" width="11.47265625" customWidth="1"/>
    <col min="2052" max="2053" width="12.5234375" customWidth="1"/>
    <col min="2054" max="2054" width="10.26171875" bestFit="1" customWidth="1"/>
    <col min="2055" max="2060" width="11.26171875" customWidth="1"/>
    <col min="2061" max="2061" width="12.15625" customWidth="1"/>
    <col min="2062" max="2062" width="4.1015625" customWidth="1"/>
    <col min="2063" max="2063" width="4.7890625" customWidth="1"/>
    <col min="2064" max="2064" width="11.26171875" customWidth="1"/>
    <col min="2065" max="2065" width="12" customWidth="1"/>
    <col min="2066" max="2066" width="12.26171875" customWidth="1"/>
    <col min="2067" max="2067" width="11" customWidth="1"/>
    <col min="2068" max="2068" width="10.7890625" customWidth="1"/>
    <col min="2069" max="2069" width="12" customWidth="1"/>
    <col min="2070" max="2070" width="14.7890625" customWidth="1"/>
    <col min="2071" max="2071" width="13.734375" customWidth="1"/>
    <col min="2072" max="2072" width="13.7890625" customWidth="1"/>
    <col min="2076" max="2076" width="12.5234375" customWidth="1"/>
    <col min="2077" max="2077" width="13.15625" customWidth="1"/>
    <col min="2304" max="2304" width="4.26171875" customWidth="1"/>
    <col min="2305" max="2305" width="18.26171875" customWidth="1"/>
    <col min="2306" max="2306" width="10.26171875" bestFit="1" customWidth="1"/>
    <col min="2307" max="2307" width="11.47265625" customWidth="1"/>
    <col min="2308" max="2309" width="12.5234375" customWidth="1"/>
    <col min="2310" max="2310" width="10.26171875" bestFit="1" customWidth="1"/>
    <col min="2311" max="2316" width="11.26171875" customWidth="1"/>
    <col min="2317" max="2317" width="12.15625" customWidth="1"/>
    <col min="2318" max="2318" width="4.1015625" customWidth="1"/>
    <col min="2319" max="2319" width="4.7890625" customWidth="1"/>
    <col min="2320" max="2320" width="11.26171875" customWidth="1"/>
    <col min="2321" max="2321" width="12" customWidth="1"/>
    <col min="2322" max="2322" width="12.26171875" customWidth="1"/>
    <col min="2323" max="2323" width="11" customWidth="1"/>
    <col min="2324" max="2324" width="10.7890625" customWidth="1"/>
    <col min="2325" max="2325" width="12" customWidth="1"/>
    <col min="2326" max="2326" width="14.7890625" customWidth="1"/>
    <col min="2327" max="2327" width="13.734375" customWidth="1"/>
    <col min="2328" max="2328" width="13.7890625" customWidth="1"/>
    <col min="2332" max="2332" width="12.5234375" customWidth="1"/>
    <col min="2333" max="2333" width="13.15625" customWidth="1"/>
    <col min="2560" max="2560" width="4.26171875" customWidth="1"/>
    <col min="2561" max="2561" width="18.26171875" customWidth="1"/>
    <col min="2562" max="2562" width="10.26171875" bestFit="1" customWidth="1"/>
    <col min="2563" max="2563" width="11.47265625" customWidth="1"/>
    <col min="2564" max="2565" width="12.5234375" customWidth="1"/>
    <col min="2566" max="2566" width="10.26171875" bestFit="1" customWidth="1"/>
    <col min="2567" max="2572" width="11.26171875" customWidth="1"/>
    <col min="2573" max="2573" width="12.15625" customWidth="1"/>
    <col min="2574" max="2574" width="4.1015625" customWidth="1"/>
    <col min="2575" max="2575" width="4.7890625" customWidth="1"/>
    <col min="2576" max="2576" width="11.26171875" customWidth="1"/>
    <col min="2577" max="2577" width="12" customWidth="1"/>
    <col min="2578" max="2578" width="12.26171875" customWidth="1"/>
    <col min="2579" max="2579" width="11" customWidth="1"/>
    <col min="2580" max="2580" width="10.7890625" customWidth="1"/>
    <col min="2581" max="2581" width="12" customWidth="1"/>
    <col min="2582" max="2582" width="14.7890625" customWidth="1"/>
    <col min="2583" max="2583" width="13.734375" customWidth="1"/>
    <col min="2584" max="2584" width="13.7890625" customWidth="1"/>
    <col min="2588" max="2588" width="12.5234375" customWidth="1"/>
    <col min="2589" max="2589" width="13.15625" customWidth="1"/>
    <col min="2816" max="2816" width="4.26171875" customWidth="1"/>
    <col min="2817" max="2817" width="18.26171875" customWidth="1"/>
    <col min="2818" max="2818" width="10.26171875" bestFit="1" customWidth="1"/>
    <col min="2819" max="2819" width="11.47265625" customWidth="1"/>
    <col min="2820" max="2821" width="12.5234375" customWidth="1"/>
    <col min="2822" max="2822" width="10.26171875" bestFit="1" customWidth="1"/>
    <col min="2823" max="2828" width="11.26171875" customWidth="1"/>
    <col min="2829" max="2829" width="12.15625" customWidth="1"/>
    <col min="2830" max="2830" width="4.1015625" customWidth="1"/>
    <col min="2831" max="2831" width="4.7890625" customWidth="1"/>
    <col min="2832" max="2832" width="11.26171875" customWidth="1"/>
    <col min="2833" max="2833" width="12" customWidth="1"/>
    <col min="2834" max="2834" width="12.26171875" customWidth="1"/>
    <col min="2835" max="2835" width="11" customWidth="1"/>
    <col min="2836" max="2836" width="10.7890625" customWidth="1"/>
    <col min="2837" max="2837" width="12" customWidth="1"/>
    <col min="2838" max="2838" width="14.7890625" customWidth="1"/>
    <col min="2839" max="2839" width="13.734375" customWidth="1"/>
    <col min="2840" max="2840" width="13.7890625" customWidth="1"/>
    <col min="2844" max="2844" width="12.5234375" customWidth="1"/>
    <col min="2845" max="2845" width="13.15625" customWidth="1"/>
    <col min="3072" max="3072" width="4.26171875" customWidth="1"/>
    <col min="3073" max="3073" width="18.26171875" customWidth="1"/>
    <col min="3074" max="3074" width="10.26171875" bestFit="1" customWidth="1"/>
    <col min="3075" max="3075" width="11.47265625" customWidth="1"/>
    <col min="3076" max="3077" width="12.5234375" customWidth="1"/>
    <col min="3078" max="3078" width="10.26171875" bestFit="1" customWidth="1"/>
    <col min="3079" max="3084" width="11.26171875" customWidth="1"/>
    <col min="3085" max="3085" width="12.15625" customWidth="1"/>
    <col min="3086" max="3086" width="4.1015625" customWidth="1"/>
    <col min="3087" max="3087" width="4.7890625" customWidth="1"/>
    <col min="3088" max="3088" width="11.26171875" customWidth="1"/>
    <col min="3089" max="3089" width="12" customWidth="1"/>
    <col min="3090" max="3090" width="12.26171875" customWidth="1"/>
    <col min="3091" max="3091" width="11" customWidth="1"/>
    <col min="3092" max="3092" width="10.7890625" customWidth="1"/>
    <col min="3093" max="3093" width="12" customWidth="1"/>
    <col min="3094" max="3094" width="14.7890625" customWidth="1"/>
    <col min="3095" max="3095" width="13.734375" customWidth="1"/>
    <col min="3096" max="3096" width="13.7890625" customWidth="1"/>
    <col min="3100" max="3100" width="12.5234375" customWidth="1"/>
    <col min="3101" max="3101" width="13.15625" customWidth="1"/>
    <col min="3328" max="3328" width="4.26171875" customWidth="1"/>
    <col min="3329" max="3329" width="18.26171875" customWidth="1"/>
    <col min="3330" max="3330" width="10.26171875" bestFit="1" customWidth="1"/>
    <col min="3331" max="3331" width="11.47265625" customWidth="1"/>
    <col min="3332" max="3333" width="12.5234375" customWidth="1"/>
    <col min="3334" max="3334" width="10.26171875" bestFit="1" customWidth="1"/>
    <col min="3335" max="3340" width="11.26171875" customWidth="1"/>
    <col min="3341" max="3341" width="12.15625" customWidth="1"/>
    <col min="3342" max="3342" width="4.1015625" customWidth="1"/>
    <col min="3343" max="3343" width="4.7890625" customWidth="1"/>
    <col min="3344" max="3344" width="11.26171875" customWidth="1"/>
    <col min="3345" max="3345" width="12" customWidth="1"/>
    <col min="3346" max="3346" width="12.26171875" customWidth="1"/>
    <col min="3347" max="3347" width="11" customWidth="1"/>
    <col min="3348" max="3348" width="10.7890625" customWidth="1"/>
    <col min="3349" max="3349" width="12" customWidth="1"/>
    <col min="3350" max="3350" width="14.7890625" customWidth="1"/>
    <col min="3351" max="3351" width="13.734375" customWidth="1"/>
    <col min="3352" max="3352" width="13.7890625" customWidth="1"/>
    <col min="3356" max="3356" width="12.5234375" customWidth="1"/>
    <col min="3357" max="3357" width="13.15625" customWidth="1"/>
    <col min="3584" max="3584" width="4.26171875" customWidth="1"/>
    <col min="3585" max="3585" width="18.26171875" customWidth="1"/>
    <col min="3586" max="3586" width="10.26171875" bestFit="1" customWidth="1"/>
    <col min="3587" max="3587" width="11.47265625" customWidth="1"/>
    <col min="3588" max="3589" width="12.5234375" customWidth="1"/>
    <col min="3590" max="3590" width="10.26171875" bestFit="1" customWidth="1"/>
    <col min="3591" max="3596" width="11.26171875" customWidth="1"/>
    <col min="3597" max="3597" width="12.15625" customWidth="1"/>
    <col min="3598" max="3598" width="4.1015625" customWidth="1"/>
    <col min="3599" max="3599" width="4.7890625" customWidth="1"/>
    <col min="3600" max="3600" width="11.26171875" customWidth="1"/>
    <col min="3601" max="3601" width="12" customWidth="1"/>
    <col min="3602" max="3602" width="12.26171875" customWidth="1"/>
    <col min="3603" max="3603" width="11" customWidth="1"/>
    <col min="3604" max="3604" width="10.7890625" customWidth="1"/>
    <col min="3605" max="3605" width="12" customWidth="1"/>
    <col min="3606" max="3606" width="14.7890625" customWidth="1"/>
    <col min="3607" max="3607" width="13.734375" customWidth="1"/>
    <col min="3608" max="3608" width="13.7890625" customWidth="1"/>
    <col min="3612" max="3612" width="12.5234375" customWidth="1"/>
    <col min="3613" max="3613" width="13.15625" customWidth="1"/>
    <col min="3840" max="3840" width="4.26171875" customWidth="1"/>
    <col min="3841" max="3841" width="18.26171875" customWidth="1"/>
    <col min="3842" max="3842" width="10.26171875" bestFit="1" customWidth="1"/>
    <col min="3843" max="3843" width="11.47265625" customWidth="1"/>
    <col min="3844" max="3845" width="12.5234375" customWidth="1"/>
    <col min="3846" max="3846" width="10.26171875" bestFit="1" customWidth="1"/>
    <col min="3847" max="3852" width="11.26171875" customWidth="1"/>
    <col min="3853" max="3853" width="12.15625" customWidth="1"/>
    <col min="3854" max="3854" width="4.1015625" customWidth="1"/>
    <col min="3855" max="3855" width="4.7890625" customWidth="1"/>
    <col min="3856" max="3856" width="11.26171875" customWidth="1"/>
    <col min="3857" max="3857" width="12" customWidth="1"/>
    <col min="3858" max="3858" width="12.26171875" customWidth="1"/>
    <col min="3859" max="3859" width="11" customWidth="1"/>
    <col min="3860" max="3860" width="10.7890625" customWidth="1"/>
    <col min="3861" max="3861" width="12" customWidth="1"/>
    <col min="3862" max="3862" width="14.7890625" customWidth="1"/>
    <col min="3863" max="3863" width="13.734375" customWidth="1"/>
    <col min="3864" max="3864" width="13.7890625" customWidth="1"/>
    <col min="3868" max="3868" width="12.5234375" customWidth="1"/>
    <col min="3869" max="3869" width="13.15625" customWidth="1"/>
    <col min="4096" max="4096" width="4.26171875" customWidth="1"/>
    <col min="4097" max="4097" width="18.26171875" customWidth="1"/>
    <col min="4098" max="4098" width="10.26171875" bestFit="1" customWidth="1"/>
    <col min="4099" max="4099" width="11.47265625" customWidth="1"/>
    <col min="4100" max="4101" width="12.5234375" customWidth="1"/>
    <col min="4102" max="4102" width="10.26171875" bestFit="1" customWidth="1"/>
    <col min="4103" max="4108" width="11.26171875" customWidth="1"/>
    <col min="4109" max="4109" width="12.15625" customWidth="1"/>
    <col min="4110" max="4110" width="4.1015625" customWidth="1"/>
    <col min="4111" max="4111" width="4.7890625" customWidth="1"/>
    <col min="4112" max="4112" width="11.26171875" customWidth="1"/>
    <col min="4113" max="4113" width="12" customWidth="1"/>
    <col min="4114" max="4114" width="12.26171875" customWidth="1"/>
    <col min="4115" max="4115" width="11" customWidth="1"/>
    <col min="4116" max="4116" width="10.7890625" customWidth="1"/>
    <col min="4117" max="4117" width="12" customWidth="1"/>
    <col min="4118" max="4118" width="14.7890625" customWidth="1"/>
    <col min="4119" max="4119" width="13.734375" customWidth="1"/>
    <col min="4120" max="4120" width="13.7890625" customWidth="1"/>
    <col min="4124" max="4124" width="12.5234375" customWidth="1"/>
    <col min="4125" max="4125" width="13.15625" customWidth="1"/>
    <col min="4352" max="4352" width="4.26171875" customWidth="1"/>
    <col min="4353" max="4353" width="18.26171875" customWidth="1"/>
    <col min="4354" max="4354" width="10.26171875" bestFit="1" customWidth="1"/>
    <col min="4355" max="4355" width="11.47265625" customWidth="1"/>
    <col min="4356" max="4357" width="12.5234375" customWidth="1"/>
    <col min="4358" max="4358" width="10.26171875" bestFit="1" customWidth="1"/>
    <col min="4359" max="4364" width="11.26171875" customWidth="1"/>
    <col min="4365" max="4365" width="12.15625" customWidth="1"/>
    <col min="4366" max="4366" width="4.1015625" customWidth="1"/>
    <col min="4367" max="4367" width="4.7890625" customWidth="1"/>
    <col min="4368" max="4368" width="11.26171875" customWidth="1"/>
    <col min="4369" max="4369" width="12" customWidth="1"/>
    <col min="4370" max="4370" width="12.26171875" customWidth="1"/>
    <col min="4371" max="4371" width="11" customWidth="1"/>
    <col min="4372" max="4372" width="10.7890625" customWidth="1"/>
    <col min="4373" max="4373" width="12" customWidth="1"/>
    <col min="4374" max="4374" width="14.7890625" customWidth="1"/>
    <col min="4375" max="4375" width="13.734375" customWidth="1"/>
    <col min="4376" max="4376" width="13.7890625" customWidth="1"/>
    <col min="4380" max="4380" width="12.5234375" customWidth="1"/>
    <col min="4381" max="4381" width="13.15625" customWidth="1"/>
    <col min="4608" max="4608" width="4.26171875" customWidth="1"/>
    <col min="4609" max="4609" width="18.26171875" customWidth="1"/>
    <col min="4610" max="4610" width="10.26171875" bestFit="1" customWidth="1"/>
    <col min="4611" max="4611" width="11.47265625" customWidth="1"/>
    <col min="4612" max="4613" width="12.5234375" customWidth="1"/>
    <col min="4614" max="4614" width="10.26171875" bestFit="1" customWidth="1"/>
    <col min="4615" max="4620" width="11.26171875" customWidth="1"/>
    <col min="4621" max="4621" width="12.15625" customWidth="1"/>
    <col min="4622" max="4622" width="4.1015625" customWidth="1"/>
    <col min="4623" max="4623" width="4.7890625" customWidth="1"/>
    <col min="4624" max="4624" width="11.26171875" customWidth="1"/>
    <col min="4625" max="4625" width="12" customWidth="1"/>
    <col min="4626" max="4626" width="12.26171875" customWidth="1"/>
    <col min="4627" max="4627" width="11" customWidth="1"/>
    <col min="4628" max="4628" width="10.7890625" customWidth="1"/>
    <col min="4629" max="4629" width="12" customWidth="1"/>
    <col min="4630" max="4630" width="14.7890625" customWidth="1"/>
    <col min="4631" max="4631" width="13.734375" customWidth="1"/>
    <col min="4632" max="4632" width="13.7890625" customWidth="1"/>
    <col min="4636" max="4636" width="12.5234375" customWidth="1"/>
    <col min="4637" max="4637" width="13.15625" customWidth="1"/>
    <col min="4864" max="4864" width="4.26171875" customWidth="1"/>
    <col min="4865" max="4865" width="18.26171875" customWidth="1"/>
    <col min="4866" max="4866" width="10.26171875" bestFit="1" customWidth="1"/>
    <col min="4867" max="4867" width="11.47265625" customWidth="1"/>
    <col min="4868" max="4869" width="12.5234375" customWidth="1"/>
    <col min="4870" max="4870" width="10.26171875" bestFit="1" customWidth="1"/>
    <col min="4871" max="4876" width="11.26171875" customWidth="1"/>
    <col min="4877" max="4877" width="12.15625" customWidth="1"/>
    <col min="4878" max="4878" width="4.1015625" customWidth="1"/>
    <col min="4879" max="4879" width="4.7890625" customWidth="1"/>
    <col min="4880" max="4880" width="11.26171875" customWidth="1"/>
    <col min="4881" max="4881" width="12" customWidth="1"/>
    <col min="4882" max="4882" width="12.26171875" customWidth="1"/>
    <col min="4883" max="4883" width="11" customWidth="1"/>
    <col min="4884" max="4884" width="10.7890625" customWidth="1"/>
    <col min="4885" max="4885" width="12" customWidth="1"/>
    <col min="4886" max="4886" width="14.7890625" customWidth="1"/>
    <col min="4887" max="4887" width="13.734375" customWidth="1"/>
    <col min="4888" max="4888" width="13.7890625" customWidth="1"/>
    <col min="4892" max="4892" width="12.5234375" customWidth="1"/>
    <col min="4893" max="4893" width="13.15625" customWidth="1"/>
    <col min="5120" max="5120" width="4.26171875" customWidth="1"/>
    <col min="5121" max="5121" width="18.26171875" customWidth="1"/>
    <col min="5122" max="5122" width="10.26171875" bestFit="1" customWidth="1"/>
    <col min="5123" max="5123" width="11.47265625" customWidth="1"/>
    <col min="5124" max="5125" width="12.5234375" customWidth="1"/>
    <col min="5126" max="5126" width="10.26171875" bestFit="1" customWidth="1"/>
    <col min="5127" max="5132" width="11.26171875" customWidth="1"/>
    <col min="5133" max="5133" width="12.15625" customWidth="1"/>
    <col min="5134" max="5134" width="4.1015625" customWidth="1"/>
    <col min="5135" max="5135" width="4.7890625" customWidth="1"/>
    <col min="5136" max="5136" width="11.26171875" customWidth="1"/>
    <col min="5137" max="5137" width="12" customWidth="1"/>
    <col min="5138" max="5138" width="12.26171875" customWidth="1"/>
    <col min="5139" max="5139" width="11" customWidth="1"/>
    <col min="5140" max="5140" width="10.7890625" customWidth="1"/>
    <col min="5141" max="5141" width="12" customWidth="1"/>
    <col min="5142" max="5142" width="14.7890625" customWidth="1"/>
    <col min="5143" max="5143" width="13.734375" customWidth="1"/>
    <col min="5144" max="5144" width="13.7890625" customWidth="1"/>
    <col min="5148" max="5148" width="12.5234375" customWidth="1"/>
    <col min="5149" max="5149" width="13.15625" customWidth="1"/>
    <col min="5376" max="5376" width="4.26171875" customWidth="1"/>
    <col min="5377" max="5377" width="18.26171875" customWidth="1"/>
    <col min="5378" max="5378" width="10.26171875" bestFit="1" customWidth="1"/>
    <col min="5379" max="5379" width="11.47265625" customWidth="1"/>
    <col min="5380" max="5381" width="12.5234375" customWidth="1"/>
    <col min="5382" max="5382" width="10.26171875" bestFit="1" customWidth="1"/>
    <col min="5383" max="5388" width="11.26171875" customWidth="1"/>
    <col min="5389" max="5389" width="12.15625" customWidth="1"/>
    <col min="5390" max="5390" width="4.1015625" customWidth="1"/>
    <col min="5391" max="5391" width="4.7890625" customWidth="1"/>
    <col min="5392" max="5392" width="11.26171875" customWidth="1"/>
    <col min="5393" max="5393" width="12" customWidth="1"/>
    <col min="5394" max="5394" width="12.26171875" customWidth="1"/>
    <col min="5395" max="5395" width="11" customWidth="1"/>
    <col min="5396" max="5396" width="10.7890625" customWidth="1"/>
    <col min="5397" max="5397" width="12" customWidth="1"/>
    <col min="5398" max="5398" width="14.7890625" customWidth="1"/>
    <col min="5399" max="5399" width="13.734375" customWidth="1"/>
    <col min="5400" max="5400" width="13.7890625" customWidth="1"/>
    <col min="5404" max="5404" width="12.5234375" customWidth="1"/>
    <col min="5405" max="5405" width="13.15625" customWidth="1"/>
    <col min="5632" max="5632" width="4.26171875" customWidth="1"/>
    <col min="5633" max="5633" width="18.26171875" customWidth="1"/>
    <col min="5634" max="5634" width="10.26171875" bestFit="1" customWidth="1"/>
    <col min="5635" max="5635" width="11.47265625" customWidth="1"/>
    <col min="5636" max="5637" width="12.5234375" customWidth="1"/>
    <col min="5638" max="5638" width="10.26171875" bestFit="1" customWidth="1"/>
    <col min="5639" max="5644" width="11.26171875" customWidth="1"/>
    <col min="5645" max="5645" width="12.15625" customWidth="1"/>
    <col min="5646" max="5646" width="4.1015625" customWidth="1"/>
    <col min="5647" max="5647" width="4.7890625" customWidth="1"/>
    <col min="5648" max="5648" width="11.26171875" customWidth="1"/>
    <col min="5649" max="5649" width="12" customWidth="1"/>
    <col min="5650" max="5650" width="12.26171875" customWidth="1"/>
    <col min="5651" max="5651" width="11" customWidth="1"/>
    <col min="5652" max="5652" width="10.7890625" customWidth="1"/>
    <col min="5653" max="5653" width="12" customWidth="1"/>
    <col min="5654" max="5654" width="14.7890625" customWidth="1"/>
    <col min="5655" max="5655" width="13.734375" customWidth="1"/>
    <col min="5656" max="5656" width="13.7890625" customWidth="1"/>
    <col min="5660" max="5660" width="12.5234375" customWidth="1"/>
    <col min="5661" max="5661" width="13.15625" customWidth="1"/>
    <col min="5888" max="5888" width="4.26171875" customWidth="1"/>
    <col min="5889" max="5889" width="18.26171875" customWidth="1"/>
    <col min="5890" max="5890" width="10.26171875" bestFit="1" customWidth="1"/>
    <col min="5891" max="5891" width="11.47265625" customWidth="1"/>
    <col min="5892" max="5893" width="12.5234375" customWidth="1"/>
    <col min="5894" max="5894" width="10.26171875" bestFit="1" customWidth="1"/>
    <col min="5895" max="5900" width="11.26171875" customWidth="1"/>
    <col min="5901" max="5901" width="12.15625" customWidth="1"/>
    <col min="5902" max="5902" width="4.1015625" customWidth="1"/>
    <col min="5903" max="5903" width="4.7890625" customWidth="1"/>
    <col min="5904" max="5904" width="11.26171875" customWidth="1"/>
    <col min="5905" max="5905" width="12" customWidth="1"/>
    <col min="5906" max="5906" width="12.26171875" customWidth="1"/>
    <col min="5907" max="5907" width="11" customWidth="1"/>
    <col min="5908" max="5908" width="10.7890625" customWidth="1"/>
    <col min="5909" max="5909" width="12" customWidth="1"/>
    <col min="5910" max="5910" width="14.7890625" customWidth="1"/>
    <col min="5911" max="5911" width="13.734375" customWidth="1"/>
    <col min="5912" max="5912" width="13.7890625" customWidth="1"/>
    <col min="5916" max="5916" width="12.5234375" customWidth="1"/>
    <col min="5917" max="5917" width="13.15625" customWidth="1"/>
    <col min="6144" max="6144" width="4.26171875" customWidth="1"/>
    <col min="6145" max="6145" width="18.26171875" customWidth="1"/>
    <col min="6146" max="6146" width="10.26171875" bestFit="1" customWidth="1"/>
    <col min="6147" max="6147" width="11.47265625" customWidth="1"/>
    <col min="6148" max="6149" width="12.5234375" customWidth="1"/>
    <col min="6150" max="6150" width="10.26171875" bestFit="1" customWidth="1"/>
    <col min="6151" max="6156" width="11.26171875" customWidth="1"/>
    <col min="6157" max="6157" width="12.15625" customWidth="1"/>
    <col min="6158" max="6158" width="4.1015625" customWidth="1"/>
    <col min="6159" max="6159" width="4.7890625" customWidth="1"/>
    <col min="6160" max="6160" width="11.26171875" customWidth="1"/>
    <col min="6161" max="6161" width="12" customWidth="1"/>
    <col min="6162" max="6162" width="12.26171875" customWidth="1"/>
    <col min="6163" max="6163" width="11" customWidth="1"/>
    <col min="6164" max="6164" width="10.7890625" customWidth="1"/>
    <col min="6165" max="6165" width="12" customWidth="1"/>
    <col min="6166" max="6166" width="14.7890625" customWidth="1"/>
    <col min="6167" max="6167" width="13.734375" customWidth="1"/>
    <col min="6168" max="6168" width="13.7890625" customWidth="1"/>
    <col min="6172" max="6172" width="12.5234375" customWidth="1"/>
    <col min="6173" max="6173" width="13.15625" customWidth="1"/>
    <col min="6400" max="6400" width="4.26171875" customWidth="1"/>
    <col min="6401" max="6401" width="18.26171875" customWidth="1"/>
    <col min="6402" max="6402" width="10.26171875" bestFit="1" customWidth="1"/>
    <col min="6403" max="6403" width="11.47265625" customWidth="1"/>
    <col min="6404" max="6405" width="12.5234375" customWidth="1"/>
    <col min="6406" max="6406" width="10.26171875" bestFit="1" customWidth="1"/>
    <col min="6407" max="6412" width="11.26171875" customWidth="1"/>
    <col min="6413" max="6413" width="12.15625" customWidth="1"/>
    <col min="6414" max="6414" width="4.1015625" customWidth="1"/>
    <col min="6415" max="6415" width="4.7890625" customWidth="1"/>
    <col min="6416" max="6416" width="11.26171875" customWidth="1"/>
    <col min="6417" max="6417" width="12" customWidth="1"/>
    <col min="6418" max="6418" width="12.26171875" customWidth="1"/>
    <col min="6419" max="6419" width="11" customWidth="1"/>
    <col min="6420" max="6420" width="10.7890625" customWidth="1"/>
    <col min="6421" max="6421" width="12" customWidth="1"/>
    <col min="6422" max="6422" width="14.7890625" customWidth="1"/>
    <col min="6423" max="6423" width="13.734375" customWidth="1"/>
    <col min="6424" max="6424" width="13.7890625" customWidth="1"/>
    <col min="6428" max="6428" width="12.5234375" customWidth="1"/>
    <col min="6429" max="6429" width="13.15625" customWidth="1"/>
    <col min="6656" max="6656" width="4.26171875" customWidth="1"/>
    <col min="6657" max="6657" width="18.26171875" customWidth="1"/>
    <col min="6658" max="6658" width="10.26171875" bestFit="1" customWidth="1"/>
    <col min="6659" max="6659" width="11.47265625" customWidth="1"/>
    <col min="6660" max="6661" width="12.5234375" customWidth="1"/>
    <col min="6662" max="6662" width="10.26171875" bestFit="1" customWidth="1"/>
    <col min="6663" max="6668" width="11.26171875" customWidth="1"/>
    <col min="6669" max="6669" width="12.15625" customWidth="1"/>
    <col min="6670" max="6670" width="4.1015625" customWidth="1"/>
    <col min="6671" max="6671" width="4.7890625" customWidth="1"/>
    <col min="6672" max="6672" width="11.26171875" customWidth="1"/>
    <col min="6673" max="6673" width="12" customWidth="1"/>
    <col min="6674" max="6674" width="12.26171875" customWidth="1"/>
    <col min="6675" max="6675" width="11" customWidth="1"/>
    <col min="6676" max="6676" width="10.7890625" customWidth="1"/>
    <col min="6677" max="6677" width="12" customWidth="1"/>
    <col min="6678" max="6678" width="14.7890625" customWidth="1"/>
    <col min="6679" max="6679" width="13.734375" customWidth="1"/>
    <col min="6680" max="6680" width="13.7890625" customWidth="1"/>
    <col min="6684" max="6684" width="12.5234375" customWidth="1"/>
    <col min="6685" max="6685" width="13.15625" customWidth="1"/>
    <col min="6912" max="6912" width="4.26171875" customWidth="1"/>
    <col min="6913" max="6913" width="18.26171875" customWidth="1"/>
    <col min="6914" max="6914" width="10.26171875" bestFit="1" customWidth="1"/>
    <col min="6915" max="6915" width="11.47265625" customWidth="1"/>
    <col min="6916" max="6917" width="12.5234375" customWidth="1"/>
    <col min="6918" max="6918" width="10.26171875" bestFit="1" customWidth="1"/>
    <col min="6919" max="6924" width="11.26171875" customWidth="1"/>
    <col min="6925" max="6925" width="12.15625" customWidth="1"/>
    <col min="6926" max="6926" width="4.1015625" customWidth="1"/>
    <col min="6927" max="6927" width="4.7890625" customWidth="1"/>
    <col min="6928" max="6928" width="11.26171875" customWidth="1"/>
    <col min="6929" max="6929" width="12" customWidth="1"/>
    <col min="6930" max="6930" width="12.26171875" customWidth="1"/>
    <col min="6931" max="6931" width="11" customWidth="1"/>
    <col min="6932" max="6932" width="10.7890625" customWidth="1"/>
    <col min="6933" max="6933" width="12" customWidth="1"/>
    <col min="6934" max="6934" width="14.7890625" customWidth="1"/>
    <col min="6935" max="6935" width="13.734375" customWidth="1"/>
    <col min="6936" max="6936" width="13.7890625" customWidth="1"/>
    <col min="6940" max="6940" width="12.5234375" customWidth="1"/>
    <col min="6941" max="6941" width="13.15625" customWidth="1"/>
    <col min="7168" max="7168" width="4.26171875" customWidth="1"/>
    <col min="7169" max="7169" width="18.26171875" customWidth="1"/>
    <col min="7170" max="7170" width="10.26171875" bestFit="1" customWidth="1"/>
    <col min="7171" max="7171" width="11.47265625" customWidth="1"/>
    <col min="7172" max="7173" width="12.5234375" customWidth="1"/>
    <col min="7174" max="7174" width="10.26171875" bestFit="1" customWidth="1"/>
    <col min="7175" max="7180" width="11.26171875" customWidth="1"/>
    <col min="7181" max="7181" width="12.15625" customWidth="1"/>
    <col min="7182" max="7182" width="4.1015625" customWidth="1"/>
    <col min="7183" max="7183" width="4.7890625" customWidth="1"/>
    <col min="7184" max="7184" width="11.26171875" customWidth="1"/>
    <col min="7185" max="7185" width="12" customWidth="1"/>
    <col min="7186" max="7186" width="12.26171875" customWidth="1"/>
    <col min="7187" max="7187" width="11" customWidth="1"/>
    <col min="7188" max="7188" width="10.7890625" customWidth="1"/>
    <col min="7189" max="7189" width="12" customWidth="1"/>
    <col min="7190" max="7190" width="14.7890625" customWidth="1"/>
    <col min="7191" max="7191" width="13.734375" customWidth="1"/>
    <col min="7192" max="7192" width="13.7890625" customWidth="1"/>
    <col min="7196" max="7196" width="12.5234375" customWidth="1"/>
    <col min="7197" max="7197" width="13.15625" customWidth="1"/>
    <col min="7424" max="7424" width="4.26171875" customWidth="1"/>
    <col min="7425" max="7425" width="18.26171875" customWidth="1"/>
    <col min="7426" max="7426" width="10.26171875" bestFit="1" customWidth="1"/>
    <col min="7427" max="7427" width="11.47265625" customWidth="1"/>
    <col min="7428" max="7429" width="12.5234375" customWidth="1"/>
    <col min="7430" max="7430" width="10.26171875" bestFit="1" customWidth="1"/>
    <col min="7431" max="7436" width="11.26171875" customWidth="1"/>
    <col min="7437" max="7437" width="12.15625" customWidth="1"/>
    <col min="7438" max="7438" width="4.1015625" customWidth="1"/>
    <col min="7439" max="7439" width="4.7890625" customWidth="1"/>
    <col min="7440" max="7440" width="11.26171875" customWidth="1"/>
    <col min="7441" max="7441" width="12" customWidth="1"/>
    <col min="7442" max="7442" width="12.26171875" customWidth="1"/>
    <col min="7443" max="7443" width="11" customWidth="1"/>
    <col min="7444" max="7444" width="10.7890625" customWidth="1"/>
    <col min="7445" max="7445" width="12" customWidth="1"/>
    <col min="7446" max="7446" width="14.7890625" customWidth="1"/>
    <col min="7447" max="7447" width="13.734375" customWidth="1"/>
    <col min="7448" max="7448" width="13.7890625" customWidth="1"/>
    <col min="7452" max="7452" width="12.5234375" customWidth="1"/>
    <col min="7453" max="7453" width="13.15625" customWidth="1"/>
    <col min="7680" max="7680" width="4.26171875" customWidth="1"/>
    <col min="7681" max="7681" width="18.26171875" customWidth="1"/>
    <col min="7682" max="7682" width="10.26171875" bestFit="1" customWidth="1"/>
    <col min="7683" max="7683" width="11.47265625" customWidth="1"/>
    <col min="7684" max="7685" width="12.5234375" customWidth="1"/>
    <col min="7686" max="7686" width="10.26171875" bestFit="1" customWidth="1"/>
    <col min="7687" max="7692" width="11.26171875" customWidth="1"/>
    <col min="7693" max="7693" width="12.15625" customWidth="1"/>
    <col min="7694" max="7694" width="4.1015625" customWidth="1"/>
    <col min="7695" max="7695" width="4.7890625" customWidth="1"/>
    <col min="7696" max="7696" width="11.26171875" customWidth="1"/>
    <col min="7697" max="7697" width="12" customWidth="1"/>
    <col min="7698" max="7698" width="12.26171875" customWidth="1"/>
    <col min="7699" max="7699" width="11" customWidth="1"/>
    <col min="7700" max="7700" width="10.7890625" customWidth="1"/>
    <col min="7701" max="7701" width="12" customWidth="1"/>
    <col min="7702" max="7702" width="14.7890625" customWidth="1"/>
    <col min="7703" max="7703" width="13.734375" customWidth="1"/>
    <col min="7704" max="7704" width="13.7890625" customWidth="1"/>
    <col min="7708" max="7708" width="12.5234375" customWidth="1"/>
    <col min="7709" max="7709" width="13.15625" customWidth="1"/>
    <col min="7936" max="7936" width="4.26171875" customWidth="1"/>
    <col min="7937" max="7937" width="18.26171875" customWidth="1"/>
    <col min="7938" max="7938" width="10.26171875" bestFit="1" customWidth="1"/>
    <col min="7939" max="7939" width="11.47265625" customWidth="1"/>
    <col min="7940" max="7941" width="12.5234375" customWidth="1"/>
    <col min="7942" max="7942" width="10.26171875" bestFit="1" customWidth="1"/>
    <col min="7943" max="7948" width="11.26171875" customWidth="1"/>
    <col min="7949" max="7949" width="12.15625" customWidth="1"/>
    <col min="7950" max="7950" width="4.1015625" customWidth="1"/>
    <col min="7951" max="7951" width="4.7890625" customWidth="1"/>
    <col min="7952" max="7952" width="11.26171875" customWidth="1"/>
    <col min="7953" max="7953" width="12" customWidth="1"/>
    <col min="7954" max="7954" width="12.26171875" customWidth="1"/>
    <col min="7955" max="7955" width="11" customWidth="1"/>
    <col min="7956" max="7956" width="10.7890625" customWidth="1"/>
    <col min="7957" max="7957" width="12" customWidth="1"/>
    <col min="7958" max="7958" width="14.7890625" customWidth="1"/>
    <col min="7959" max="7959" width="13.734375" customWidth="1"/>
    <col min="7960" max="7960" width="13.7890625" customWidth="1"/>
    <col min="7964" max="7964" width="12.5234375" customWidth="1"/>
    <col min="7965" max="7965" width="13.15625" customWidth="1"/>
    <col min="8192" max="8192" width="4.26171875" customWidth="1"/>
    <col min="8193" max="8193" width="18.26171875" customWidth="1"/>
    <col min="8194" max="8194" width="10.26171875" bestFit="1" customWidth="1"/>
    <col min="8195" max="8195" width="11.47265625" customWidth="1"/>
    <col min="8196" max="8197" width="12.5234375" customWidth="1"/>
    <col min="8198" max="8198" width="10.26171875" bestFit="1" customWidth="1"/>
    <col min="8199" max="8204" width="11.26171875" customWidth="1"/>
    <col min="8205" max="8205" width="12.15625" customWidth="1"/>
    <col min="8206" max="8206" width="4.1015625" customWidth="1"/>
    <col min="8207" max="8207" width="4.7890625" customWidth="1"/>
    <col min="8208" max="8208" width="11.26171875" customWidth="1"/>
    <col min="8209" max="8209" width="12" customWidth="1"/>
    <col min="8210" max="8210" width="12.26171875" customWidth="1"/>
    <col min="8211" max="8211" width="11" customWidth="1"/>
    <col min="8212" max="8212" width="10.7890625" customWidth="1"/>
    <col min="8213" max="8213" width="12" customWidth="1"/>
    <col min="8214" max="8214" width="14.7890625" customWidth="1"/>
    <col min="8215" max="8215" width="13.734375" customWidth="1"/>
    <col min="8216" max="8216" width="13.7890625" customWidth="1"/>
    <col min="8220" max="8220" width="12.5234375" customWidth="1"/>
    <col min="8221" max="8221" width="13.15625" customWidth="1"/>
    <col min="8448" max="8448" width="4.26171875" customWidth="1"/>
    <col min="8449" max="8449" width="18.26171875" customWidth="1"/>
    <col min="8450" max="8450" width="10.26171875" bestFit="1" customWidth="1"/>
    <col min="8451" max="8451" width="11.47265625" customWidth="1"/>
    <col min="8452" max="8453" width="12.5234375" customWidth="1"/>
    <col min="8454" max="8454" width="10.26171875" bestFit="1" customWidth="1"/>
    <col min="8455" max="8460" width="11.26171875" customWidth="1"/>
    <col min="8461" max="8461" width="12.15625" customWidth="1"/>
    <col min="8462" max="8462" width="4.1015625" customWidth="1"/>
    <col min="8463" max="8463" width="4.7890625" customWidth="1"/>
    <col min="8464" max="8464" width="11.26171875" customWidth="1"/>
    <col min="8465" max="8465" width="12" customWidth="1"/>
    <col min="8466" max="8466" width="12.26171875" customWidth="1"/>
    <col min="8467" max="8467" width="11" customWidth="1"/>
    <col min="8468" max="8468" width="10.7890625" customWidth="1"/>
    <col min="8469" max="8469" width="12" customWidth="1"/>
    <col min="8470" max="8470" width="14.7890625" customWidth="1"/>
    <col min="8471" max="8471" width="13.734375" customWidth="1"/>
    <col min="8472" max="8472" width="13.7890625" customWidth="1"/>
    <col min="8476" max="8476" width="12.5234375" customWidth="1"/>
    <col min="8477" max="8477" width="13.15625" customWidth="1"/>
    <col min="8704" max="8704" width="4.26171875" customWidth="1"/>
    <col min="8705" max="8705" width="18.26171875" customWidth="1"/>
    <col min="8706" max="8706" width="10.26171875" bestFit="1" customWidth="1"/>
    <col min="8707" max="8707" width="11.47265625" customWidth="1"/>
    <col min="8708" max="8709" width="12.5234375" customWidth="1"/>
    <col min="8710" max="8710" width="10.26171875" bestFit="1" customWidth="1"/>
    <col min="8711" max="8716" width="11.26171875" customWidth="1"/>
    <col min="8717" max="8717" width="12.15625" customWidth="1"/>
    <col min="8718" max="8718" width="4.1015625" customWidth="1"/>
    <col min="8719" max="8719" width="4.7890625" customWidth="1"/>
    <col min="8720" max="8720" width="11.26171875" customWidth="1"/>
    <col min="8721" max="8721" width="12" customWidth="1"/>
    <col min="8722" max="8722" width="12.26171875" customWidth="1"/>
    <col min="8723" max="8723" width="11" customWidth="1"/>
    <col min="8724" max="8724" width="10.7890625" customWidth="1"/>
    <col min="8725" max="8725" width="12" customWidth="1"/>
    <col min="8726" max="8726" width="14.7890625" customWidth="1"/>
    <col min="8727" max="8727" width="13.734375" customWidth="1"/>
    <col min="8728" max="8728" width="13.7890625" customWidth="1"/>
    <col min="8732" max="8732" width="12.5234375" customWidth="1"/>
    <col min="8733" max="8733" width="13.15625" customWidth="1"/>
    <col min="8960" max="8960" width="4.26171875" customWidth="1"/>
    <col min="8961" max="8961" width="18.26171875" customWidth="1"/>
    <col min="8962" max="8962" width="10.26171875" bestFit="1" customWidth="1"/>
    <col min="8963" max="8963" width="11.47265625" customWidth="1"/>
    <col min="8964" max="8965" width="12.5234375" customWidth="1"/>
    <col min="8966" max="8966" width="10.26171875" bestFit="1" customWidth="1"/>
    <col min="8967" max="8972" width="11.26171875" customWidth="1"/>
    <col min="8973" max="8973" width="12.15625" customWidth="1"/>
    <col min="8974" max="8974" width="4.1015625" customWidth="1"/>
    <col min="8975" max="8975" width="4.7890625" customWidth="1"/>
    <col min="8976" max="8976" width="11.26171875" customWidth="1"/>
    <col min="8977" max="8977" width="12" customWidth="1"/>
    <col min="8978" max="8978" width="12.26171875" customWidth="1"/>
    <col min="8979" max="8979" width="11" customWidth="1"/>
    <col min="8980" max="8980" width="10.7890625" customWidth="1"/>
    <col min="8981" max="8981" width="12" customWidth="1"/>
    <col min="8982" max="8982" width="14.7890625" customWidth="1"/>
    <col min="8983" max="8983" width="13.734375" customWidth="1"/>
    <col min="8984" max="8984" width="13.7890625" customWidth="1"/>
    <col min="8988" max="8988" width="12.5234375" customWidth="1"/>
    <col min="8989" max="8989" width="13.15625" customWidth="1"/>
    <col min="9216" max="9216" width="4.26171875" customWidth="1"/>
    <col min="9217" max="9217" width="18.26171875" customWidth="1"/>
    <col min="9218" max="9218" width="10.26171875" bestFit="1" customWidth="1"/>
    <col min="9219" max="9219" width="11.47265625" customWidth="1"/>
    <col min="9220" max="9221" width="12.5234375" customWidth="1"/>
    <col min="9222" max="9222" width="10.26171875" bestFit="1" customWidth="1"/>
    <col min="9223" max="9228" width="11.26171875" customWidth="1"/>
    <col min="9229" max="9229" width="12.15625" customWidth="1"/>
    <col min="9230" max="9230" width="4.1015625" customWidth="1"/>
    <col min="9231" max="9231" width="4.7890625" customWidth="1"/>
    <col min="9232" max="9232" width="11.26171875" customWidth="1"/>
    <col min="9233" max="9233" width="12" customWidth="1"/>
    <col min="9234" max="9234" width="12.26171875" customWidth="1"/>
    <col min="9235" max="9235" width="11" customWidth="1"/>
    <col min="9236" max="9236" width="10.7890625" customWidth="1"/>
    <col min="9237" max="9237" width="12" customWidth="1"/>
    <col min="9238" max="9238" width="14.7890625" customWidth="1"/>
    <col min="9239" max="9239" width="13.734375" customWidth="1"/>
    <col min="9240" max="9240" width="13.7890625" customWidth="1"/>
    <col min="9244" max="9244" width="12.5234375" customWidth="1"/>
    <col min="9245" max="9245" width="13.15625" customWidth="1"/>
    <col min="9472" max="9472" width="4.26171875" customWidth="1"/>
    <col min="9473" max="9473" width="18.26171875" customWidth="1"/>
    <col min="9474" max="9474" width="10.26171875" bestFit="1" customWidth="1"/>
    <col min="9475" max="9475" width="11.47265625" customWidth="1"/>
    <col min="9476" max="9477" width="12.5234375" customWidth="1"/>
    <col min="9478" max="9478" width="10.26171875" bestFit="1" customWidth="1"/>
    <col min="9479" max="9484" width="11.26171875" customWidth="1"/>
    <col min="9485" max="9485" width="12.15625" customWidth="1"/>
    <col min="9486" max="9486" width="4.1015625" customWidth="1"/>
    <col min="9487" max="9487" width="4.7890625" customWidth="1"/>
    <col min="9488" max="9488" width="11.26171875" customWidth="1"/>
    <col min="9489" max="9489" width="12" customWidth="1"/>
    <col min="9490" max="9490" width="12.26171875" customWidth="1"/>
    <col min="9491" max="9491" width="11" customWidth="1"/>
    <col min="9492" max="9492" width="10.7890625" customWidth="1"/>
    <col min="9493" max="9493" width="12" customWidth="1"/>
    <col min="9494" max="9494" width="14.7890625" customWidth="1"/>
    <col min="9495" max="9495" width="13.734375" customWidth="1"/>
    <col min="9496" max="9496" width="13.7890625" customWidth="1"/>
    <col min="9500" max="9500" width="12.5234375" customWidth="1"/>
    <col min="9501" max="9501" width="13.15625" customWidth="1"/>
    <col min="9728" max="9728" width="4.26171875" customWidth="1"/>
    <col min="9729" max="9729" width="18.26171875" customWidth="1"/>
    <col min="9730" max="9730" width="10.26171875" bestFit="1" customWidth="1"/>
    <col min="9731" max="9731" width="11.47265625" customWidth="1"/>
    <col min="9732" max="9733" width="12.5234375" customWidth="1"/>
    <col min="9734" max="9734" width="10.26171875" bestFit="1" customWidth="1"/>
    <col min="9735" max="9740" width="11.26171875" customWidth="1"/>
    <col min="9741" max="9741" width="12.15625" customWidth="1"/>
    <col min="9742" max="9742" width="4.1015625" customWidth="1"/>
    <col min="9743" max="9743" width="4.7890625" customWidth="1"/>
    <col min="9744" max="9744" width="11.26171875" customWidth="1"/>
    <col min="9745" max="9745" width="12" customWidth="1"/>
    <col min="9746" max="9746" width="12.26171875" customWidth="1"/>
    <col min="9747" max="9747" width="11" customWidth="1"/>
    <col min="9748" max="9748" width="10.7890625" customWidth="1"/>
    <col min="9749" max="9749" width="12" customWidth="1"/>
    <col min="9750" max="9750" width="14.7890625" customWidth="1"/>
    <col min="9751" max="9751" width="13.734375" customWidth="1"/>
    <col min="9752" max="9752" width="13.7890625" customWidth="1"/>
    <col min="9756" max="9756" width="12.5234375" customWidth="1"/>
    <col min="9757" max="9757" width="13.15625" customWidth="1"/>
    <col min="9984" max="9984" width="4.26171875" customWidth="1"/>
    <col min="9985" max="9985" width="18.26171875" customWidth="1"/>
    <col min="9986" max="9986" width="10.26171875" bestFit="1" customWidth="1"/>
    <col min="9987" max="9987" width="11.47265625" customWidth="1"/>
    <col min="9988" max="9989" width="12.5234375" customWidth="1"/>
    <col min="9990" max="9990" width="10.26171875" bestFit="1" customWidth="1"/>
    <col min="9991" max="9996" width="11.26171875" customWidth="1"/>
    <col min="9997" max="9997" width="12.15625" customWidth="1"/>
    <col min="9998" max="9998" width="4.1015625" customWidth="1"/>
    <col min="9999" max="9999" width="4.7890625" customWidth="1"/>
    <col min="10000" max="10000" width="11.26171875" customWidth="1"/>
    <col min="10001" max="10001" width="12" customWidth="1"/>
    <col min="10002" max="10002" width="12.26171875" customWidth="1"/>
    <col min="10003" max="10003" width="11" customWidth="1"/>
    <col min="10004" max="10004" width="10.7890625" customWidth="1"/>
    <col min="10005" max="10005" width="12" customWidth="1"/>
    <col min="10006" max="10006" width="14.7890625" customWidth="1"/>
    <col min="10007" max="10007" width="13.734375" customWidth="1"/>
    <col min="10008" max="10008" width="13.7890625" customWidth="1"/>
    <col min="10012" max="10012" width="12.5234375" customWidth="1"/>
    <col min="10013" max="10013" width="13.15625" customWidth="1"/>
    <col min="10240" max="10240" width="4.26171875" customWidth="1"/>
    <col min="10241" max="10241" width="18.26171875" customWidth="1"/>
    <col min="10242" max="10242" width="10.26171875" bestFit="1" customWidth="1"/>
    <col min="10243" max="10243" width="11.47265625" customWidth="1"/>
    <col min="10244" max="10245" width="12.5234375" customWidth="1"/>
    <col min="10246" max="10246" width="10.26171875" bestFit="1" customWidth="1"/>
    <col min="10247" max="10252" width="11.26171875" customWidth="1"/>
    <col min="10253" max="10253" width="12.15625" customWidth="1"/>
    <col min="10254" max="10254" width="4.1015625" customWidth="1"/>
    <col min="10255" max="10255" width="4.7890625" customWidth="1"/>
    <col min="10256" max="10256" width="11.26171875" customWidth="1"/>
    <col min="10257" max="10257" width="12" customWidth="1"/>
    <col min="10258" max="10258" width="12.26171875" customWidth="1"/>
    <col min="10259" max="10259" width="11" customWidth="1"/>
    <col min="10260" max="10260" width="10.7890625" customWidth="1"/>
    <col min="10261" max="10261" width="12" customWidth="1"/>
    <col min="10262" max="10262" width="14.7890625" customWidth="1"/>
    <col min="10263" max="10263" width="13.734375" customWidth="1"/>
    <col min="10264" max="10264" width="13.7890625" customWidth="1"/>
    <col min="10268" max="10268" width="12.5234375" customWidth="1"/>
    <col min="10269" max="10269" width="13.15625" customWidth="1"/>
    <col min="10496" max="10496" width="4.26171875" customWidth="1"/>
    <col min="10497" max="10497" width="18.26171875" customWidth="1"/>
    <col min="10498" max="10498" width="10.26171875" bestFit="1" customWidth="1"/>
    <col min="10499" max="10499" width="11.47265625" customWidth="1"/>
    <col min="10500" max="10501" width="12.5234375" customWidth="1"/>
    <col min="10502" max="10502" width="10.26171875" bestFit="1" customWidth="1"/>
    <col min="10503" max="10508" width="11.26171875" customWidth="1"/>
    <col min="10509" max="10509" width="12.15625" customWidth="1"/>
    <col min="10510" max="10510" width="4.1015625" customWidth="1"/>
    <col min="10511" max="10511" width="4.7890625" customWidth="1"/>
    <col min="10512" max="10512" width="11.26171875" customWidth="1"/>
    <col min="10513" max="10513" width="12" customWidth="1"/>
    <col min="10514" max="10514" width="12.26171875" customWidth="1"/>
    <col min="10515" max="10515" width="11" customWidth="1"/>
    <col min="10516" max="10516" width="10.7890625" customWidth="1"/>
    <col min="10517" max="10517" width="12" customWidth="1"/>
    <col min="10518" max="10518" width="14.7890625" customWidth="1"/>
    <col min="10519" max="10519" width="13.734375" customWidth="1"/>
    <col min="10520" max="10520" width="13.7890625" customWidth="1"/>
    <col min="10524" max="10524" width="12.5234375" customWidth="1"/>
    <col min="10525" max="10525" width="13.15625" customWidth="1"/>
    <col min="10752" max="10752" width="4.26171875" customWidth="1"/>
    <col min="10753" max="10753" width="18.26171875" customWidth="1"/>
    <col min="10754" max="10754" width="10.26171875" bestFit="1" customWidth="1"/>
    <col min="10755" max="10755" width="11.47265625" customWidth="1"/>
    <col min="10756" max="10757" width="12.5234375" customWidth="1"/>
    <col min="10758" max="10758" width="10.26171875" bestFit="1" customWidth="1"/>
    <col min="10759" max="10764" width="11.26171875" customWidth="1"/>
    <col min="10765" max="10765" width="12.15625" customWidth="1"/>
    <col min="10766" max="10766" width="4.1015625" customWidth="1"/>
    <col min="10767" max="10767" width="4.7890625" customWidth="1"/>
    <col min="10768" max="10768" width="11.26171875" customWidth="1"/>
    <col min="10769" max="10769" width="12" customWidth="1"/>
    <col min="10770" max="10770" width="12.26171875" customWidth="1"/>
    <col min="10771" max="10771" width="11" customWidth="1"/>
    <col min="10772" max="10772" width="10.7890625" customWidth="1"/>
    <col min="10773" max="10773" width="12" customWidth="1"/>
    <col min="10774" max="10774" width="14.7890625" customWidth="1"/>
    <col min="10775" max="10775" width="13.734375" customWidth="1"/>
    <col min="10776" max="10776" width="13.7890625" customWidth="1"/>
    <col min="10780" max="10780" width="12.5234375" customWidth="1"/>
    <col min="10781" max="10781" width="13.15625" customWidth="1"/>
    <col min="11008" max="11008" width="4.26171875" customWidth="1"/>
    <col min="11009" max="11009" width="18.26171875" customWidth="1"/>
    <col min="11010" max="11010" width="10.26171875" bestFit="1" customWidth="1"/>
    <col min="11011" max="11011" width="11.47265625" customWidth="1"/>
    <col min="11012" max="11013" width="12.5234375" customWidth="1"/>
    <col min="11014" max="11014" width="10.26171875" bestFit="1" customWidth="1"/>
    <col min="11015" max="11020" width="11.26171875" customWidth="1"/>
    <col min="11021" max="11021" width="12.15625" customWidth="1"/>
    <col min="11022" max="11022" width="4.1015625" customWidth="1"/>
    <col min="11023" max="11023" width="4.7890625" customWidth="1"/>
    <col min="11024" max="11024" width="11.26171875" customWidth="1"/>
    <col min="11025" max="11025" width="12" customWidth="1"/>
    <col min="11026" max="11026" width="12.26171875" customWidth="1"/>
    <col min="11027" max="11027" width="11" customWidth="1"/>
    <col min="11028" max="11028" width="10.7890625" customWidth="1"/>
    <col min="11029" max="11029" width="12" customWidth="1"/>
    <col min="11030" max="11030" width="14.7890625" customWidth="1"/>
    <col min="11031" max="11031" width="13.734375" customWidth="1"/>
    <col min="11032" max="11032" width="13.7890625" customWidth="1"/>
    <col min="11036" max="11036" width="12.5234375" customWidth="1"/>
    <col min="11037" max="11037" width="13.15625" customWidth="1"/>
    <col min="11264" max="11264" width="4.26171875" customWidth="1"/>
    <col min="11265" max="11265" width="18.26171875" customWidth="1"/>
    <col min="11266" max="11266" width="10.26171875" bestFit="1" customWidth="1"/>
    <col min="11267" max="11267" width="11.47265625" customWidth="1"/>
    <col min="11268" max="11269" width="12.5234375" customWidth="1"/>
    <col min="11270" max="11270" width="10.26171875" bestFit="1" customWidth="1"/>
    <col min="11271" max="11276" width="11.26171875" customWidth="1"/>
    <col min="11277" max="11277" width="12.15625" customWidth="1"/>
    <col min="11278" max="11278" width="4.1015625" customWidth="1"/>
    <col min="11279" max="11279" width="4.7890625" customWidth="1"/>
    <col min="11280" max="11280" width="11.26171875" customWidth="1"/>
    <col min="11281" max="11281" width="12" customWidth="1"/>
    <col min="11282" max="11282" width="12.26171875" customWidth="1"/>
    <col min="11283" max="11283" width="11" customWidth="1"/>
    <col min="11284" max="11284" width="10.7890625" customWidth="1"/>
    <col min="11285" max="11285" width="12" customWidth="1"/>
    <col min="11286" max="11286" width="14.7890625" customWidth="1"/>
    <col min="11287" max="11287" width="13.734375" customWidth="1"/>
    <col min="11288" max="11288" width="13.7890625" customWidth="1"/>
    <col min="11292" max="11292" width="12.5234375" customWidth="1"/>
    <col min="11293" max="11293" width="13.15625" customWidth="1"/>
    <col min="11520" max="11520" width="4.26171875" customWidth="1"/>
    <col min="11521" max="11521" width="18.26171875" customWidth="1"/>
    <col min="11522" max="11522" width="10.26171875" bestFit="1" customWidth="1"/>
    <col min="11523" max="11523" width="11.47265625" customWidth="1"/>
    <col min="11524" max="11525" width="12.5234375" customWidth="1"/>
    <col min="11526" max="11526" width="10.26171875" bestFit="1" customWidth="1"/>
    <col min="11527" max="11532" width="11.26171875" customWidth="1"/>
    <col min="11533" max="11533" width="12.15625" customWidth="1"/>
    <col min="11534" max="11534" width="4.1015625" customWidth="1"/>
    <col min="11535" max="11535" width="4.7890625" customWidth="1"/>
    <col min="11536" max="11536" width="11.26171875" customWidth="1"/>
    <col min="11537" max="11537" width="12" customWidth="1"/>
    <col min="11538" max="11538" width="12.26171875" customWidth="1"/>
    <col min="11539" max="11539" width="11" customWidth="1"/>
    <col min="11540" max="11540" width="10.7890625" customWidth="1"/>
    <col min="11541" max="11541" width="12" customWidth="1"/>
    <col min="11542" max="11542" width="14.7890625" customWidth="1"/>
    <col min="11543" max="11543" width="13.734375" customWidth="1"/>
    <col min="11544" max="11544" width="13.7890625" customWidth="1"/>
    <col min="11548" max="11548" width="12.5234375" customWidth="1"/>
    <col min="11549" max="11549" width="13.15625" customWidth="1"/>
    <col min="11776" max="11776" width="4.26171875" customWidth="1"/>
    <col min="11777" max="11777" width="18.26171875" customWidth="1"/>
    <col min="11778" max="11778" width="10.26171875" bestFit="1" customWidth="1"/>
    <col min="11779" max="11779" width="11.47265625" customWidth="1"/>
    <col min="11780" max="11781" width="12.5234375" customWidth="1"/>
    <col min="11782" max="11782" width="10.26171875" bestFit="1" customWidth="1"/>
    <col min="11783" max="11788" width="11.26171875" customWidth="1"/>
    <col min="11789" max="11789" width="12.15625" customWidth="1"/>
    <col min="11790" max="11790" width="4.1015625" customWidth="1"/>
    <col min="11791" max="11791" width="4.7890625" customWidth="1"/>
    <col min="11792" max="11792" width="11.26171875" customWidth="1"/>
    <col min="11793" max="11793" width="12" customWidth="1"/>
    <col min="11794" max="11794" width="12.26171875" customWidth="1"/>
    <col min="11795" max="11795" width="11" customWidth="1"/>
    <col min="11796" max="11796" width="10.7890625" customWidth="1"/>
    <col min="11797" max="11797" width="12" customWidth="1"/>
    <col min="11798" max="11798" width="14.7890625" customWidth="1"/>
    <col min="11799" max="11799" width="13.734375" customWidth="1"/>
    <col min="11800" max="11800" width="13.7890625" customWidth="1"/>
    <col min="11804" max="11804" width="12.5234375" customWidth="1"/>
    <col min="11805" max="11805" width="13.15625" customWidth="1"/>
    <col min="12032" max="12032" width="4.26171875" customWidth="1"/>
    <col min="12033" max="12033" width="18.26171875" customWidth="1"/>
    <col min="12034" max="12034" width="10.26171875" bestFit="1" customWidth="1"/>
    <col min="12035" max="12035" width="11.47265625" customWidth="1"/>
    <col min="12036" max="12037" width="12.5234375" customWidth="1"/>
    <col min="12038" max="12038" width="10.26171875" bestFit="1" customWidth="1"/>
    <col min="12039" max="12044" width="11.26171875" customWidth="1"/>
    <col min="12045" max="12045" width="12.15625" customWidth="1"/>
    <col min="12046" max="12046" width="4.1015625" customWidth="1"/>
    <col min="12047" max="12047" width="4.7890625" customWidth="1"/>
    <col min="12048" max="12048" width="11.26171875" customWidth="1"/>
    <col min="12049" max="12049" width="12" customWidth="1"/>
    <col min="12050" max="12050" width="12.26171875" customWidth="1"/>
    <col min="12051" max="12051" width="11" customWidth="1"/>
    <col min="12052" max="12052" width="10.7890625" customWidth="1"/>
    <col min="12053" max="12053" width="12" customWidth="1"/>
    <col min="12054" max="12054" width="14.7890625" customWidth="1"/>
    <col min="12055" max="12055" width="13.734375" customWidth="1"/>
    <col min="12056" max="12056" width="13.7890625" customWidth="1"/>
    <col min="12060" max="12060" width="12.5234375" customWidth="1"/>
    <col min="12061" max="12061" width="13.15625" customWidth="1"/>
    <col min="12288" max="12288" width="4.26171875" customWidth="1"/>
    <col min="12289" max="12289" width="18.26171875" customWidth="1"/>
    <col min="12290" max="12290" width="10.26171875" bestFit="1" customWidth="1"/>
    <col min="12291" max="12291" width="11.47265625" customWidth="1"/>
    <col min="12292" max="12293" width="12.5234375" customWidth="1"/>
    <col min="12294" max="12294" width="10.26171875" bestFit="1" customWidth="1"/>
    <col min="12295" max="12300" width="11.26171875" customWidth="1"/>
    <col min="12301" max="12301" width="12.15625" customWidth="1"/>
    <col min="12302" max="12302" width="4.1015625" customWidth="1"/>
    <col min="12303" max="12303" width="4.7890625" customWidth="1"/>
    <col min="12304" max="12304" width="11.26171875" customWidth="1"/>
    <col min="12305" max="12305" width="12" customWidth="1"/>
    <col min="12306" max="12306" width="12.26171875" customWidth="1"/>
    <col min="12307" max="12307" width="11" customWidth="1"/>
    <col min="12308" max="12308" width="10.7890625" customWidth="1"/>
    <col min="12309" max="12309" width="12" customWidth="1"/>
    <col min="12310" max="12310" width="14.7890625" customWidth="1"/>
    <col min="12311" max="12311" width="13.734375" customWidth="1"/>
    <col min="12312" max="12312" width="13.7890625" customWidth="1"/>
    <col min="12316" max="12316" width="12.5234375" customWidth="1"/>
    <col min="12317" max="12317" width="13.15625" customWidth="1"/>
    <col min="12544" max="12544" width="4.26171875" customWidth="1"/>
    <col min="12545" max="12545" width="18.26171875" customWidth="1"/>
    <col min="12546" max="12546" width="10.26171875" bestFit="1" customWidth="1"/>
    <col min="12547" max="12547" width="11.47265625" customWidth="1"/>
    <col min="12548" max="12549" width="12.5234375" customWidth="1"/>
    <col min="12550" max="12550" width="10.26171875" bestFit="1" customWidth="1"/>
    <col min="12551" max="12556" width="11.26171875" customWidth="1"/>
    <col min="12557" max="12557" width="12.15625" customWidth="1"/>
    <col min="12558" max="12558" width="4.1015625" customWidth="1"/>
    <col min="12559" max="12559" width="4.7890625" customWidth="1"/>
    <col min="12560" max="12560" width="11.26171875" customWidth="1"/>
    <col min="12561" max="12561" width="12" customWidth="1"/>
    <col min="12562" max="12562" width="12.26171875" customWidth="1"/>
    <col min="12563" max="12563" width="11" customWidth="1"/>
    <col min="12564" max="12564" width="10.7890625" customWidth="1"/>
    <col min="12565" max="12565" width="12" customWidth="1"/>
    <col min="12566" max="12566" width="14.7890625" customWidth="1"/>
    <col min="12567" max="12567" width="13.734375" customWidth="1"/>
    <col min="12568" max="12568" width="13.7890625" customWidth="1"/>
    <col min="12572" max="12572" width="12.5234375" customWidth="1"/>
    <col min="12573" max="12573" width="13.15625" customWidth="1"/>
    <col min="12800" max="12800" width="4.26171875" customWidth="1"/>
    <col min="12801" max="12801" width="18.26171875" customWidth="1"/>
    <col min="12802" max="12802" width="10.26171875" bestFit="1" customWidth="1"/>
    <col min="12803" max="12803" width="11.47265625" customWidth="1"/>
    <col min="12804" max="12805" width="12.5234375" customWidth="1"/>
    <col min="12806" max="12806" width="10.26171875" bestFit="1" customWidth="1"/>
    <col min="12807" max="12812" width="11.26171875" customWidth="1"/>
    <col min="12813" max="12813" width="12.15625" customWidth="1"/>
    <col min="12814" max="12814" width="4.1015625" customWidth="1"/>
    <col min="12815" max="12815" width="4.7890625" customWidth="1"/>
    <col min="12816" max="12816" width="11.26171875" customWidth="1"/>
    <col min="12817" max="12817" width="12" customWidth="1"/>
    <col min="12818" max="12818" width="12.26171875" customWidth="1"/>
    <col min="12819" max="12819" width="11" customWidth="1"/>
    <col min="12820" max="12820" width="10.7890625" customWidth="1"/>
    <col min="12821" max="12821" width="12" customWidth="1"/>
    <col min="12822" max="12822" width="14.7890625" customWidth="1"/>
    <col min="12823" max="12823" width="13.734375" customWidth="1"/>
    <col min="12824" max="12824" width="13.7890625" customWidth="1"/>
    <col min="12828" max="12828" width="12.5234375" customWidth="1"/>
    <col min="12829" max="12829" width="13.15625" customWidth="1"/>
    <col min="13056" max="13056" width="4.26171875" customWidth="1"/>
    <col min="13057" max="13057" width="18.26171875" customWidth="1"/>
    <col min="13058" max="13058" width="10.26171875" bestFit="1" customWidth="1"/>
    <col min="13059" max="13059" width="11.47265625" customWidth="1"/>
    <col min="13060" max="13061" width="12.5234375" customWidth="1"/>
    <col min="13062" max="13062" width="10.26171875" bestFit="1" customWidth="1"/>
    <col min="13063" max="13068" width="11.26171875" customWidth="1"/>
    <col min="13069" max="13069" width="12.15625" customWidth="1"/>
    <col min="13070" max="13070" width="4.1015625" customWidth="1"/>
    <col min="13071" max="13071" width="4.7890625" customWidth="1"/>
    <col min="13072" max="13072" width="11.26171875" customWidth="1"/>
    <col min="13073" max="13073" width="12" customWidth="1"/>
    <col min="13074" max="13074" width="12.26171875" customWidth="1"/>
    <col min="13075" max="13075" width="11" customWidth="1"/>
    <col min="13076" max="13076" width="10.7890625" customWidth="1"/>
    <col min="13077" max="13077" width="12" customWidth="1"/>
    <col min="13078" max="13078" width="14.7890625" customWidth="1"/>
    <col min="13079" max="13079" width="13.734375" customWidth="1"/>
    <col min="13080" max="13080" width="13.7890625" customWidth="1"/>
    <col min="13084" max="13084" width="12.5234375" customWidth="1"/>
    <col min="13085" max="13085" width="13.15625" customWidth="1"/>
    <col min="13312" max="13312" width="4.26171875" customWidth="1"/>
    <col min="13313" max="13313" width="18.26171875" customWidth="1"/>
    <col min="13314" max="13314" width="10.26171875" bestFit="1" customWidth="1"/>
    <col min="13315" max="13315" width="11.47265625" customWidth="1"/>
    <col min="13316" max="13317" width="12.5234375" customWidth="1"/>
    <col min="13318" max="13318" width="10.26171875" bestFit="1" customWidth="1"/>
    <col min="13319" max="13324" width="11.26171875" customWidth="1"/>
    <col min="13325" max="13325" width="12.15625" customWidth="1"/>
    <col min="13326" max="13326" width="4.1015625" customWidth="1"/>
    <col min="13327" max="13327" width="4.7890625" customWidth="1"/>
    <col min="13328" max="13328" width="11.26171875" customWidth="1"/>
    <col min="13329" max="13329" width="12" customWidth="1"/>
    <col min="13330" max="13330" width="12.26171875" customWidth="1"/>
    <col min="13331" max="13331" width="11" customWidth="1"/>
    <col min="13332" max="13332" width="10.7890625" customWidth="1"/>
    <col min="13333" max="13333" width="12" customWidth="1"/>
    <col min="13334" max="13334" width="14.7890625" customWidth="1"/>
    <col min="13335" max="13335" width="13.734375" customWidth="1"/>
    <col min="13336" max="13336" width="13.7890625" customWidth="1"/>
    <col min="13340" max="13340" width="12.5234375" customWidth="1"/>
    <col min="13341" max="13341" width="13.15625" customWidth="1"/>
    <col min="13568" max="13568" width="4.26171875" customWidth="1"/>
    <col min="13569" max="13569" width="18.26171875" customWidth="1"/>
    <col min="13570" max="13570" width="10.26171875" bestFit="1" customWidth="1"/>
    <col min="13571" max="13571" width="11.47265625" customWidth="1"/>
    <col min="13572" max="13573" width="12.5234375" customWidth="1"/>
    <col min="13574" max="13574" width="10.26171875" bestFit="1" customWidth="1"/>
    <col min="13575" max="13580" width="11.26171875" customWidth="1"/>
    <col min="13581" max="13581" width="12.15625" customWidth="1"/>
    <col min="13582" max="13582" width="4.1015625" customWidth="1"/>
    <col min="13583" max="13583" width="4.7890625" customWidth="1"/>
    <col min="13584" max="13584" width="11.26171875" customWidth="1"/>
    <col min="13585" max="13585" width="12" customWidth="1"/>
    <col min="13586" max="13586" width="12.26171875" customWidth="1"/>
    <col min="13587" max="13587" width="11" customWidth="1"/>
    <col min="13588" max="13588" width="10.7890625" customWidth="1"/>
    <col min="13589" max="13589" width="12" customWidth="1"/>
    <col min="13590" max="13590" width="14.7890625" customWidth="1"/>
    <col min="13591" max="13591" width="13.734375" customWidth="1"/>
    <col min="13592" max="13592" width="13.7890625" customWidth="1"/>
    <col min="13596" max="13596" width="12.5234375" customWidth="1"/>
    <col min="13597" max="13597" width="13.15625" customWidth="1"/>
    <col min="13824" max="13824" width="4.26171875" customWidth="1"/>
    <col min="13825" max="13825" width="18.26171875" customWidth="1"/>
    <col min="13826" max="13826" width="10.26171875" bestFit="1" customWidth="1"/>
    <col min="13827" max="13827" width="11.47265625" customWidth="1"/>
    <col min="13828" max="13829" width="12.5234375" customWidth="1"/>
    <col min="13830" max="13830" width="10.26171875" bestFit="1" customWidth="1"/>
    <col min="13831" max="13836" width="11.26171875" customWidth="1"/>
    <col min="13837" max="13837" width="12.15625" customWidth="1"/>
    <col min="13838" max="13838" width="4.1015625" customWidth="1"/>
    <col min="13839" max="13839" width="4.7890625" customWidth="1"/>
    <col min="13840" max="13840" width="11.26171875" customWidth="1"/>
    <col min="13841" max="13841" width="12" customWidth="1"/>
    <col min="13842" max="13842" width="12.26171875" customWidth="1"/>
    <col min="13843" max="13843" width="11" customWidth="1"/>
    <col min="13844" max="13844" width="10.7890625" customWidth="1"/>
    <col min="13845" max="13845" width="12" customWidth="1"/>
    <col min="13846" max="13846" width="14.7890625" customWidth="1"/>
    <col min="13847" max="13847" width="13.734375" customWidth="1"/>
    <col min="13848" max="13848" width="13.7890625" customWidth="1"/>
    <col min="13852" max="13852" width="12.5234375" customWidth="1"/>
    <col min="13853" max="13853" width="13.15625" customWidth="1"/>
    <col min="14080" max="14080" width="4.26171875" customWidth="1"/>
    <col min="14081" max="14081" width="18.26171875" customWidth="1"/>
    <col min="14082" max="14082" width="10.26171875" bestFit="1" customWidth="1"/>
    <col min="14083" max="14083" width="11.47265625" customWidth="1"/>
    <col min="14084" max="14085" width="12.5234375" customWidth="1"/>
    <col min="14086" max="14086" width="10.26171875" bestFit="1" customWidth="1"/>
    <col min="14087" max="14092" width="11.26171875" customWidth="1"/>
    <col min="14093" max="14093" width="12.15625" customWidth="1"/>
    <col min="14094" max="14094" width="4.1015625" customWidth="1"/>
    <col min="14095" max="14095" width="4.7890625" customWidth="1"/>
    <col min="14096" max="14096" width="11.26171875" customWidth="1"/>
    <col min="14097" max="14097" width="12" customWidth="1"/>
    <col min="14098" max="14098" width="12.26171875" customWidth="1"/>
    <col min="14099" max="14099" width="11" customWidth="1"/>
    <col min="14100" max="14100" width="10.7890625" customWidth="1"/>
    <col min="14101" max="14101" width="12" customWidth="1"/>
    <col min="14102" max="14102" width="14.7890625" customWidth="1"/>
    <col min="14103" max="14103" width="13.734375" customWidth="1"/>
    <col min="14104" max="14104" width="13.7890625" customWidth="1"/>
    <col min="14108" max="14108" width="12.5234375" customWidth="1"/>
    <col min="14109" max="14109" width="13.15625" customWidth="1"/>
    <col min="14336" max="14336" width="4.26171875" customWidth="1"/>
    <col min="14337" max="14337" width="18.26171875" customWidth="1"/>
    <col min="14338" max="14338" width="10.26171875" bestFit="1" customWidth="1"/>
    <col min="14339" max="14339" width="11.47265625" customWidth="1"/>
    <col min="14340" max="14341" width="12.5234375" customWidth="1"/>
    <col min="14342" max="14342" width="10.26171875" bestFit="1" customWidth="1"/>
    <col min="14343" max="14348" width="11.26171875" customWidth="1"/>
    <col min="14349" max="14349" width="12.15625" customWidth="1"/>
    <col min="14350" max="14350" width="4.1015625" customWidth="1"/>
    <col min="14351" max="14351" width="4.7890625" customWidth="1"/>
    <col min="14352" max="14352" width="11.26171875" customWidth="1"/>
    <col min="14353" max="14353" width="12" customWidth="1"/>
    <col min="14354" max="14354" width="12.26171875" customWidth="1"/>
    <col min="14355" max="14355" width="11" customWidth="1"/>
    <col min="14356" max="14356" width="10.7890625" customWidth="1"/>
    <col min="14357" max="14357" width="12" customWidth="1"/>
    <col min="14358" max="14358" width="14.7890625" customWidth="1"/>
    <col min="14359" max="14359" width="13.734375" customWidth="1"/>
    <col min="14360" max="14360" width="13.7890625" customWidth="1"/>
    <col min="14364" max="14364" width="12.5234375" customWidth="1"/>
    <col min="14365" max="14365" width="13.15625" customWidth="1"/>
    <col min="14592" max="14592" width="4.26171875" customWidth="1"/>
    <col min="14593" max="14593" width="18.26171875" customWidth="1"/>
    <col min="14594" max="14594" width="10.26171875" bestFit="1" customWidth="1"/>
    <col min="14595" max="14595" width="11.47265625" customWidth="1"/>
    <col min="14596" max="14597" width="12.5234375" customWidth="1"/>
    <col min="14598" max="14598" width="10.26171875" bestFit="1" customWidth="1"/>
    <col min="14599" max="14604" width="11.26171875" customWidth="1"/>
    <col min="14605" max="14605" width="12.15625" customWidth="1"/>
    <col min="14606" max="14606" width="4.1015625" customWidth="1"/>
    <col min="14607" max="14607" width="4.7890625" customWidth="1"/>
    <col min="14608" max="14608" width="11.26171875" customWidth="1"/>
    <col min="14609" max="14609" width="12" customWidth="1"/>
    <col min="14610" max="14610" width="12.26171875" customWidth="1"/>
    <col min="14611" max="14611" width="11" customWidth="1"/>
    <col min="14612" max="14612" width="10.7890625" customWidth="1"/>
    <col min="14613" max="14613" width="12" customWidth="1"/>
    <col min="14614" max="14614" width="14.7890625" customWidth="1"/>
    <col min="14615" max="14615" width="13.734375" customWidth="1"/>
    <col min="14616" max="14616" width="13.7890625" customWidth="1"/>
    <col min="14620" max="14620" width="12.5234375" customWidth="1"/>
    <col min="14621" max="14621" width="13.15625" customWidth="1"/>
    <col min="14848" max="14848" width="4.26171875" customWidth="1"/>
    <col min="14849" max="14849" width="18.26171875" customWidth="1"/>
    <col min="14850" max="14850" width="10.26171875" bestFit="1" customWidth="1"/>
    <col min="14851" max="14851" width="11.47265625" customWidth="1"/>
    <col min="14852" max="14853" width="12.5234375" customWidth="1"/>
    <col min="14854" max="14854" width="10.26171875" bestFit="1" customWidth="1"/>
    <col min="14855" max="14860" width="11.26171875" customWidth="1"/>
    <col min="14861" max="14861" width="12.15625" customWidth="1"/>
    <col min="14862" max="14862" width="4.1015625" customWidth="1"/>
    <col min="14863" max="14863" width="4.7890625" customWidth="1"/>
    <col min="14864" max="14864" width="11.26171875" customWidth="1"/>
    <col min="14865" max="14865" width="12" customWidth="1"/>
    <col min="14866" max="14866" width="12.26171875" customWidth="1"/>
    <col min="14867" max="14867" width="11" customWidth="1"/>
    <col min="14868" max="14868" width="10.7890625" customWidth="1"/>
    <col min="14869" max="14869" width="12" customWidth="1"/>
    <col min="14870" max="14870" width="14.7890625" customWidth="1"/>
    <col min="14871" max="14871" width="13.734375" customWidth="1"/>
    <col min="14872" max="14872" width="13.7890625" customWidth="1"/>
    <col min="14876" max="14876" width="12.5234375" customWidth="1"/>
    <col min="14877" max="14877" width="13.15625" customWidth="1"/>
    <col min="15104" max="15104" width="4.26171875" customWidth="1"/>
    <col min="15105" max="15105" width="18.26171875" customWidth="1"/>
    <col min="15106" max="15106" width="10.26171875" bestFit="1" customWidth="1"/>
    <col min="15107" max="15107" width="11.47265625" customWidth="1"/>
    <col min="15108" max="15109" width="12.5234375" customWidth="1"/>
    <col min="15110" max="15110" width="10.26171875" bestFit="1" customWidth="1"/>
    <col min="15111" max="15116" width="11.26171875" customWidth="1"/>
    <col min="15117" max="15117" width="12.15625" customWidth="1"/>
    <col min="15118" max="15118" width="4.1015625" customWidth="1"/>
    <col min="15119" max="15119" width="4.7890625" customWidth="1"/>
    <col min="15120" max="15120" width="11.26171875" customWidth="1"/>
    <col min="15121" max="15121" width="12" customWidth="1"/>
    <col min="15122" max="15122" width="12.26171875" customWidth="1"/>
    <col min="15123" max="15123" width="11" customWidth="1"/>
    <col min="15124" max="15124" width="10.7890625" customWidth="1"/>
    <col min="15125" max="15125" width="12" customWidth="1"/>
    <col min="15126" max="15126" width="14.7890625" customWidth="1"/>
    <col min="15127" max="15127" width="13.734375" customWidth="1"/>
    <col min="15128" max="15128" width="13.7890625" customWidth="1"/>
    <col min="15132" max="15132" width="12.5234375" customWidth="1"/>
    <col min="15133" max="15133" width="13.15625" customWidth="1"/>
    <col min="15360" max="15360" width="4.26171875" customWidth="1"/>
    <col min="15361" max="15361" width="18.26171875" customWidth="1"/>
    <col min="15362" max="15362" width="10.26171875" bestFit="1" customWidth="1"/>
    <col min="15363" max="15363" width="11.47265625" customWidth="1"/>
    <col min="15364" max="15365" width="12.5234375" customWidth="1"/>
    <col min="15366" max="15366" width="10.26171875" bestFit="1" customWidth="1"/>
    <col min="15367" max="15372" width="11.26171875" customWidth="1"/>
    <col min="15373" max="15373" width="12.15625" customWidth="1"/>
    <col min="15374" max="15374" width="4.1015625" customWidth="1"/>
    <col min="15375" max="15375" width="4.7890625" customWidth="1"/>
    <col min="15376" max="15376" width="11.26171875" customWidth="1"/>
    <col min="15377" max="15377" width="12" customWidth="1"/>
    <col min="15378" max="15378" width="12.26171875" customWidth="1"/>
    <col min="15379" max="15379" width="11" customWidth="1"/>
    <col min="15380" max="15380" width="10.7890625" customWidth="1"/>
    <col min="15381" max="15381" width="12" customWidth="1"/>
    <col min="15382" max="15382" width="14.7890625" customWidth="1"/>
    <col min="15383" max="15383" width="13.734375" customWidth="1"/>
    <col min="15384" max="15384" width="13.7890625" customWidth="1"/>
    <col min="15388" max="15388" width="12.5234375" customWidth="1"/>
    <col min="15389" max="15389" width="13.15625" customWidth="1"/>
    <col min="15616" max="15616" width="4.26171875" customWidth="1"/>
    <col min="15617" max="15617" width="18.26171875" customWidth="1"/>
    <col min="15618" max="15618" width="10.26171875" bestFit="1" customWidth="1"/>
    <col min="15619" max="15619" width="11.47265625" customWidth="1"/>
    <col min="15620" max="15621" width="12.5234375" customWidth="1"/>
    <col min="15622" max="15622" width="10.26171875" bestFit="1" customWidth="1"/>
    <col min="15623" max="15628" width="11.26171875" customWidth="1"/>
    <col min="15629" max="15629" width="12.15625" customWidth="1"/>
    <col min="15630" max="15630" width="4.1015625" customWidth="1"/>
    <col min="15631" max="15631" width="4.7890625" customWidth="1"/>
    <col min="15632" max="15632" width="11.26171875" customWidth="1"/>
    <col min="15633" max="15633" width="12" customWidth="1"/>
    <col min="15634" max="15634" width="12.26171875" customWidth="1"/>
    <col min="15635" max="15635" width="11" customWidth="1"/>
    <col min="15636" max="15636" width="10.7890625" customWidth="1"/>
    <col min="15637" max="15637" width="12" customWidth="1"/>
    <col min="15638" max="15638" width="14.7890625" customWidth="1"/>
    <col min="15639" max="15639" width="13.734375" customWidth="1"/>
    <col min="15640" max="15640" width="13.7890625" customWidth="1"/>
    <col min="15644" max="15644" width="12.5234375" customWidth="1"/>
    <col min="15645" max="15645" width="13.15625" customWidth="1"/>
    <col min="15872" max="15872" width="4.26171875" customWidth="1"/>
    <col min="15873" max="15873" width="18.26171875" customWidth="1"/>
    <col min="15874" max="15874" width="10.26171875" bestFit="1" customWidth="1"/>
    <col min="15875" max="15875" width="11.47265625" customWidth="1"/>
    <col min="15876" max="15877" width="12.5234375" customWidth="1"/>
    <col min="15878" max="15878" width="10.26171875" bestFit="1" customWidth="1"/>
    <col min="15879" max="15884" width="11.26171875" customWidth="1"/>
    <col min="15885" max="15885" width="12.15625" customWidth="1"/>
    <col min="15886" max="15886" width="4.1015625" customWidth="1"/>
    <col min="15887" max="15887" width="4.7890625" customWidth="1"/>
    <col min="15888" max="15888" width="11.26171875" customWidth="1"/>
    <col min="15889" max="15889" width="12" customWidth="1"/>
    <col min="15890" max="15890" width="12.26171875" customWidth="1"/>
    <col min="15891" max="15891" width="11" customWidth="1"/>
    <col min="15892" max="15892" width="10.7890625" customWidth="1"/>
    <col min="15893" max="15893" width="12" customWidth="1"/>
    <col min="15894" max="15894" width="14.7890625" customWidth="1"/>
    <col min="15895" max="15895" width="13.734375" customWidth="1"/>
    <col min="15896" max="15896" width="13.7890625" customWidth="1"/>
    <col min="15900" max="15900" width="12.5234375" customWidth="1"/>
    <col min="15901" max="15901" width="13.15625" customWidth="1"/>
    <col min="16128" max="16128" width="4.26171875" customWidth="1"/>
    <col min="16129" max="16129" width="18.26171875" customWidth="1"/>
    <col min="16130" max="16130" width="10.26171875" bestFit="1" customWidth="1"/>
    <col min="16131" max="16131" width="11.47265625" customWidth="1"/>
    <col min="16132" max="16133" width="12.5234375" customWidth="1"/>
    <col min="16134" max="16134" width="10.26171875" bestFit="1" customWidth="1"/>
    <col min="16135" max="16140" width="11.26171875" customWidth="1"/>
    <col min="16141" max="16141" width="12.15625" customWidth="1"/>
    <col min="16142" max="16142" width="4.1015625" customWidth="1"/>
    <col min="16143" max="16143" width="4.7890625" customWidth="1"/>
    <col min="16144" max="16144" width="11.26171875" customWidth="1"/>
    <col min="16145" max="16145" width="12" customWidth="1"/>
    <col min="16146" max="16146" width="12.26171875" customWidth="1"/>
    <col min="16147" max="16147" width="11" customWidth="1"/>
    <col min="16148" max="16148" width="10.7890625" customWidth="1"/>
    <col min="16149" max="16149" width="12" customWidth="1"/>
    <col min="16150" max="16150" width="14.7890625" customWidth="1"/>
    <col min="16151" max="16151" width="13.734375" customWidth="1"/>
    <col min="16152" max="16152" width="13.7890625" customWidth="1"/>
    <col min="16156" max="16156" width="12.5234375" customWidth="1"/>
    <col min="16157" max="16157" width="13.15625" customWidth="1"/>
  </cols>
  <sheetData>
    <row r="1" spans="1:9" ht="14.5" customHeight="1" x14ac:dyDescent="0.55000000000000004"/>
    <row r="2" spans="1:9" ht="20.5" customHeight="1" x14ac:dyDescent="0.6">
      <c r="A2" s="17" t="s">
        <v>209</v>
      </c>
      <c r="B2" s="18"/>
      <c r="C2" s="18"/>
      <c r="D2" s="18"/>
      <c r="E2" s="18"/>
      <c r="F2" s="18"/>
      <c r="G2" s="18"/>
      <c r="H2" s="18"/>
    </row>
    <row r="3" spans="1:9" ht="20.5" customHeight="1" x14ac:dyDescent="0.6">
      <c r="A3" s="176"/>
      <c r="B3" s="177"/>
      <c r="C3" s="177"/>
      <c r="D3" s="177"/>
      <c r="E3" s="177"/>
      <c r="F3" s="177"/>
      <c r="G3" s="177"/>
      <c r="H3" s="177"/>
    </row>
    <row r="4" spans="1:9" ht="14.5" customHeight="1" x14ac:dyDescent="0.55000000000000004">
      <c r="A4" s="19" t="s">
        <v>68</v>
      </c>
    </row>
    <row r="5" spans="1:9" ht="14.5" customHeight="1" x14ac:dyDescent="0.55000000000000004">
      <c r="A5" s="36" t="s">
        <v>69</v>
      </c>
    </row>
    <row r="6" spans="1:9" ht="14.5" customHeight="1" x14ac:dyDescent="0.55000000000000004"/>
    <row r="7" spans="1:9" ht="20.399999999999999" customHeight="1" x14ac:dyDescent="0.55000000000000004">
      <c r="A7" s="319" t="s">
        <v>217</v>
      </c>
      <c r="B7" s="318" t="s">
        <v>211</v>
      </c>
      <c r="C7" s="318"/>
      <c r="D7" s="314">
        <f>DATE(2019,1,17)</f>
        <v>43482</v>
      </c>
      <c r="E7" s="315"/>
    </row>
    <row r="8" spans="1:9" ht="28.75" customHeight="1" x14ac:dyDescent="0.55000000000000004">
      <c r="A8" s="319"/>
      <c r="B8" s="312" t="s">
        <v>213</v>
      </c>
      <c r="C8" s="312"/>
      <c r="D8" s="316">
        <f>+D7+5</f>
        <v>43487</v>
      </c>
      <c r="E8" s="317"/>
    </row>
    <row r="9" spans="1:9" ht="14.5" customHeight="1" x14ac:dyDescent="0.55000000000000004">
      <c r="A9" s="319"/>
      <c r="B9" s="312" t="s">
        <v>214</v>
      </c>
      <c r="C9" s="312"/>
      <c r="D9" s="328">
        <v>98.5</v>
      </c>
      <c r="E9" s="329"/>
    </row>
    <row r="10" spans="1:9" ht="14.5" customHeight="1" x14ac:dyDescent="0.55000000000000004">
      <c r="A10" s="319"/>
      <c r="B10" s="312" t="s">
        <v>126</v>
      </c>
      <c r="C10" s="312"/>
      <c r="D10" s="330">
        <v>7.4999999999999997E-2</v>
      </c>
      <c r="E10" s="317"/>
      <c r="I10" s="23" t="s">
        <v>73</v>
      </c>
    </row>
    <row r="11" spans="1:9" ht="14.5" customHeight="1" x14ac:dyDescent="0.55000000000000004">
      <c r="A11" s="319"/>
      <c r="B11" s="312" t="s">
        <v>215</v>
      </c>
      <c r="C11" s="312"/>
      <c r="D11" s="331" t="s">
        <v>212</v>
      </c>
      <c r="E11" s="317"/>
      <c r="I11" s="25" t="s">
        <v>75</v>
      </c>
    </row>
    <row r="12" spans="1:9" ht="26.4" customHeight="1" x14ac:dyDescent="0.55000000000000004">
      <c r="A12" s="319"/>
      <c r="B12" s="312" t="s">
        <v>223</v>
      </c>
      <c r="C12" s="312"/>
      <c r="D12" s="321">
        <f>+D10*D13/2</f>
        <v>37.5</v>
      </c>
      <c r="E12" s="322"/>
      <c r="I12" s="25"/>
    </row>
    <row r="13" spans="1:9" ht="14.5" customHeight="1" x14ac:dyDescent="0.55000000000000004">
      <c r="A13" s="319"/>
      <c r="B13" s="312" t="s">
        <v>135</v>
      </c>
      <c r="C13" s="312"/>
      <c r="D13" s="332">
        <v>1000</v>
      </c>
      <c r="E13" s="317"/>
      <c r="I13" s="25" t="s">
        <v>79</v>
      </c>
    </row>
    <row r="14" spans="1:9" ht="14.5" customHeight="1" x14ac:dyDescent="0.55000000000000004">
      <c r="A14" s="319"/>
      <c r="B14" s="312" t="s">
        <v>216</v>
      </c>
      <c r="C14" s="312"/>
      <c r="D14" s="178">
        <v>360</v>
      </c>
      <c r="E14" s="179" t="s">
        <v>83</v>
      </c>
      <c r="I14" s="25" t="s">
        <v>81</v>
      </c>
    </row>
    <row r="15" spans="1:9" ht="14.5" customHeight="1" x14ac:dyDescent="0.55000000000000004">
      <c r="A15" s="23" t="s">
        <v>84</v>
      </c>
      <c r="B15" s="313"/>
      <c r="C15" s="313"/>
    </row>
    <row r="16" spans="1:9" ht="18" customHeight="1" x14ac:dyDescent="0.55000000000000004">
      <c r="A16" s="320" t="s">
        <v>218</v>
      </c>
      <c r="B16" s="325" t="s">
        <v>219</v>
      </c>
      <c r="C16" s="326"/>
      <c r="D16" s="184">
        <f>+D9*10</f>
        <v>985</v>
      </c>
      <c r="E16" s="186"/>
      <c r="F16" t="s">
        <v>225</v>
      </c>
    </row>
    <row r="17" spans="1:9" ht="18" customHeight="1" x14ac:dyDescent="0.55000000000000004">
      <c r="A17" s="320"/>
      <c r="B17" s="325" t="s">
        <v>220</v>
      </c>
      <c r="C17" s="326"/>
      <c r="D17" s="182">
        <f>+(D20/D14)*(D10*D13)</f>
        <v>29.583333333333332</v>
      </c>
      <c r="E17" s="183"/>
      <c r="F17" t="s">
        <v>224</v>
      </c>
      <c r="I17" t="str">
        <f ca="1">_xlfn.FORMULATEXT(D17)</f>
        <v>=+(D20/D14)*(D10*D13)</v>
      </c>
    </row>
    <row r="18" spans="1:9" ht="18" customHeight="1" x14ac:dyDescent="0.55000000000000004">
      <c r="A18" s="320"/>
      <c r="B18" s="325" t="s">
        <v>221</v>
      </c>
      <c r="C18" s="327"/>
      <c r="D18" s="185">
        <f>+D17+D16</f>
        <v>1014.5833333333334</v>
      </c>
      <c r="E18" s="186"/>
    </row>
    <row r="19" spans="1:9" ht="18" customHeight="1" thickBot="1" x14ac:dyDescent="0.6">
      <c r="A19" s="181"/>
      <c r="B19" s="181"/>
      <c r="C19" s="181"/>
      <c r="D19" s="181"/>
      <c r="E19" s="181"/>
      <c r="F19" s="181"/>
      <c r="G19" s="181"/>
      <c r="H19" s="181"/>
    </row>
    <row r="20" spans="1:9" ht="14.5" customHeight="1" thickBot="1" x14ac:dyDescent="0.6">
      <c r="B20" s="187" t="s">
        <v>222</v>
      </c>
      <c r="C20" s="159"/>
      <c r="D20" s="188">
        <f>SUM(B26:G26)</f>
        <v>142</v>
      </c>
      <c r="F20" s="29" t="s">
        <v>88</v>
      </c>
    </row>
    <row r="21" spans="1:9" ht="14.5" customHeight="1" x14ac:dyDescent="0.55000000000000004"/>
    <row r="22" spans="1:9" ht="14.5" customHeight="1" x14ac:dyDescent="0.55000000000000004">
      <c r="B22" s="30">
        <f>+$D$10*$D$13/2</f>
        <v>37.5</v>
      </c>
      <c r="H22" s="30">
        <f>+$D$10*$D$13/2</f>
        <v>37.5</v>
      </c>
    </row>
    <row r="23" spans="1:9" ht="14.5" customHeight="1" x14ac:dyDescent="0.55000000000000004">
      <c r="B23" s="9"/>
      <c r="C23" s="9"/>
      <c r="D23" s="9"/>
      <c r="E23" s="9"/>
      <c r="F23" s="9"/>
      <c r="G23" s="31"/>
    </row>
    <row r="24" spans="1:9" ht="14.5" customHeight="1" x14ac:dyDescent="0.55000000000000004">
      <c r="B24" s="32" t="s">
        <v>89</v>
      </c>
      <c r="C24" s="33" t="s">
        <v>90</v>
      </c>
      <c r="D24" s="33" t="s">
        <v>91</v>
      </c>
      <c r="E24" s="33" t="s">
        <v>92</v>
      </c>
      <c r="F24" s="33" t="s">
        <v>93</v>
      </c>
      <c r="G24" s="33" t="s">
        <v>94</v>
      </c>
      <c r="H24" s="32" t="s">
        <v>95</v>
      </c>
    </row>
    <row r="25" spans="1:9" ht="14.5" customHeight="1" x14ac:dyDescent="0.55000000000000004"/>
    <row r="26" spans="1:9" ht="14.5" customHeight="1" x14ac:dyDescent="0.55000000000000004">
      <c r="A26" s="34" t="s">
        <v>96</v>
      </c>
      <c r="B26" s="35">
        <v>30</v>
      </c>
      <c r="C26" s="35">
        <v>30</v>
      </c>
      <c r="D26" s="35">
        <v>30</v>
      </c>
      <c r="E26" s="35">
        <v>30</v>
      </c>
      <c r="F26" s="35">
        <v>22</v>
      </c>
      <c r="G26" s="36"/>
    </row>
    <row r="27" spans="1:9" ht="14.5" customHeight="1" x14ac:dyDescent="0.55000000000000004">
      <c r="A27" s="34"/>
      <c r="B27" s="35"/>
      <c r="C27" s="35"/>
      <c r="D27" s="35"/>
      <c r="E27" s="35"/>
      <c r="F27" s="35"/>
      <c r="G27" s="36"/>
    </row>
    <row r="28" spans="1:9" ht="14.5" customHeight="1" x14ac:dyDescent="0.55000000000000004"/>
    <row r="29" spans="1:9" ht="14.5" customHeight="1" x14ac:dyDescent="0.55000000000000004">
      <c r="F29" t="s">
        <v>227</v>
      </c>
    </row>
    <row r="30" spans="1:9" x14ac:dyDescent="0.55000000000000004">
      <c r="D30" s="323" t="s">
        <v>226</v>
      </c>
      <c r="E30" s="324"/>
    </row>
    <row r="32" spans="1:9" x14ac:dyDescent="0.55000000000000004">
      <c r="H32" s="13" t="s">
        <v>240</v>
      </c>
    </row>
    <row r="34" spans="7:7" x14ac:dyDescent="0.55000000000000004">
      <c r="G34" s="6"/>
    </row>
  </sheetData>
  <mergeCells count="22">
    <mergeCell ref="A7:A14"/>
    <mergeCell ref="A16:A18"/>
    <mergeCell ref="B12:C12"/>
    <mergeCell ref="D12:E12"/>
    <mergeCell ref="D30:E30"/>
    <mergeCell ref="B16:C16"/>
    <mergeCell ref="B17:C17"/>
    <mergeCell ref="B18:C18"/>
    <mergeCell ref="D9:E9"/>
    <mergeCell ref="D10:E10"/>
    <mergeCell ref="D11:E11"/>
    <mergeCell ref="D13:E13"/>
    <mergeCell ref="B9:C9"/>
    <mergeCell ref="B10:C10"/>
    <mergeCell ref="B11:C11"/>
    <mergeCell ref="B13:C13"/>
    <mergeCell ref="B14:C14"/>
    <mergeCell ref="B15:C15"/>
    <mergeCell ref="D7:E7"/>
    <mergeCell ref="D8:E8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C466-D4D1-462F-A365-5F43F7CA650F}">
  <dimension ref="A1:J27"/>
  <sheetViews>
    <sheetView workbookViewId="0">
      <selection activeCell="H18" sqref="H18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0.26171875" bestFit="1" customWidth="1"/>
    <col min="4" max="4" width="11.47265625" customWidth="1"/>
    <col min="5" max="5" width="4.15625" customWidth="1"/>
    <col min="6" max="6" width="24.26171875" customWidth="1"/>
    <col min="7" max="7" width="10.26171875" bestFit="1" customWidth="1"/>
    <col min="8" max="13" width="11.26171875" customWidth="1"/>
    <col min="14" max="14" width="12.15625" customWidth="1"/>
    <col min="15" max="15" width="4.1015625" customWidth="1"/>
    <col min="16" max="16" width="4.7890625" customWidth="1"/>
    <col min="17" max="17" width="11.26171875" customWidth="1"/>
    <col min="18" max="18" width="12" customWidth="1"/>
    <col min="19" max="19" width="12.26171875" customWidth="1"/>
    <col min="20" max="20" width="11" customWidth="1"/>
    <col min="21" max="21" width="10.7890625" customWidth="1"/>
    <col min="22" max="22" width="12" customWidth="1"/>
    <col min="23" max="23" width="14.7890625" customWidth="1"/>
    <col min="24" max="24" width="13.734375" customWidth="1"/>
    <col min="25" max="25" width="13.7890625" customWidth="1"/>
    <col min="29" max="29" width="12.5234375" customWidth="1"/>
    <col min="30" max="30" width="13.15625" customWidth="1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5" max="285" width="12.5234375" customWidth="1"/>
    <col min="286" max="286" width="13.15625" customWidth="1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41" max="541" width="12.5234375" customWidth="1"/>
    <col min="542" max="542" width="13.15625" customWidth="1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7" max="797" width="12.5234375" customWidth="1"/>
    <col min="798" max="798" width="13.15625" customWidth="1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3" max="1053" width="12.5234375" customWidth="1"/>
    <col min="1054" max="1054" width="13.15625" customWidth="1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9" max="1309" width="12.5234375" customWidth="1"/>
    <col min="1310" max="1310" width="13.15625" customWidth="1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5" max="1565" width="12.5234375" customWidth="1"/>
    <col min="1566" max="1566" width="13.15625" customWidth="1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21" max="1821" width="12.5234375" customWidth="1"/>
    <col min="1822" max="1822" width="13.15625" customWidth="1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7" max="2077" width="12.5234375" customWidth="1"/>
    <col min="2078" max="2078" width="13.15625" customWidth="1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3" max="2333" width="12.5234375" customWidth="1"/>
    <col min="2334" max="2334" width="13.15625" customWidth="1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9" max="2589" width="12.5234375" customWidth="1"/>
    <col min="2590" max="2590" width="13.15625" customWidth="1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5" max="2845" width="12.5234375" customWidth="1"/>
    <col min="2846" max="2846" width="13.15625" customWidth="1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101" max="3101" width="12.5234375" customWidth="1"/>
    <col min="3102" max="3102" width="13.15625" customWidth="1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7" max="3357" width="12.5234375" customWidth="1"/>
    <col min="3358" max="3358" width="13.15625" customWidth="1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3" max="3613" width="12.5234375" customWidth="1"/>
    <col min="3614" max="3614" width="13.15625" customWidth="1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9" max="3869" width="12.5234375" customWidth="1"/>
    <col min="3870" max="3870" width="13.15625" customWidth="1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5" max="4125" width="12.5234375" customWidth="1"/>
    <col min="4126" max="4126" width="13.15625" customWidth="1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81" max="4381" width="12.5234375" customWidth="1"/>
    <col min="4382" max="4382" width="13.15625" customWidth="1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7" max="4637" width="12.5234375" customWidth="1"/>
    <col min="4638" max="4638" width="13.15625" customWidth="1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3" max="4893" width="12.5234375" customWidth="1"/>
    <col min="4894" max="4894" width="13.15625" customWidth="1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9" max="5149" width="12.5234375" customWidth="1"/>
    <col min="5150" max="5150" width="13.15625" customWidth="1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5" max="5405" width="12.5234375" customWidth="1"/>
    <col min="5406" max="5406" width="13.15625" customWidth="1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61" max="5661" width="12.5234375" customWidth="1"/>
    <col min="5662" max="5662" width="13.15625" customWidth="1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7" max="5917" width="12.5234375" customWidth="1"/>
    <col min="5918" max="5918" width="13.15625" customWidth="1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3" max="6173" width="12.5234375" customWidth="1"/>
    <col min="6174" max="6174" width="13.15625" customWidth="1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9" max="6429" width="12.5234375" customWidth="1"/>
    <col min="6430" max="6430" width="13.15625" customWidth="1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5" max="6685" width="12.5234375" customWidth="1"/>
    <col min="6686" max="6686" width="13.15625" customWidth="1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41" max="6941" width="12.5234375" customWidth="1"/>
    <col min="6942" max="6942" width="13.15625" customWidth="1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7" max="7197" width="12.5234375" customWidth="1"/>
    <col min="7198" max="7198" width="13.15625" customWidth="1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3" max="7453" width="12.5234375" customWidth="1"/>
    <col min="7454" max="7454" width="13.15625" customWidth="1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9" max="7709" width="12.5234375" customWidth="1"/>
    <col min="7710" max="7710" width="13.15625" customWidth="1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5" max="7965" width="12.5234375" customWidth="1"/>
    <col min="7966" max="7966" width="13.15625" customWidth="1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21" max="8221" width="12.5234375" customWidth="1"/>
    <col min="8222" max="8222" width="13.15625" customWidth="1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7" max="8477" width="12.5234375" customWidth="1"/>
    <col min="8478" max="8478" width="13.15625" customWidth="1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3" max="8733" width="12.5234375" customWidth="1"/>
    <col min="8734" max="8734" width="13.15625" customWidth="1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9" max="8989" width="12.5234375" customWidth="1"/>
    <col min="8990" max="8990" width="13.15625" customWidth="1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5" max="9245" width="12.5234375" customWidth="1"/>
    <col min="9246" max="9246" width="13.15625" customWidth="1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501" max="9501" width="12.5234375" customWidth="1"/>
    <col min="9502" max="9502" width="13.15625" customWidth="1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7" max="9757" width="12.5234375" customWidth="1"/>
    <col min="9758" max="9758" width="13.15625" customWidth="1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3" max="10013" width="12.5234375" customWidth="1"/>
    <col min="10014" max="10014" width="13.15625" customWidth="1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9" max="10269" width="12.5234375" customWidth="1"/>
    <col min="10270" max="10270" width="13.15625" customWidth="1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5" max="10525" width="12.5234375" customWidth="1"/>
    <col min="10526" max="10526" width="13.15625" customWidth="1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81" max="10781" width="12.5234375" customWidth="1"/>
    <col min="10782" max="10782" width="13.15625" customWidth="1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7" max="11037" width="12.5234375" customWidth="1"/>
    <col min="11038" max="11038" width="13.15625" customWidth="1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3" max="11293" width="12.5234375" customWidth="1"/>
    <col min="11294" max="11294" width="13.15625" customWidth="1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9" max="11549" width="12.5234375" customWidth="1"/>
    <col min="11550" max="11550" width="13.15625" customWidth="1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5" max="11805" width="12.5234375" customWidth="1"/>
    <col min="11806" max="11806" width="13.15625" customWidth="1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61" max="12061" width="12.5234375" customWidth="1"/>
    <col min="12062" max="12062" width="13.15625" customWidth="1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7" max="12317" width="12.5234375" customWidth="1"/>
    <col min="12318" max="12318" width="13.15625" customWidth="1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3" max="12573" width="12.5234375" customWidth="1"/>
    <col min="12574" max="12574" width="13.15625" customWidth="1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9" max="12829" width="12.5234375" customWidth="1"/>
    <col min="12830" max="12830" width="13.15625" customWidth="1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5" max="13085" width="12.5234375" customWidth="1"/>
    <col min="13086" max="13086" width="13.15625" customWidth="1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41" max="13341" width="12.5234375" customWidth="1"/>
    <col min="13342" max="13342" width="13.15625" customWidth="1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7" max="13597" width="12.5234375" customWidth="1"/>
    <col min="13598" max="13598" width="13.15625" customWidth="1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3" max="13853" width="12.5234375" customWidth="1"/>
    <col min="13854" max="13854" width="13.15625" customWidth="1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9" max="14109" width="12.5234375" customWidth="1"/>
    <col min="14110" max="14110" width="13.15625" customWidth="1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5" max="14365" width="12.5234375" customWidth="1"/>
    <col min="14366" max="14366" width="13.15625" customWidth="1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21" max="14621" width="12.5234375" customWidth="1"/>
    <col min="14622" max="14622" width="13.15625" customWidth="1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7" max="14877" width="12.5234375" customWidth="1"/>
    <col min="14878" max="14878" width="13.15625" customWidth="1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3" max="15133" width="12.5234375" customWidth="1"/>
    <col min="15134" max="15134" width="13.15625" customWidth="1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9" max="15389" width="12.5234375" customWidth="1"/>
    <col min="15390" max="15390" width="13.15625" customWidth="1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5" max="15645" width="12.5234375" customWidth="1"/>
    <col min="15646" max="15646" width="13.15625" customWidth="1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901" max="15901" width="12.5234375" customWidth="1"/>
    <col min="15902" max="15902" width="13.15625" customWidth="1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7" max="16157" width="12.5234375" customWidth="1"/>
    <col min="16158" max="16158" width="13.15625" customWidth="1"/>
  </cols>
  <sheetData>
    <row r="1" spans="1:10" ht="14.5" customHeight="1" x14ac:dyDescent="0.55000000000000004">
      <c r="A1" s="270"/>
      <c r="B1" s="281" t="s">
        <v>39</v>
      </c>
      <c r="C1" s="269" t="s">
        <v>50</v>
      </c>
      <c r="D1" s="269" t="s">
        <v>53</v>
      </c>
      <c r="E1" s="269" t="s">
        <v>57</v>
      </c>
      <c r="F1" s="269" t="s">
        <v>58</v>
      </c>
      <c r="G1" s="40"/>
      <c r="H1" s="40"/>
      <c r="I1" s="40"/>
      <c r="J1" s="40"/>
    </row>
    <row r="2" spans="1:10" ht="21.55" customHeight="1" x14ac:dyDescent="0.6">
      <c r="A2" s="270">
        <f>ROW()</f>
        <v>2</v>
      </c>
      <c r="B2" s="17" t="s">
        <v>278</v>
      </c>
      <c r="C2" s="39"/>
      <c r="D2" s="39"/>
      <c r="E2" s="39"/>
      <c r="F2" s="39"/>
      <c r="G2" s="40"/>
      <c r="H2" s="40"/>
      <c r="I2" s="40"/>
      <c r="J2" s="40"/>
    </row>
    <row r="3" spans="1:10" x14ac:dyDescent="0.55000000000000004">
      <c r="A3" s="270">
        <f>ROW()</f>
        <v>3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55000000000000004">
      <c r="A4" s="270">
        <f>ROW()</f>
        <v>4</v>
      </c>
      <c r="B4" s="41" t="s">
        <v>99</v>
      </c>
      <c r="C4" s="40"/>
      <c r="D4" s="40"/>
      <c r="E4" s="40"/>
      <c r="F4" s="40"/>
      <c r="G4" s="40"/>
      <c r="H4" s="40"/>
      <c r="I4" s="40"/>
      <c r="J4" s="40"/>
    </row>
    <row r="5" spans="1:10" x14ac:dyDescent="0.55000000000000004">
      <c r="A5" s="270">
        <f>ROW()</f>
        <v>5</v>
      </c>
      <c r="B5" s="40" t="s">
        <v>101</v>
      </c>
      <c r="C5" s="40"/>
      <c r="D5" s="42">
        <v>42078</v>
      </c>
      <c r="E5" s="40"/>
      <c r="F5" s="40"/>
      <c r="G5" s="40"/>
      <c r="H5" s="40"/>
      <c r="I5" s="40"/>
      <c r="J5" s="40"/>
    </row>
    <row r="6" spans="1:10" x14ac:dyDescent="0.55000000000000004">
      <c r="A6" s="270">
        <f>ROW()</f>
        <v>6</v>
      </c>
      <c r="B6" s="40" t="s">
        <v>102</v>
      </c>
      <c r="C6" s="40"/>
      <c r="D6" s="42">
        <v>45672</v>
      </c>
      <c r="E6" s="40"/>
      <c r="F6" s="40"/>
      <c r="G6" s="40"/>
      <c r="H6" s="40"/>
      <c r="I6" s="40"/>
      <c r="J6" s="40"/>
    </row>
    <row r="7" spans="1:10" x14ac:dyDescent="0.55000000000000004">
      <c r="A7" s="270">
        <f>ROW()</f>
        <v>7</v>
      </c>
      <c r="B7" s="40" t="s">
        <v>103</v>
      </c>
      <c r="C7" s="40"/>
      <c r="D7" s="44">
        <v>4.2500000000000003E-2</v>
      </c>
      <c r="E7" s="40"/>
      <c r="F7" s="40">
        <f>D7*1000/2</f>
        <v>21.25</v>
      </c>
      <c r="G7" s="40">
        <f>60/180</f>
        <v>0.33333333333333331</v>
      </c>
      <c r="H7" s="40">
        <f>G7*F7</f>
        <v>7.083333333333333</v>
      </c>
      <c r="I7" s="40"/>
      <c r="J7" s="40"/>
    </row>
    <row r="8" spans="1:10" x14ac:dyDescent="0.55000000000000004">
      <c r="A8" s="270">
        <f>ROW()</f>
        <v>8</v>
      </c>
      <c r="B8" s="45" t="s">
        <v>104</v>
      </c>
      <c r="C8" s="45"/>
      <c r="D8" s="46">
        <v>4.7399999999999998E-2</v>
      </c>
      <c r="E8" s="40"/>
      <c r="F8" s="40"/>
      <c r="G8" s="40"/>
      <c r="H8" s="40"/>
      <c r="I8" s="40"/>
      <c r="J8" s="40"/>
    </row>
    <row r="9" spans="1:10" x14ac:dyDescent="0.55000000000000004">
      <c r="A9" s="270">
        <f>ROW()</f>
        <v>9</v>
      </c>
      <c r="B9" s="40" t="s">
        <v>106</v>
      </c>
      <c r="C9" s="40"/>
      <c r="D9" s="40">
        <v>100</v>
      </c>
      <c r="E9" s="40"/>
      <c r="F9" s="40"/>
      <c r="G9" s="40"/>
      <c r="H9" s="40"/>
      <c r="I9" s="40"/>
      <c r="J9" s="40"/>
    </row>
    <row r="10" spans="1:10" x14ac:dyDescent="0.55000000000000004">
      <c r="A10" s="270">
        <f>ROW()</f>
        <v>10</v>
      </c>
      <c r="B10" s="40" t="s">
        <v>107</v>
      </c>
      <c r="C10" s="40"/>
      <c r="D10" s="40">
        <v>2</v>
      </c>
      <c r="E10" s="40"/>
      <c r="F10" s="40"/>
      <c r="G10" s="40"/>
      <c r="H10" s="40"/>
      <c r="I10" s="40"/>
      <c r="J10" s="40"/>
    </row>
    <row r="11" spans="1:10" x14ac:dyDescent="0.55000000000000004">
      <c r="A11" s="270">
        <f>ROW()</f>
        <v>11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55000000000000004">
      <c r="A12" s="270">
        <f>ROW()</f>
        <v>12</v>
      </c>
      <c r="B12" s="45" t="s">
        <v>72</v>
      </c>
      <c r="C12" s="45"/>
      <c r="D12" s="243">
        <f>PRICE(D5,D6,D7,D8,D9,D10)</f>
        <v>96.178530201010034</v>
      </c>
      <c r="E12" s="40"/>
      <c r="F12" s="40" t="s">
        <v>269</v>
      </c>
      <c r="G12" s="40"/>
      <c r="H12" s="40"/>
      <c r="I12" s="40"/>
      <c r="J12" s="40"/>
    </row>
    <row r="13" spans="1:10" ht="14.7" thickBot="1" x14ac:dyDescent="0.6">
      <c r="A13" s="270">
        <f>ROW()</f>
        <v>13</v>
      </c>
      <c r="B13" s="45"/>
      <c r="C13" s="45"/>
      <c r="D13" s="243"/>
      <c r="E13" s="40"/>
      <c r="F13" s="40"/>
      <c r="G13" s="40"/>
      <c r="H13" s="40"/>
      <c r="I13" s="40"/>
      <c r="J13" s="40"/>
    </row>
    <row r="14" spans="1:10" ht="14.7" thickBot="1" x14ac:dyDescent="0.6">
      <c r="A14" s="270">
        <f>ROW()</f>
        <v>14</v>
      </c>
      <c r="B14" s="48" t="s">
        <v>266</v>
      </c>
      <c r="C14" s="45"/>
      <c r="D14" s="245">
        <f>+D12*10</f>
        <v>961.78530201010039</v>
      </c>
      <c r="E14" s="40"/>
      <c r="F14" s="40" t="s">
        <v>273</v>
      </c>
      <c r="G14" s="40"/>
      <c r="H14" s="40"/>
      <c r="I14" s="40"/>
      <c r="J14" s="40"/>
    </row>
    <row r="15" spans="1:10" x14ac:dyDescent="0.55000000000000004">
      <c r="A15" s="270">
        <f>ROW()</f>
        <v>15</v>
      </c>
      <c r="B15" s="48"/>
      <c r="C15" s="45"/>
      <c r="D15" s="45"/>
      <c r="E15" s="45"/>
      <c r="F15" s="40"/>
      <c r="G15" s="40"/>
      <c r="H15" s="40"/>
      <c r="I15" s="40"/>
      <c r="J15" s="40"/>
    </row>
    <row r="16" spans="1:10" x14ac:dyDescent="0.55000000000000004">
      <c r="A16" s="270">
        <f>ROW()</f>
        <v>16</v>
      </c>
      <c r="B16" s="40" t="s">
        <v>110</v>
      </c>
      <c r="C16" s="40"/>
      <c r="D16" s="52">
        <f>COUPDAYBS(D5,D6,D10,0)</f>
        <v>60</v>
      </c>
      <c r="E16" s="40"/>
      <c r="F16" s="40" t="s">
        <v>274</v>
      </c>
      <c r="G16" s="40"/>
      <c r="H16" s="40"/>
      <c r="I16" s="40"/>
      <c r="J16" s="40"/>
    </row>
    <row r="17" spans="1:10" x14ac:dyDescent="0.55000000000000004">
      <c r="A17" s="270">
        <f>ROW()</f>
        <v>17</v>
      </c>
      <c r="B17" s="40" t="s">
        <v>111</v>
      </c>
      <c r="C17" s="40"/>
      <c r="D17" s="52">
        <f>COUPDAYS(D5,D6,D10,0)</f>
        <v>180</v>
      </c>
      <c r="E17" s="40"/>
      <c r="F17" s="40" t="s">
        <v>275</v>
      </c>
      <c r="G17" s="40"/>
      <c r="H17" s="40"/>
      <c r="I17" s="40"/>
      <c r="J17" s="40"/>
    </row>
    <row r="18" spans="1:10" x14ac:dyDescent="0.55000000000000004">
      <c r="A18" s="270">
        <f>ROW()</f>
        <v>18</v>
      </c>
      <c r="B18" s="40" t="s">
        <v>112</v>
      </c>
      <c r="C18" s="40"/>
      <c r="D18" s="244">
        <f>(D16/D17)*D7*1000/2</f>
        <v>7.0833333333333339</v>
      </c>
      <c r="E18" s="40"/>
      <c r="F18" s="40" t="s">
        <v>276</v>
      </c>
      <c r="G18" s="40"/>
      <c r="H18" s="40"/>
      <c r="I18" s="40"/>
      <c r="J18" s="40"/>
    </row>
    <row r="19" spans="1:10" ht="14.7" thickBot="1" x14ac:dyDescent="0.6">
      <c r="A19" s="270">
        <f>ROW()</f>
        <v>19</v>
      </c>
      <c r="B19" s="40"/>
      <c r="C19" s="40"/>
      <c r="D19" s="244"/>
      <c r="E19" s="40"/>
      <c r="F19" s="40"/>
      <c r="G19" s="40"/>
      <c r="H19" s="40"/>
      <c r="I19" s="40"/>
      <c r="J19" s="40"/>
    </row>
    <row r="20" spans="1:10" ht="14.7" thickBot="1" x14ac:dyDescent="0.6">
      <c r="A20" s="270">
        <f>ROW()</f>
        <v>20</v>
      </c>
      <c r="B20" s="45" t="s">
        <v>113</v>
      </c>
      <c r="C20" s="45"/>
      <c r="D20" s="245">
        <f>+D18+D14</f>
        <v>968.86863534343377</v>
      </c>
      <c r="E20" s="40"/>
      <c r="F20" s="40" t="s">
        <v>277</v>
      </c>
      <c r="G20" s="40"/>
      <c r="H20" s="40"/>
      <c r="I20" s="40"/>
      <c r="J20" s="40"/>
    </row>
    <row r="21" spans="1:10" x14ac:dyDescent="0.55000000000000004">
      <c r="A21" s="270">
        <f>ROW()</f>
        <v>21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1.45" customHeight="1" x14ac:dyDescent="0.55000000000000004">
      <c r="A22" s="40"/>
      <c r="B22" s="40"/>
      <c r="C22" s="40"/>
      <c r="D22" s="40"/>
      <c r="E22" s="40"/>
      <c r="F22" s="246"/>
      <c r="G22" s="40"/>
      <c r="H22" s="40"/>
      <c r="I22" s="40"/>
      <c r="J22" s="40"/>
    </row>
    <row r="23" spans="1:10" x14ac:dyDescent="0.55000000000000004">
      <c r="A23" s="279"/>
      <c r="B23" s="279"/>
      <c r="C23" s="279"/>
      <c r="D23" s="279"/>
      <c r="E23" s="279"/>
      <c r="F23" s="280" t="s">
        <v>247</v>
      </c>
      <c r="G23" s="40"/>
      <c r="H23" s="40"/>
      <c r="I23" s="40"/>
      <c r="J23" s="40"/>
    </row>
    <row r="24" spans="1:10" x14ac:dyDescent="0.55000000000000004">
      <c r="A24" s="40"/>
      <c r="B24" s="40"/>
      <c r="C24" s="40"/>
      <c r="D24" s="40"/>
      <c r="E24" s="40"/>
    </row>
    <row r="25" spans="1:10" x14ac:dyDescent="0.55000000000000004">
      <c r="A25" s="40"/>
      <c r="B25" s="40"/>
      <c r="C25" s="40"/>
      <c r="D25" s="40"/>
      <c r="E25" s="40"/>
    </row>
    <row r="26" spans="1:10" x14ac:dyDescent="0.55000000000000004">
      <c r="A26" s="40"/>
      <c r="B26" s="40"/>
      <c r="C26" s="40"/>
      <c r="D26" s="40"/>
      <c r="E26" s="40"/>
    </row>
    <row r="27" spans="1:10" x14ac:dyDescent="0.55000000000000004">
      <c r="A27" s="40"/>
      <c r="B27" s="40"/>
      <c r="C27" s="40"/>
      <c r="D27" s="40"/>
      <c r="E27" s="40"/>
    </row>
  </sheetData>
  <phoneticPr fontId="2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5089-EA4F-4A00-8643-F62876413004}">
  <dimension ref="A1:Q28"/>
  <sheetViews>
    <sheetView topLeftCell="A4" workbookViewId="0">
      <selection activeCell="E14" sqref="E14"/>
    </sheetView>
  </sheetViews>
  <sheetFormatPr defaultRowHeight="14.4" x14ac:dyDescent="0.55000000000000004"/>
  <cols>
    <col min="1" max="1" width="4.734375" style="190" customWidth="1"/>
    <col min="2" max="2" width="20.3671875" customWidth="1"/>
    <col min="3" max="3" width="11.734375" customWidth="1"/>
    <col min="4" max="4" width="10.62890625" customWidth="1"/>
    <col min="5" max="5" width="12.5234375" customWidth="1"/>
    <col min="6" max="6" width="14.62890625" customWidth="1"/>
    <col min="7" max="7" width="5.47265625" style="6" customWidth="1"/>
    <col min="8" max="8" width="11" style="190" customWidth="1"/>
    <col min="9" max="9" width="11.89453125" customWidth="1"/>
    <col min="10" max="10" width="4.3671875" customWidth="1"/>
    <col min="11" max="14" width="11.26171875" customWidth="1"/>
    <col min="15" max="15" width="12.15625" customWidth="1"/>
    <col min="16" max="16" width="4.1015625" customWidth="1"/>
    <col min="17" max="17" width="4.7890625" customWidth="1"/>
    <col min="18" max="18" width="11.26171875" customWidth="1"/>
    <col min="19" max="19" width="12" customWidth="1"/>
    <col min="20" max="20" width="12.26171875" customWidth="1"/>
    <col min="21" max="21" width="11" customWidth="1"/>
    <col min="22" max="22" width="10.7890625" customWidth="1"/>
    <col min="23" max="23" width="12" customWidth="1"/>
    <col min="24" max="24" width="14.7890625" customWidth="1"/>
    <col min="25" max="25" width="13.734375" customWidth="1"/>
    <col min="26" max="26" width="13.7890625" customWidth="1"/>
    <col min="30" max="30" width="12.5234375" customWidth="1"/>
    <col min="31" max="31" width="13.15625" customWidth="1"/>
    <col min="258" max="258" width="4.26171875" customWidth="1"/>
    <col min="259" max="259" width="18.26171875" customWidth="1"/>
    <col min="260" max="260" width="10.26171875" bestFit="1" customWidth="1"/>
    <col min="261" max="261" width="11.47265625" customWidth="1"/>
    <col min="262" max="263" width="12.5234375" customWidth="1"/>
    <col min="264" max="264" width="10.26171875" bestFit="1" customWidth="1"/>
    <col min="265" max="270" width="11.26171875" customWidth="1"/>
    <col min="271" max="271" width="12.15625" customWidth="1"/>
    <col min="272" max="272" width="4.1015625" customWidth="1"/>
    <col min="273" max="273" width="4.7890625" customWidth="1"/>
    <col min="274" max="274" width="11.26171875" customWidth="1"/>
    <col min="275" max="275" width="12" customWidth="1"/>
    <col min="276" max="276" width="12.26171875" customWidth="1"/>
    <col min="277" max="277" width="11" customWidth="1"/>
    <col min="278" max="278" width="10.7890625" customWidth="1"/>
    <col min="279" max="279" width="12" customWidth="1"/>
    <col min="280" max="280" width="14.7890625" customWidth="1"/>
    <col min="281" max="281" width="13.734375" customWidth="1"/>
    <col min="282" max="282" width="13.7890625" customWidth="1"/>
    <col min="286" max="286" width="12.5234375" customWidth="1"/>
    <col min="287" max="287" width="13.15625" customWidth="1"/>
    <col min="514" max="514" width="4.26171875" customWidth="1"/>
    <col min="515" max="515" width="18.26171875" customWidth="1"/>
    <col min="516" max="516" width="10.26171875" bestFit="1" customWidth="1"/>
    <col min="517" max="517" width="11.47265625" customWidth="1"/>
    <col min="518" max="519" width="12.5234375" customWidth="1"/>
    <col min="520" max="520" width="10.26171875" bestFit="1" customWidth="1"/>
    <col min="521" max="526" width="11.26171875" customWidth="1"/>
    <col min="527" max="527" width="12.15625" customWidth="1"/>
    <col min="528" max="528" width="4.1015625" customWidth="1"/>
    <col min="529" max="529" width="4.7890625" customWidth="1"/>
    <col min="530" max="530" width="11.26171875" customWidth="1"/>
    <col min="531" max="531" width="12" customWidth="1"/>
    <col min="532" max="532" width="12.26171875" customWidth="1"/>
    <col min="533" max="533" width="11" customWidth="1"/>
    <col min="534" max="534" width="10.7890625" customWidth="1"/>
    <col min="535" max="535" width="12" customWidth="1"/>
    <col min="536" max="536" width="14.7890625" customWidth="1"/>
    <col min="537" max="537" width="13.734375" customWidth="1"/>
    <col min="538" max="538" width="13.7890625" customWidth="1"/>
    <col min="542" max="542" width="12.5234375" customWidth="1"/>
    <col min="543" max="543" width="13.15625" customWidth="1"/>
    <col min="770" max="770" width="4.26171875" customWidth="1"/>
    <col min="771" max="771" width="18.26171875" customWidth="1"/>
    <col min="772" max="772" width="10.26171875" bestFit="1" customWidth="1"/>
    <col min="773" max="773" width="11.47265625" customWidth="1"/>
    <col min="774" max="775" width="12.5234375" customWidth="1"/>
    <col min="776" max="776" width="10.26171875" bestFit="1" customWidth="1"/>
    <col min="777" max="782" width="11.26171875" customWidth="1"/>
    <col min="783" max="783" width="12.15625" customWidth="1"/>
    <col min="784" max="784" width="4.1015625" customWidth="1"/>
    <col min="785" max="785" width="4.7890625" customWidth="1"/>
    <col min="786" max="786" width="11.26171875" customWidth="1"/>
    <col min="787" max="787" width="12" customWidth="1"/>
    <col min="788" max="788" width="12.26171875" customWidth="1"/>
    <col min="789" max="789" width="11" customWidth="1"/>
    <col min="790" max="790" width="10.7890625" customWidth="1"/>
    <col min="791" max="791" width="12" customWidth="1"/>
    <col min="792" max="792" width="14.7890625" customWidth="1"/>
    <col min="793" max="793" width="13.734375" customWidth="1"/>
    <col min="794" max="794" width="13.7890625" customWidth="1"/>
    <col min="798" max="798" width="12.5234375" customWidth="1"/>
    <col min="799" max="799" width="13.15625" customWidth="1"/>
    <col min="1026" max="1026" width="4.26171875" customWidth="1"/>
    <col min="1027" max="1027" width="18.26171875" customWidth="1"/>
    <col min="1028" max="1028" width="10.26171875" bestFit="1" customWidth="1"/>
    <col min="1029" max="1029" width="11.47265625" customWidth="1"/>
    <col min="1030" max="1031" width="12.5234375" customWidth="1"/>
    <col min="1032" max="1032" width="10.26171875" bestFit="1" customWidth="1"/>
    <col min="1033" max="1038" width="11.26171875" customWidth="1"/>
    <col min="1039" max="1039" width="12.15625" customWidth="1"/>
    <col min="1040" max="1040" width="4.1015625" customWidth="1"/>
    <col min="1041" max="1041" width="4.7890625" customWidth="1"/>
    <col min="1042" max="1042" width="11.26171875" customWidth="1"/>
    <col min="1043" max="1043" width="12" customWidth="1"/>
    <col min="1044" max="1044" width="12.26171875" customWidth="1"/>
    <col min="1045" max="1045" width="11" customWidth="1"/>
    <col min="1046" max="1046" width="10.7890625" customWidth="1"/>
    <col min="1047" max="1047" width="12" customWidth="1"/>
    <col min="1048" max="1048" width="14.7890625" customWidth="1"/>
    <col min="1049" max="1049" width="13.734375" customWidth="1"/>
    <col min="1050" max="1050" width="13.7890625" customWidth="1"/>
    <col min="1054" max="1054" width="12.5234375" customWidth="1"/>
    <col min="1055" max="1055" width="13.15625" customWidth="1"/>
    <col min="1282" max="1282" width="4.26171875" customWidth="1"/>
    <col min="1283" max="1283" width="18.26171875" customWidth="1"/>
    <col min="1284" max="1284" width="10.26171875" bestFit="1" customWidth="1"/>
    <col min="1285" max="1285" width="11.47265625" customWidth="1"/>
    <col min="1286" max="1287" width="12.5234375" customWidth="1"/>
    <col min="1288" max="1288" width="10.26171875" bestFit="1" customWidth="1"/>
    <col min="1289" max="1294" width="11.26171875" customWidth="1"/>
    <col min="1295" max="1295" width="12.15625" customWidth="1"/>
    <col min="1296" max="1296" width="4.1015625" customWidth="1"/>
    <col min="1297" max="1297" width="4.7890625" customWidth="1"/>
    <col min="1298" max="1298" width="11.26171875" customWidth="1"/>
    <col min="1299" max="1299" width="12" customWidth="1"/>
    <col min="1300" max="1300" width="12.26171875" customWidth="1"/>
    <col min="1301" max="1301" width="11" customWidth="1"/>
    <col min="1302" max="1302" width="10.7890625" customWidth="1"/>
    <col min="1303" max="1303" width="12" customWidth="1"/>
    <col min="1304" max="1304" width="14.7890625" customWidth="1"/>
    <col min="1305" max="1305" width="13.734375" customWidth="1"/>
    <col min="1306" max="1306" width="13.7890625" customWidth="1"/>
    <col min="1310" max="1310" width="12.5234375" customWidth="1"/>
    <col min="1311" max="1311" width="13.15625" customWidth="1"/>
    <col min="1538" max="1538" width="4.26171875" customWidth="1"/>
    <col min="1539" max="1539" width="18.26171875" customWidth="1"/>
    <col min="1540" max="1540" width="10.26171875" bestFit="1" customWidth="1"/>
    <col min="1541" max="1541" width="11.47265625" customWidth="1"/>
    <col min="1542" max="1543" width="12.5234375" customWidth="1"/>
    <col min="1544" max="1544" width="10.26171875" bestFit="1" customWidth="1"/>
    <col min="1545" max="1550" width="11.26171875" customWidth="1"/>
    <col min="1551" max="1551" width="12.15625" customWidth="1"/>
    <col min="1552" max="1552" width="4.1015625" customWidth="1"/>
    <col min="1553" max="1553" width="4.7890625" customWidth="1"/>
    <col min="1554" max="1554" width="11.26171875" customWidth="1"/>
    <col min="1555" max="1555" width="12" customWidth="1"/>
    <col min="1556" max="1556" width="12.26171875" customWidth="1"/>
    <col min="1557" max="1557" width="11" customWidth="1"/>
    <col min="1558" max="1558" width="10.7890625" customWidth="1"/>
    <col min="1559" max="1559" width="12" customWidth="1"/>
    <col min="1560" max="1560" width="14.7890625" customWidth="1"/>
    <col min="1561" max="1561" width="13.734375" customWidth="1"/>
    <col min="1562" max="1562" width="13.7890625" customWidth="1"/>
    <col min="1566" max="1566" width="12.5234375" customWidth="1"/>
    <col min="1567" max="1567" width="13.15625" customWidth="1"/>
    <col min="1794" max="1794" width="4.26171875" customWidth="1"/>
    <col min="1795" max="1795" width="18.26171875" customWidth="1"/>
    <col min="1796" max="1796" width="10.26171875" bestFit="1" customWidth="1"/>
    <col min="1797" max="1797" width="11.47265625" customWidth="1"/>
    <col min="1798" max="1799" width="12.5234375" customWidth="1"/>
    <col min="1800" max="1800" width="10.26171875" bestFit="1" customWidth="1"/>
    <col min="1801" max="1806" width="11.26171875" customWidth="1"/>
    <col min="1807" max="1807" width="12.15625" customWidth="1"/>
    <col min="1808" max="1808" width="4.1015625" customWidth="1"/>
    <col min="1809" max="1809" width="4.7890625" customWidth="1"/>
    <col min="1810" max="1810" width="11.26171875" customWidth="1"/>
    <col min="1811" max="1811" width="12" customWidth="1"/>
    <col min="1812" max="1812" width="12.26171875" customWidth="1"/>
    <col min="1813" max="1813" width="11" customWidth="1"/>
    <col min="1814" max="1814" width="10.7890625" customWidth="1"/>
    <col min="1815" max="1815" width="12" customWidth="1"/>
    <col min="1816" max="1816" width="14.7890625" customWidth="1"/>
    <col min="1817" max="1817" width="13.734375" customWidth="1"/>
    <col min="1818" max="1818" width="13.7890625" customWidth="1"/>
    <col min="1822" max="1822" width="12.5234375" customWidth="1"/>
    <col min="1823" max="1823" width="13.15625" customWidth="1"/>
    <col min="2050" max="2050" width="4.26171875" customWidth="1"/>
    <col min="2051" max="2051" width="18.26171875" customWidth="1"/>
    <col min="2052" max="2052" width="10.26171875" bestFit="1" customWidth="1"/>
    <col min="2053" max="2053" width="11.47265625" customWidth="1"/>
    <col min="2054" max="2055" width="12.5234375" customWidth="1"/>
    <col min="2056" max="2056" width="10.26171875" bestFit="1" customWidth="1"/>
    <col min="2057" max="2062" width="11.26171875" customWidth="1"/>
    <col min="2063" max="2063" width="12.15625" customWidth="1"/>
    <col min="2064" max="2064" width="4.1015625" customWidth="1"/>
    <col min="2065" max="2065" width="4.7890625" customWidth="1"/>
    <col min="2066" max="2066" width="11.26171875" customWidth="1"/>
    <col min="2067" max="2067" width="12" customWidth="1"/>
    <col min="2068" max="2068" width="12.26171875" customWidth="1"/>
    <col min="2069" max="2069" width="11" customWidth="1"/>
    <col min="2070" max="2070" width="10.7890625" customWidth="1"/>
    <col min="2071" max="2071" width="12" customWidth="1"/>
    <col min="2072" max="2072" width="14.7890625" customWidth="1"/>
    <col min="2073" max="2073" width="13.734375" customWidth="1"/>
    <col min="2074" max="2074" width="13.7890625" customWidth="1"/>
    <col min="2078" max="2078" width="12.5234375" customWidth="1"/>
    <col min="2079" max="2079" width="13.15625" customWidth="1"/>
    <col min="2306" max="2306" width="4.26171875" customWidth="1"/>
    <col min="2307" max="2307" width="18.26171875" customWidth="1"/>
    <col min="2308" max="2308" width="10.26171875" bestFit="1" customWidth="1"/>
    <col min="2309" max="2309" width="11.47265625" customWidth="1"/>
    <col min="2310" max="2311" width="12.5234375" customWidth="1"/>
    <col min="2312" max="2312" width="10.26171875" bestFit="1" customWidth="1"/>
    <col min="2313" max="2318" width="11.26171875" customWidth="1"/>
    <col min="2319" max="2319" width="12.15625" customWidth="1"/>
    <col min="2320" max="2320" width="4.1015625" customWidth="1"/>
    <col min="2321" max="2321" width="4.7890625" customWidth="1"/>
    <col min="2322" max="2322" width="11.26171875" customWidth="1"/>
    <col min="2323" max="2323" width="12" customWidth="1"/>
    <col min="2324" max="2324" width="12.26171875" customWidth="1"/>
    <col min="2325" max="2325" width="11" customWidth="1"/>
    <col min="2326" max="2326" width="10.7890625" customWidth="1"/>
    <col min="2327" max="2327" width="12" customWidth="1"/>
    <col min="2328" max="2328" width="14.7890625" customWidth="1"/>
    <col min="2329" max="2329" width="13.734375" customWidth="1"/>
    <col min="2330" max="2330" width="13.7890625" customWidth="1"/>
    <col min="2334" max="2334" width="12.5234375" customWidth="1"/>
    <col min="2335" max="2335" width="13.15625" customWidth="1"/>
    <col min="2562" max="2562" width="4.26171875" customWidth="1"/>
    <col min="2563" max="2563" width="18.26171875" customWidth="1"/>
    <col min="2564" max="2564" width="10.26171875" bestFit="1" customWidth="1"/>
    <col min="2565" max="2565" width="11.47265625" customWidth="1"/>
    <col min="2566" max="2567" width="12.5234375" customWidth="1"/>
    <col min="2568" max="2568" width="10.26171875" bestFit="1" customWidth="1"/>
    <col min="2569" max="2574" width="11.26171875" customWidth="1"/>
    <col min="2575" max="2575" width="12.15625" customWidth="1"/>
    <col min="2576" max="2576" width="4.1015625" customWidth="1"/>
    <col min="2577" max="2577" width="4.7890625" customWidth="1"/>
    <col min="2578" max="2578" width="11.26171875" customWidth="1"/>
    <col min="2579" max="2579" width="12" customWidth="1"/>
    <col min="2580" max="2580" width="12.26171875" customWidth="1"/>
    <col min="2581" max="2581" width="11" customWidth="1"/>
    <col min="2582" max="2582" width="10.7890625" customWidth="1"/>
    <col min="2583" max="2583" width="12" customWidth="1"/>
    <col min="2584" max="2584" width="14.7890625" customWidth="1"/>
    <col min="2585" max="2585" width="13.734375" customWidth="1"/>
    <col min="2586" max="2586" width="13.7890625" customWidth="1"/>
    <col min="2590" max="2590" width="12.5234375" customWidth="1"/>
    <col min="2591" max="2591" width="13.15625" customWidth="1"/>
    <col min="2818" max="2818" width="4.26171875" customWidth="1"/>
    <col min="2819" max="2819" width="18.26171875" customWidth="1"/>
    <col min="2820" max="2820" width="10.26171875" bestFit="1" customWidth="1"/>
    <col min="2821" max="2821" width="11.47265625" customWidth="1"/>
    <col min="2822" max="2823" width="12.5234375" customWidth="1"/>
    <col min="2824" max="2824" width="10.26171875" bestFit="1" customWidth="1"/>
    <col min="2825" max="2830" width="11.26171875" customWidth="1"/>
    <col min="2831" max="2831" width="12.15625" customWidth="1"/>
    <col min="2832" max="2832" width="4.1015625" customWidth="1"/>
    <col min="2833" max="2833" width="4.7890625" customWidth="1"/>
    <col min="2834" max="2834" width="11.26171875" customWidth="1"/>
    <col min="2835" max="2835" width="12" customWidth="1"/>
    <col min="2836" max="2836" width="12.26171875" customWidth="1"/>
    <col min="2837" max="2837" width="11" customWidth="1"/>
    <col min="2838" max="2838" width="10.7890625" customWidth="1"/>
    <col min="2839" max="2839" width="12" customWidth="1"/>
    <col min="2840" max="2840" width="14.7890625" customWidth="1"/>
    <col min="2841" max="2841" width="13.734375" customWidth="1"/>
    <col min="2842" max="2842" width="13.7890625" customWidth="1"/>
    <col min="2846" max="2846" width="12.5234375" customWidth="1"/>
    <col min="2847" max="2847" width="13.15625" customWidth="1"/>
    <col min="3074" max="3074" width="4.26171875" customWidth="1"/>
    <col min="3075" max="3075" width="18.26171875" customWidth="1"/>
    <col min="3076" max="3076" width="10.26171875" bestFit="1" customWidth="1"/>
    <col min="3077" max="3077" width="11.47265625" customWidth="1"/>
    <col min="3078" max="3079" width="12.5234375" customWidth="1"/>
    <col min="3080" max="3080" width="10.26171875" bestFit="1" customWidth="1"/>
    <col min="3081" max="3086" width="11.26171875" customWidth="1"/>
    <col min="3087" max="3087" width="12.15625" customWidth="1"/>
    <col min="3088" max="3088" width="4.1015625" customWidth="1"/>
    <col min="3089" max="3089" width="4.7890625" customWidth="1"/>
    <col min="3090" max="3090" width="11.26171875" customWidth="1"/>
    <col min="3091" max="3091" width="12" customWidth="1"/>
    <col min="3092" max="3092" width="12.26171875" customWidth="1"/>
    <col min="3093" max="3093" width="11" customWidth="1"/>
    <col min="3094" max="3094" width="10.7890625" customWidth="1"/>
    <col min="3095" max="3095" width="12" customWidth="1"/>
    <col min="3096" max="3096" width="14.7890625" customWidth="1"/>
    <col min="3097" max="3097" width="13.734375" customWidth="1"/>
    <col min="3098" max="3098" width="13.7890625" customWidth="1"/>
    <col min="3102" max="3102" width="12.5234375" customWidth="1"/>
    <col min="3103" max="3103" width="13.15625" customWidth="1"/>
    <col min="3330" max="3330" width="4.26171875" customWidth="1"/>
    <col min="3331" max="3331" width="18.26171875" customWidth="1"/>
    <col min="3332" max="3332" width="10.26171875" bestFit="1" customWidth="1"/>
    <col min="3333" max="3333" width="11.47265625" customWidth="1"/>
    <col min="3334" max="3335" width="12.5234375" customWidth="1"/>
    <col min="3336" max="3336" width="10.26171875" bestFit="1" customWidth="1"/>
    <col min="3337" max="3342" width="11.26171875" customWidth="1"/>
    <col min="3343" max="3343" width="12.15625" customWidth="1"/>
    <col min="3344" max="3344" width="4.1015625" customWidth="1"/>
    <col min="3345" max="3345" width="4.7890625" customWidth="1"/>
    <col min="3346" max="3346" width="11.26171875" customWidth="1"/>
    <col min="3347" max="3347" width="12" customWidth="1"/>
    <col min="3348" max="3348" width="12.26171875" customWidth="1"/>
    <col min="3349" max="3349" width="11" customWidth="1"/>
    <col min="3350" max="3350" width="10.7890625" customWidth="1"/>
    <col min="3351" max="3351" width="12" customWidth="1"/>
    <col min="3352" max="3352" width="14.7890625" customWidth="1"/>
    <col min="3353" max="3353" width="13.734375" customWidth="1"/>
    <col min="3354" max="3354" width="13.7890625" customWidth="1"/>
    <col min="3358" max="3358" width="12.5234375" customWidth="1"/>
    <col min="3359" max="3359" width="13.15625" customWidth="1"/>
    <col min="3586" max="3586" width="4.26171875" customWidth="1"/>
    <col min="3587" max="3587" width="18.26171875" customWidth="1"/>
    <col min="3588" max="3588" width="10.26171875" bestFit="1" customWidth="1"/>
    <col min="3589" max="3589" width="11.47265625" customWidth="1"/>
    <col min="3590" max="3591" width="12.5234375" customWidth="1"/>
    <col min="3592" max="3592" width="10.26171875" bestFit="1" customWidth="1"/>
    <col min="3593" max="3598" width="11.26171875" customWidth="1"/>
    <col min="3599" max="3599" width="12.15625" customWidth="1"/>
    <col min="3600" max="3600" width="4.1015625" customWidth="1"/>
    <col min="3601" max="3601" width="4.7890625" customWidth="1"/>
    <col min="3602" max="3602" width="11.26171875" customWidth="1"/>
    <col min="3603" max="3603" width="12" customWidth="1"/>
    <col min="3604" max="3604" width="12.26171875" customWidth="1"/>
    <col min="3605" max="3605" width="11" customWidth="1"/>
    <col min="3606" max="3606" width="10.7890625" customWidth="1"/>
    <col min="3607" max="3607" width="12" customWidth="1"/>
    <col min="3608" max="3608" width="14.7890625" customWidth="1"/>
    <col min="3609" max="3609" width="13.734375" customWidth="1"/>
    <col min="3610" max="3610" width="13.7890625" customWidth="1"/>
    <col min="3614" max="3614" width="12.5234375" customWidth="1"/>
    <col min="3615" max="3615" width="13.15625" customWidth="1"/>
    <col min="3842" max="3842" width="4.26171875" customWidth="1"/>
    <col min="3843" max="3843" width="18.26171875" customWidth="1"/>
    <col min="3844" max="3844" width="10.26171875" bestFit="1" customWidth="1"/>
    <col min="3845" max="3845" width="11.47265625" customWidth="1"/>
    <col min="3846" max="3847" width="12.5234375" customWidth="1"/>
    <col min="3848" max="3848" width="10.26171875" bestFit="1" customWidth="1"/>
    <col min="3849" max="3854" width="11.26171875" customWidth="1"/>
    <col min="3855" max="3855" width="12.15625" customWidth="1"/>
    <col min="3856" max="3856" width="4.1015625" customWidth="1"/>
    <col min="3857" max="3857" width="4.7890625" customWidth="1"/>
    <col min="3858" max="3858" width="11.26171875" customWidth="1"/>
    <col min="3859" max="3859" width="12" customWidth="1"/>
    <col min="3860" max="3860" width="12.26171875" customWidth="1"/>
    <col min="3861" max="3861" width="11" customWidth="1"/>
    <col min="3862" max="3862" width="10.7890625" customWidth="1"/>
    <col min="3863" max="3863" width="12" customWidth="1"/>
    <col min="3864" max="3864" width="14.7890625" customWidth="1"/>
    <col min="3865" max="3865" width="13.734375" customWidth="1"/>
    <col min="3866" max="3866" width="13.7890625" customWidth="1"/>
    <col min="3870" max="3870" width="12.5234375" customWidth="1"/>
    <col min="3871" max="3871" width="13.15625" customWidth="1"/>
    <col min="4098" max="4098" width="4.26171875" customWidth="1"/>
    <col min="4099" max="4099" width="18.26171875" customWidth="1"/>
    <col min="4100" max="4100" width="10.26171875" bestFit="1" customWidth="1"/>
    <col min="4101" max="4101" width="11.47265625" customWidth="1"/>
    <col min="4102" max="4103" width="12.5234375" customWidth="1"/>
    <col min="4104" max="4104" width="10.26171875" bestFit="1" customWidth="1"/>
    <col min="4105" max="4110" width="11.26171875" customWidth="1"/>
    <col min="4111" max="4111" width="12.15625" customWidth="1"/>
    <col min="4112" max="4112" width="4.1015625" customWidth="1"/>
    <col min="4113" max="4113" width="4.7890625" customWidth="1"/>
    <col min="4114" max="4114" width="11.26171875" customWidth="1"/>
    <col min="4115" max="4115" width="12" customWidth="1"/>
    <col min="4116" max="4116" width="12.26171875" customWidth="1"/>
    <col min="4117" max="4117" width="11" customWidth="1"/>
    <col min="4118" max="4118" width="10.7890625" customWidth="1"/>
    <col min="4119" max="4119" width="12" customWidth="1"/>
    <col min="4120" max="4120" width="14.7890625" customWidth="1"/>
    <col min="4121" max="4121" width="13.734375" customWidth="1"/>
    <col min="4122" max="4122" width="13.7890625" customWidth="1"/>
    <col min="4126" max="4126" width="12.5234375" customWidth="1"/>
    <col min="4127" max="4127" width="13.15625" customWidth="1"/>
    <col min="4354" max="4354" width="4.26171875" customWidth="1"/>
    <col min="4355" max="4355" width="18.26171875" customWidth="1"/>
    <col min="4356" max="4356" width="10.26171875" bestFit="1" customWidth="1"/>
    <col min="4357" max="4357" width="11.47265625" customWidth="1"/>
    <col min="4358" max="4359" width="12.5234375" customWidth="1"/>
    <col min="4360" max="4360" width="10.26171875" bestFit="1" customWidth="1"/>
    <col min="4361" max="4366" width="11.26171875" customWidth="1"/>
    <col min="4367" max="4367" width="12.15625" customWidth="1"/>
    <col min="4368" max="4368" width="4.1015625" customWidth="1"/>
    <col min="4369" max="4369" width="4.7890625" customWidth="1"/>
    <col min="4370" max="4370" width="11.26171875" customWidth="1"/>
    <col min="4371" max="4371" width="12" customWidth="1"/>
    <col min="4372" max="4372" width="12.26171875" customWidth="1"/>
    <col min="4373" max="4373" width="11" customWidth="1"/>
    <col min="4374" max="4374" width="10.7890625" customWidth="1"/>
    <col min="4375" max="4375" width="12" customWidth="1"/>
    <col min="4376" max="4376" width="14.7890625" customWidth="1"/>
    <col min="4377" max="4377" width="13.734375" customWidth="1"/>
    <col min="4378" max="4378" width="13.7890625" customWidth="1"/>
    <col min="4382" max="4382" width="12.5234375" customWidth="1"/>
    <col min="4383" max="4383" width="13.15625" customWidth="1"/>
    <col min="4610" max="4610" width="4.26171875" customWidth="1"/>
    <col min="4611" max="4611" width="18.26171875" customWidth="1"/>
    <col min="4612" max="4612" width="10.26171875" bestFit="1" customWidth="1"/>
    <col min="4613" max="4613" width="11.47265625" customWidth="1"/>
    <col min="4614" max="4615" width="12.5234375" customWidth="1"/>
    <col min="4616" max="4616" width="10.26171875" bestFit="1" customWidth="1"/>
    <col min="4617" max="4622" width="11.26171875" customWidth="1"/>
    <col min="4623" max="4623" width="12.15625" customWidth="1"/>
    <col min="4624" max="4624" width="4.1015625" customWidth="1"/>
    <col min="4625" max="4625" width="4.7890625" customWidth="1"/>
    <col min="4626" max="4626" width="11.26171875" customWidth="1"/>
    <col min="4627" max="4627" width="12" customWidth="1"/>
    <col min="4628" max="4628" width="12.26171875" customWidth="1"/>
    <col min="4629" max="4629" width="11" customWidth="1"/>
    <col min="4630" max="4630" width="10.7890625" customWidth="1"/>
    <col min="4631" max="4631" width="12" customWidth="1"/>
    <col min="4632" max="4632" width="14.7890625" customWidth="1"/>
    <col min="4633" max="4633" width="13.734375" customWidth="1"/>
    <col min="4634" max="4634" width="13.7890625" customWidth="1"/>
    <col min="4638" max="4638" width="12.5234375" customWidth="1"/>
    <col min="4639" max="4639" width="13.15625" customWidth="1"/>
    <col min="4866" max="4866" width="4.26171875" customWidth="1"/>
    <col min="4867" max="4867" width="18.26171875" customWidth="1"/>
    <col min="4868" max="4868" width="10.26171875" bestFit="1" customWidth="1"/>
    <col min="4869" max="4869" width="11.47265625" customWidth="1"/>
    <col min="4870" max="4871" width="12.5234375" customWidth="1"/>
    <col min="4872" max="4872" width="10.26171875" bestFit="1" customWidth="1"/>
    <col min="4873" max="4878" width="11.26171875" customWidth="1"/>
    <col min="4879" max="4879" width="12.15625" customWidth="1"/>
    <col min="4880" max="4880" width="4.1015625" customWidth="1"/>
    <col min="4881" max="4881" width="4.7890625" customWidth="1"/>
    <col min="4882" max="4882" width="11.26171875" customWidth="1"/>
    <col min="4883" max="4883" width="12" customWidth="1"/>
    <col min="4884" max="4884" width="12.26171875" customWidth="1"/>
    <col min="4885" max="4885" width="11" customWidth="1"/>
    <col min="4886" max="4886" width="10.7890625" customWidth="1"/>
    <col min="4887" max="4887" width="12" customWidth="1"/>
    <col min="4888" max="4888" width="14.7890625" customWidth="1"/>
    <col min="4889" max="4889" width="13.734375" customWidth="1"/>
    <col min="4890" max="4890" width="13.7890625" customWidth="1"/>
    <col min="4894" max="4894" width="12.5234375" customWidth="1"/>
    <col min="4895" max="4895" width="13.15625" customWidth="1"/>
    <col min="5122" max="5122" width="4.26171875" customWidth="1"/>
    <col min="5123" max="5123" width="18.26171875" customWidth="1"/>
    <col min="5124" max="5124" width="10.26171875" bestFit="1" customWidth="1"/>
    <col min="5125" max="5125" width="11.47265625" customWidth="1"/>
    <col min="5126" max="5127" width="12.5234375" customWidth="1"/>
    <col min="5128" max="5128" width="10.26171875" bestFit="1" customWidth="1"/>
    <col min="5129" max="5134" width="11.26171875" customWidth="1"/>
    <col min="5135" max="5135" width="12.15625" customWidth="1"/>
    <col min="5136" max="5136" width="4.1015625" customWidth="1"/>
    <col min="5137" max="5137" width="4.7890625" customWidth="1"/>
    <col min="5138" max="5138" width="11.26171875" customWidth="1"/>
    <col min="5139" max="5139" width="12" customWidth="1"/>
    <col min="5140" max="5140" width="12.26171875" customWidth="1"/>
    <col min="5141" max="5141" width="11" customWidth="1"/>
    <col min="5142" max="5142" width="10.7890625" customWidth="1"/>
    <col min="5143" max="5143" width="12" customWidth="1"/>
    <col min="5144" max="5144" width="14.7890625" customWidth="1"/>
    <col min="5145" max="5145" width="13.734375" customWidth="1"/>
    <col min="5146" max="5146" width="13.7890625" customWidth="1"/>
    <col min="5150" max="5150" width="12.5234375" customWidth="1"/>
    <col min="5151" max="5151" width="13.15625" customWidth="1"/>
    <col min="5378" max="5378" width="4.26171875" customWidth="1"/>
    <col min="5379" max="5379" width="18.26171875" customWidth="1"/>
    <col min="5380" max="5380" width="10.26171875" bestFit="1" customWidth="1"/>
    <col min="5381" max="5381" width="11.47265625" customWidth="1"/>
    <col min="5382" max="5383" width="12.5234375" customWidth="1"/>
    <col min="5384" max="5384" width="10.26171875" bestFit="1" customWidth="1"/>
    <col min="5385" max="5390" width="11.26171875" customWidth="1"/>
    <col min="5391" max="5391" width="12.15625" customWidth="1"/>
    <col min="5392" max="5392" width="4.1015625" customWidth="1"/>
    <col min="5393" max="5393" width="4.7890625" customWidth="1"/>
    <col min="5394" max="5394" width="11.26171875" customWidth="1"/>
    <col min="5395" max="5395" width="12" customWidth="1"/>
    <col min="5396" max="5396" width="12.26171875" customWidth="1"/>
    <col min="5397" max="5397" width="11" customWidth="1"/>
    <col min="5398" max="5398" width="10.7890625" customWidth="1"/>
    <col min="5399" max="5399" width="12" customWidth="1"/>
    <col min="5400" max="5400" width="14.7890625" customWidth="1"/>
    <col min="5401" max="5401" width="13.734375" customWidth="1"/>
    <col min="5402" max="5402" width="13.7890625" customWidth="1"/>
    <col min="5406" max="5406" width="12.5234375" customWidth="1"/>
    <col min="5407" max="5407" width="13.15625" customWidth="1"/>
    <col min="5634" max="5634" width="4.26171875" customWidth="1"/>
    <col min="5635" max="5635" width="18.26171875" customWidth="1"/>
    <col min="5636" max="5636" width="10.26171875" bestFit="1" customWidth="1"/>
    <col min="5637" max="5637" width="11.47265625" customWidth="1"/>
    <col min="5638" max="5639" width="12.5234375" customWidth="1"/>
    <col min="5640" max="5640" width="10.26171875" bestFit="1" customWidth="1"/>
    <col min="5641" max="5646" width="11.26171875" customWidth="1"/>
    <col min="5647" max="5647" width="12.15625" customWidth="1"/>
    <col min="5648" max="5648" width="4.1015625" customWidth="1"/>
    <col min="5649" max="5649" width="4.7890625" customWidth="1"/>
    <col min="5650" max="5650" width="11.26171875" customWidth="1"/>
    <col min="5651" max="5651" width="12" customWidth="1"/>
    <col min="5652" max="5652" width="12.26171875" customWidth="1"/>
    <col min="5653" max="5653" width="11" customWidth="1"/>
    <col min="5654" max="5654" width="10.7890625" customWidth="1"/>
    <col min="5655" max="5655" width="12" customWidth="1"/>
    <col min="5656" max="5656" width="14.7890625" customWidth="1"/>
    <col min="5657" max="5657" width="13.734375" customWidth="1"/>
    <col min="5658" max="5658" width="13.7890625" customWidth="1"/>
    <col min="5662" max="5662" width="12.5234375" customWidth="1"/>
    <col min="5663" max="5663" width="13.15625" customWidth="1"/>
    <col min="5890" max="5890" width="4.26171875" customWidth="1"/>
    <col min="5891" max="5891" width="18.26171875" customWidth="1"/>
    <col min="5892" max="5892" width="10.26171875" bestFit="1" customWidth="1"/>
    <col min="5893" max="5893" width="11.47265625" customWidth="1"/>
    <col min="5894" max="5895" width="12.5234375" customWidth="1"/>
    <col min="5896" max="5896" width="10.26171875" bestFit="1" customWidth="1"/>
    <col min="5897" max="5902" width="11.26171875" customWidth="1"/>
    <col min="5903" max="5903" width="12.15625" customWidth="1"/>
    <col min="5904" max="5904" width="4.1015625" customWidth="1"/>
    <col min="5905" max="5905" width="4.7890625" customWidth="1"/>
    <col min="5906" max="5906" width="11.26171875" customWidth="1"/>
    <col min="5907" max="5907" width="12" customWidth="1"/>
    <col min="5908" max="5908" width="12.26171875" customWidth="1"/>
    <col min="5909" max="5909" width="11" customWidth="1"/>
    <col min="5910" max="5910" width="10.7890625" customWidth="1"/>
    <col min="5911" max="5911" width="12" customWidth="1"/>
    <col min="5912" max="5912" width="14.7890625" customWidth="1"/>
    <col min="5913" max="5913" width="13.734375" customWidth="1"/>
    <col min="5914" max="5914" width="13.7890625" customWidth="1"/>
    <col min="5918" max="5918" width="12.5234375" customWidth="1"/>
    <col min="5919" max="5919" width="13.15625" customWidth="1"/>
    <col min="6146" max="6146" width="4.26171875" customWidth="1"/>
    <col min="6147" max="6147" width="18.26171875" customWidth="1"/>
    <col min="6148" max="6148" width="10.26171875" bestFit="1" customWidth="1"/>
    <col min="6149" max="6149" width="11.47265625" customWidth="1"/>
    <col min="6150" max="6151" width="12.5234375" customWidth="1"/>
    <col min="6152" max="6152" width="10.26171875" bestFit="1" customWidth="1"/>
    <col min="6153" max="6158" width="11.26171875" customWidth="1"/>
    <col min="6159" max="6159" width="12.15625" customWidth="1"/>
    <col min="6160" max="6160" width="4.1015625" customWidth="1"/>
    <col min="6161" max="6161" width="4.7890625" customWidth="1"/>
    <col min="6162" max="6162" width="11.26171875" customWidth="1"/>
    <col min="6163" max="6163" width="12" customWidth="1"/>
    <col min="6164" max="6164" width="12.26171875" customWidth="1"/>
    <col min="6165" max="6165" width="11" customWidth="1"/>
    <col min="6166" max="6166" width="10.7890625" customWidth="1"/>
    <col min="6167" max="6167" width="12" customWidth="1"/>
    <col min="6168" max="6168" width="14.7890625" customWidth="1"/>
    <col min="6169" max="6169" width="13.734375" customWidth="1"/>
    <col min="6170" max="6170" width="13.7890625" customWidth="1"/>
    <col min="6174" max="6174" width="12.5234375" customWidth="1"/>
    <col min="6175" max="6175" width="13.15625" customWidth="1"/>
    <col min="6402" max="6402" width="4.26171875" customWidth="1"/>
    <col min="6403" max="6403" width="18.26171875" customWidth="1"/>
    <col min="6404" max="6404" width="10.26171875" bestFit="1" customWidth="1"/>
    <col min="6405" max="6405" width="11.47265625" customWidth="1"/>
    <col min="6406" max="6407" width="12.5234375" customWidth="1"/>
    <col min="6408" max="6408" width="10.26171875" bestFit="1" customWidth="1"/>
    <col min="6409" max="6414" width="11.26171875" customWidth="1"/>
    <col min="6415" max="6415" width="12.15625" customWidth="1"/>
    <col min="6416" max="6416" width="4.1015625" customWidth="1"/>
    <col min="6417" max="6417" width="4.7890625" customWidth="1"/>
    <col min="6418" max="6418" width="11.26171875" customWidth="1"/>
    <col min="6419" max="6419" width="12" customWidth="1"/>
    <col min="6420" max="6420" width="12.26171875" customWidth="1"/>
    <col min="6421" max="6421" width="11" customWidth="1"/>
    <col min="6422" max="6422" width="10.7890625" customWidth="1"/>
    <col min="6423" max="6423" width="12" customWidth="1"/>
    <col min="6424" max="6424" width="14.7890625" customWidth="1"/>
    <col min="6425" max="6425" width="13.734375" customWidth="1"/>
    <col min="6426" max="6426" width="13.7890625" customWidth="1"/>
    <col min="6430" max="6430" width="12.5234375" customWidth="1"/>
    <col min="6431" max="6431" width="13.15625" customWidth="1"/>
    <col min="6658" max="6658" width="4.26171875" customWidth="1"/>
    <col min="6659" max="6659" width="18.26171875" customWidth="1"/>
    <col min="6660" max="6660" width="10.26171875" bestFit="1" customWidth="1"/>
    <col min="6661" max="6661" width="11.47265625" customWidth="1"/>
    <col min="6662" max="6663" width="12.5234375" customWidth="1"/>
    <col min="6664" max="6664" width="10.26171875" bestFit="1" customWidth="1"/>
    <col min="6665" max="6670" width="11.26171875" customWidth="1"/>
    <col min="6671" max="6671" width="12.15625" customWidth="1"/>
    <col min="6672" max="6672" width="4.1015625" customWidth="1"/>
    <col min="6673" max="6673" width="4.7890625" customWidth="1"/>
    <col min="6674" max="6674" width="11.26171875" customWidth="1"/>
    <col min="6675" max="6675" width="12" customWidth="1"/>
    <col min="6676" max="6676" width="12.26171875" customWidth="1"/>
    <col min="6677" max="6677" width="11" customWidth="1"/>
    <col min="6678" max="6678" width="10.7890625" customWidth="1"/>
    <col min="6679" max="6679" width="12" customWidth="1"/>
    <col min="6680" max="6680" width="14.7890625" customWidth="1"/>
    <col min="6681" max="6681" width="13.734375" customWidth="1"/>
    <col min="6682" max="6682" width="13.7890625" customWidth="1"/>
    <col min="6686" max="6686" width="12.5234375" customWidth="1"/>
    <col min="6687" max="6687" width="13.15625" customWidth="1"/>
    <col min="6914" max="6914" width="4.26171875" customWidth="1"/>
    <col min="6915" max="6915" width="18.26171875" customWidth="1"/>
    <col min="6916" max="6916" width="10.26171875" bestFit="1" customWidth="1"/>
    <col min="6917" max="6917" width="11.47265625" customWidth="1"/>
    <col min="6918" max="6919" width="12.5234375" customWidth="1"/>
    <col min="6920" max="6920" width="10.26171875" bestFit="1" customWidth="1"/>
    <col min="6921" max="6926" width="11.26171875" customWidth="1"/>
    <col min="6927" max="6927" width="12.15625" customWidth="1"/>
    <col min="6928" max="6928" width="4.1015625" customWidth="1"/>
    <col min="6929" max="6929" width="4.7890625" customWidth="1"/>
    <col min="6930" max="6930" width="11.26171875" customWidth="1"/>
    <col min="6931" max="6931" width="12" customWidth="1"/>
    <col min="6932" max="6932" width="12.26171875" customWidth="1"/>
    <col min="6933" max="6933" width="11" customWidth="1"/>
    <col min="6934" max="6934" width="10.7890625" customWidth="1"/>
    <col min="6935" max="6935" width="12" customWidth="1"/>
    <col min="6936" max="6936" width="14.7890625" customWidth="1"/>
    <col min="6937" max="6937" width="13.734375" customWidth="1"/>
    <col min="6938" max="6938" width="13.7890625" customWidth="1"/>
    <col min="6942" max="6942" width="12.5234375" customWidth="1"/>
    <col min="6943" max="6943" width="13.15625" customWidth="1"/>
    <col min="7170" max="7170" width="4.26171875" customWidth="1"/>
    <col min="7171" max="7171" width="18.26171875" customWidth="1"/>
    <col min="7172" max="7172" width="10.26171875" bestFit="1" customWidth="1"/>
    <col min="7173" max="7173" width="11.47265625" customWidth="1"/>
    <col min="7174" max="7175" width="12.5234375" customWidth="1"/>
    <col min="7176" max="7176" width="10.26171875" bestFit="1" customWidth="1"/>
    <col min="7177" max="7182" width="11.26171875" customWidth="1"/>
    <col min="7183" max="7183" width="12.15625" customWidth="1"/>
    <col min="7184" max="7184" width="4.1015625" customWidth="1"/>
    <col min="7185" max="7185" width="4.7890625" customWidth="1"/>
    <col min="7186" max="7186" width="11.26171875" customWidth="1"/>
    <col min="7187" max="7187" width="12" customWidth="1"/>
    <col min="7188" max="7188" width="12.26171875" customWidth="1"/>
    <col min="7189" max="7189" width="11" customWidth="1"/>
    <col min="7190" max="7190" width="10.7890625" customWidth="1"/>
    <col min="7191" max="7191" width="12" customWidth="1"/>
    <col min="7192" max="7192" width="14.7890625" customWidth="1"/>
    <col min="7193" max="7193" width="13.734375" customWidth="1"/>
    <col min="7194" max="7194" width="13.7890625" customWidth="1"/>
    <col min="7198" max="7198" width="12.5234375" customWidth="1"/>
    <col min="7199" max="7199" width="13.15625" customWidth="1"/>
    <col min="7426" max="7426" width="4.26171875" customWidth="1"/>
    <col min="7427" max="7427" width="18.26171875" customWidth="1"/>
    <col min="7428" max="7428" width="10.26171875" bestFit="1" customWidth="1"/>
    <col min="7429" max="7429" width="11.47265625" customWidth="1"/>
    <col min="7430" max="7431" width="12.5234375" customWidth="1"/>
    <col min="7432" max="7432" width="10.26171875" bestFit="1" customWidth="1"/>
    <col min="7433" max="7438" width="11.26171875" customWidth="1"/>
    <col min="7439" max="7439" width="12.15625" customWidth="1"/>
    <col min="7440" max="7440" width="4.1015625" customWidth="1"/>
    <col min="7441" max="7441" width="4.7890625" customWidth="1"/>
    <col min="7442" max="7442" width="11.26171875" customWidth="1"/>
    <col min="7443" max="7443" width="12" customWidth="1"/>
    <col min="7444" max="7444" width="12.26171875" customWidth="1"/>
    <col min="7445" max="7445" width="11" customWidth="1"/>
    <col min="7446" max="7446" width="10.7890625" customWidth="1"/>
    <col min="7447" max="7447" width="12" customWidth="1"/>
    <col min="7448" max="7448" width="14.7890625" customWidth="1"/>
    <col min="7449" max="7449" width="13.734375" customWidth="1"/>
    <col min="7450" max="7450" width="13.7890625" customWidth="1"/>
    <col min="7454" max="7454" width="12.5234375" customWidth="1"/>
    <col min="7455" max="7455" width="13.15625" customWidth="1"/>
    <col min="7682" max="7682" width="4.26171875" customWidth="1"/>
    <col min="7683" max="7683" width="18.26171875" customWidth="1"/>
    <col min="7684" max="7684" width="10.26171875" bestFit="1" customWidth="1"/>
    <col min="7685" max="7685" width="11.47265625" customWidth="1"/>
    <col min="7686" max="7687" width="12.5234375" customWidth="1"/>
    <col min="7688" max="7688" width="10.26171875" bestFit="1" customWidth="1"/>
    <col min="7689" max="7694" width="11.26171875" customWidth="1"/>
    <col min="7695" max="7695" width="12.15625" customWidth="1"/>
    <col min="7696" max="7696" width="4.1015625" customWidth="1"/>
    <col min="7697" max="7697" width="4.7890625" customWidth="1"/>
    <col min="7698" max="7698" width="11.26171875" customWidth="1"/>
    <col min="7699" max="7699" width="12" customWidth="1"/>
    <col min="7700" max="7700" width="12.26171875" customWidth="1"/>
    <col min="7701" max="7701" width="11" customWidth="1"/>
    <col min="7702" max="7702" width="10.7890625" customWidth="1"/>
    <col min="7703" max="7703" width="12" customWidth="1"/>
    <col min="7704" max="7704" width="14.7890625" customWidth="1"/>
    <col min="7705" max="7705" width="13.734375" customWidth="1"/>
    <col min="7706" max="7706" width="13.7890625" customWidth="1"/>
    <col min="7710" max="7710" width="12.5234375" customWidth="1"/>
    <col min="7711" max="7711" width="13.15625" customWidth="1"/>
    <col min="7938" max="7938" width="4.26171875" customWidth="1"/>
    <col min="7939" max="7939" width="18.26171875" customWidth="1"/>
    <col min="7940" max="7940" width="10.26171875" bestFit="1" customWidth="1"/>
    <col min="7941" max="7941" width="11.47265625" customWidth="1"/>
    <col min="7942" max="7943" width="12.5234375" customWidth="1"/>
    <col min="7944" max="7944" width="10.26171875" bestFit="1" customWidth="1"/>
    <col min="7945" max="7950" width="11.26171875" customWidth="1"/>
    <col min="7951" max="7951" width="12.15625" customWidth="1"/>
    <col min="7952" max="7952" width="4.1015625" customWidth="1"/>
    <col min="7953" max="7953" width="4.7890625" customWidth="1"/>
    <col min="7954" max="7954" width="11.26171875" customWidth="1"/>
    <col min="7955" max="7955" width="12" customWidth="1"/>
    <col min="7956" max="7956" width="12.26171875" customWidth="1"/>
    <col min="7957" max="7957" width="11" customWidth="1"/>
    <col min="7958" max="7958" width="10.7890625" customWidth="1"/>
    <col min="7959" max="7959" width="12" customWidth="1"/>
    <col min="7960" max="7960" width="14.7890625" customWidth="1"/>
    <col min="7961" max="7961" width="13.734375" customWidth="1"/>
    <col min="7962" max="7962" width="13.7890625" customWidth="1"/>
    <col min="7966" max="7966" width="12.5234375" customWidth="1"/>
    <col min="7967" max="7967" width="13.15625" customWidth="1"/>
    <col min="8194" max="8194" width="4.26171875" customWidth="1"/>
    <col min="8195" max="8195" width="18.26171875" customWidth="1"/>
    <col min="8196" max="8196" width="10.26171875" bestFit="1" customWidth="1"/>
    <col min="8197" max="8197" width="11.47265625" customWidth="1"/>
    <col min="8198" max="8199" width="12.5234375" customWidth="1"/>
    <col min="8200" max="8200" width="10.26171875" bestFit="1" customWidth="1"/>
    <col min="8201" max="8206" width="11.26171875" customWidth="1"/>
    <col min="8207" max="8207" width="12.15625" customWidth="1"/>
    <col min="8208" max="8208" width="4.1015625" customWidth="1"/>
    <col min="8209" max="8209" width="4.7890625" customWidth="1"/>
    <col min="8210" max="8210" width="11.26171875" customWidth="1"/>
    <col min="8211" max="8211" width="12" customWidth="1"/>
    <col min="8212" max="8212" width="12.26171875" customWidth="1"/>
    <col min="8213" max="8213" width="11" customWidth="1"/>
    <col min="8214" max="8214" width="10.7890625" customWidth="1"/>
    <col min="8215" max="8215" width="12" customWidth="1"/>
    <col min="8216" max="8216" width="14.7890625" customWidth="1"/>
    <col min="8217" max="8217" width="13.734375" customWidth="1"/>
    <col min="8218" max="8218" width="13.7890625" customWidth="1"/>
    <col min="8222" max="8222" width="12.5234375" customWidth="1"/>
    <col min="8223" max="8223" width="13.15625" customWidth="1"/>
    <col min="8450" max="8450" width="4.26171875" customWidth="1"/>
    <col min="8451" max="8451" width="18.26171875" customWidth="1"/>
    <col min="8452" max="8452" width="10.26171875" bestFit="1" customWidth="1"/>
    <col min="8453" max="8453" width="11.47265625" customWidth="1"/>
    <col min="8454" max="8455" width="12.5234375" customWidth="1"/>
    <col min="8456" max="8456" width="10.26171875" bestFit="1" customWidth="1"/>
    <col min="8457" max="8462" width="11.26171875" customWidth="1"/>
    <col min="8463" max="8463" width="12.15625" customWidth="1"/>
    <col min="8464" max="8464" width="4.1015625" customWidth="1"/>
    <col min="8465" max="8465" width="4.7890625" customWidth="1"/>
    <col min="8466" max="8466" width="11.26171875" customWidth="1"/>
    <col min="8467" max="8467" width="12" customWidth="1"/>
    <col min="8468" max="8468" width="12.26171875" customWidth="1"/>
    <col min="8469" max="8469" width="11" customWidth="1"/>
    <col min="8470" max="8470" width="10.7890625" customWidth="1"/>
    <col min="8471" max="8471" width="12" customWidth="1"/>
    <col min="8472" max="8472" width="14.7890625" customWidth="1"/>
    <col min="8473" max="8473" width="13.734375" customWidth="1"/>
    <col min="8474" max="8474" width="13.7890625" customWidth="1"/>
    <col min="8478" max="8478" width="12.5234375" customWidth="1"/>
    <col min="8479" max="8479" width="13.15625" customWidth="1"/>
    <col min="8706" max="8706" width="4.26171875" customWidth="1"/>
    <col min="8707" max="8707" width="18.26171875" customWidth="1"/>
    <col min="8708" max="8708" width="10.26171875" bestFit="1" customWidth="1"/>
    <col min="8709" max="8709" width="11.47265625" customWidth="1"/>
    <col min="8710" max="8711" width="12.5234375" customWidth="1"/>
    <col min="8712" max="8712" width="10.26171875" bestFit="1" customWidth="1"/>
    <col min="8713" max="8718" width="11.26171875" customWidth="1"/>
    <col min="8719" max="8719" width="12.15625" customWidth="1"/>
    <col min="8720" max="8720" width="4.1015625" customWidth="1"/>
    <col min="8721" max="8721" width="4.7890625" customWidth="1"/>
    <col min="8722" max="8722" width="11.26171875" customWidth="1"/>
    <col min="8723" max="8723" width="12" customWidth="1"/>
    <col min="8724" max="8724" width="12.26171875" customWidth="1"/>
    <col min="8725" max="8725" width="11" customWidth="1"/>
    <col min="8726" max="8726" width="10.7890625" customWidth="1"/>
    <col min="8727" max="8727" width="12" customWidth="1"/>
    <col min="8728" max="8728" width="14.7890625" customWidth="1"/>
    <col min="8729" max="8729" width="13.734375" customWidth="1"/>
    <col min="8730" max="8730" width="13.7890625" customWidth="1"/>
    <col min="8734" max="8734" width="12.5234375" customWidth="1"/>
    <col min="8735" max="8735" width="13.15625" customWidth="1"/>
    <col min="8962" max="8962" width="4.26171875" customWidth="1"/>
    <col min="8963" max="8963" width="18.26171875" customWidth="1"/>
    <col min="8964" max="8964" width="10.26171875" bestFit="1" customWidth="1"/>
    <col min="8965" max="8965" width="11.47265625" customWidth="1"/>
    <col min="8966" max="8967" width="12.5234375" customWidth="1"/>
    <col min="8968" max="8968" width="10.26171875" bestFit="1" customWidth="1"/>
    <col min="8969" max="8974" width="11.26171875" customWidth="1"/>
    <col min="8975" max="8975" width="12.15625" customWidth="1"/>
    <col min="8976" max="8976" width="4.1015625" customWidth="1"/>
    <col min="8977" max="8977" width="4.7890625" customWidth="1"/>
    <col min="8978" max="8978" width="11.26171875" customWidth="1"/>
    <col min="8979" max="8979" width="12" customWidth="1"/>
    <col min="8980" max="8980" width="12.26171875" customWidth="1"/>
    <col min="8981" max="8981" width="11" customWidth="1"/>
    <col min="8982" max="8982" width="10.7890625" customWidth="1"/>
    <col min="8983" max="8983" width="12" customWidth="1"/>
    <col min="8984" max="8984" width="14.7890625" customWidth="1"/>
    <col min="8985" max="8985" width="13.734375" customWidth="1"/>
    <col min="8986" max="8986" width="13.7890625" customWidth="1"/>
    <col min="8990" max="8990" width="12.5234375" customWidth="1"/>
    <col min="8991" max="8991" width="13.15625" customWidth="1"/>
    <col min="9218" max="9218" width="4.26171875" customWidth="1"/>
    <col min="9219" max="9219" width="18.26171875" customWidth="1"/>
    <col min="9220" max="9220" width="10.26171875" bestFit="1" customWidth="1"/>
    <col min="9221" max="9221" width="11.47265625" customWidth="1"/>
    <col min="9222" max="9223" width="12.5234375" customWidth="1"/>
    <col min="9224" max="9224" width="10.26171875" bestFit="1" customWidth="1"/>
    <col min="9225" max="9230" width="11.26171875" customWidth="1"/>
    <col min="9231" max="9231" width="12.15625" customWidth="1"/>
    <col min="9232" max="9232" width="4.1015625" customWidth="1"/>
    <col min="9233" max="9233" width="4.7890625" customWidth="1"/>
    <col min="9234" max="9234" width="11.26171875" customWidth="1"/>
    <col min="9235" max="9235" width="12" customWidth="1"/>
    <col min="9236" max="9236" width="12.26171875" customWidth="1"/>
    <col min="9237" max="9237" width="11" customWidth="1"/>
    <col min="9238" max="9238" width="10.7890625" customWidth="1"/>
    <col min="9239" max="9239" width="12" customWidth="1"/>
    <col min="9240" max="9240" width="14.7890625" customWidth="1"/>
    <col min="9241" max="9241" width="13.734375" customWidth="1"/>
    <col min="9242" max="9242" width="13.7890625" customWidth="1"/>
    <col min="9246" max="9246" width="12.5234375" customWidth="1"/>
    <col min="9247" max="9247" width="13.15625" customWidth="1"/>
    <col min="9474" max="9474" width="4.26171875" customWidth="1"/>
    <col min="9475" max="9475" width="18.26171875" customWidth="1"/>
    <col min="9476" max="9476" width="10.26171875" bestFit="1" customWidth="1"/>
    <col min="9477" max="9477" width="11.47265625" customWidth="1"/>
    <col min="9478" max="9479" width="12.5234375" customWidth="1"/>
    <col min="9480" max="9480" width="10.26171875" bestFit="1" customWidth="1"/>
    <col min="9481" max="9486" width="11.26171875" customWidth="1"/>
    <col min="9487" max="9487" width="12.15625" customWidth="1"/>
    <col min="9488" max="9488" width="4.1015625" customWidth="1"/>
    <col min="9489" max="9489" width="4.7890625" customWidth="1"/>
    <col min="9490" max="9490" width="11.26171875" customWidth="1"/>
    <col min="9491" max="9491" width="12" customWidth="1"/>
    <col min="9492" max="9492" width="12.26171875" customWidth="1"/>
    <col min="9493" max="9493" width="11" customWidth="1"/>
    <col min="9494" max="9494" width="10.7890625" customWidth="1"/>
    <col min="9495" max="9495" width="12" customWidth="1"/>
    <col min="9496" max="9496" width="14.7890625" customWidth="1"/>
    <col min="9497" max="9497" width="13.734375" customWidth="1"/>
    <col min="9498" max="9498" width="13.7890625" customWidth="1"/>
    <col min="9502" max="9502" width="12.5234375" customWidth="1"/>
    <col min="9503" max="9503" width="13.15625" customWidth="1"/>
    <col min="9730" max="9730" width="4.26171875" customWidth="1"/>
    <col min="9731" max="9731" width="18.26171875" customWidth="1"/>
    <col min="9732" max="9732" width="10.26171875" bestFit="1" customWidth="1"/>
    <col min="9733" max="9733" width="11.47265625" customWidth="1"/>
    <col min="9734" max="9735" width="12.5234375" customWidth="1"/>
    <col min="9736" max="9736" width="10.26171875" bestFit="1" customWidth="1"/>
    <col min="9737" max="9742" width="11.26171875" customWidth="1"/>
    <col min="9743" max="9743" width="12.15625" customWidth="1"/>
    <col min="9744" max="9744" width="4.1015625" customWidth="1"/>
    <col min="9745" max="9745" width="4.7890625" customWidth="1"/>
    <col min="9746" max="9746" width="11.26171875" customWidth="1"/>
    <col min="9747" max="9747" width="12" customWidth="1"/>
    <col min="9748" max="9748" width="12.26171875" customWidth="1"/>
    <col min="9749" max="9749" width="11" customWidth="1"/>
    <col min="9750" max="9750" width="10.7890625" customWidth="1"/>
    <col min="9751" max="9751" width="12" customWidth="1"/>
    <col min="9752" max="9752" width="14.7890625" customWidth="1"/>
    <col min="9753" max="9753" width="13.734375" customWidth="1"/>
    <col min="9754" max="9754" width="13.7890625" customWidth="1"/>
    <col min="9758" max="9758" width="12.5234375" customWidth="1"/>
    <col min="9759" max="9759" width="13.15625" customWidth="1"/>
    <col min="9986" max="9986" width="4.26171875" customWidth="1"/>
    <col min="9987" max="9987" width="18.26171875" customWidth="1"/>
    <col min="9988" max="9988" width="10.26171875" bestFit="1" customWidth="1"/>
    <col min="9989" max="9989" width="11.47265625" customWidth="1"/>
    <col min="9990" max="9991" width="12.5234375" customWidth="1"/>
    <col min="9992" max="9992" width="10.26171875" bestFit="1" customWidth="1"/>
    <col min="9993" max="9998" width="11.26171875" customWidth="1"/>
    <col min="9999" max="9999" width="12.15625" customWidth="1"/>
    <col min="10000" max="10000" width="4.1015625" customWidth="1"/>
    <col min="10001" max="10001" width="4.7890625" customWidth="1"/>
    <col min="10002" max="10002" width="11.26171875" customWidth="1"/>
    <col min="10003" max="10003" width="12" customWidth="1"/>
    <col min="10004" max="10004" width="12.26171875" customWidth="1"/>
    <col min="10005" max="10005" width="11" customWidth="1"/>
    <col min="10006" max="10006" width="10.7890625" customWidth="1"/>
    <col min="10007" max="10007" width="12" customWidth="1"/>
    <col min="10008" max="10008" width="14.7890625" customWidth="1"/>
    <col min="10009" max="10009" width="13.734375" customWidth="1"/>
    <col min="10010" max="10010" width="13.7890625" customWidth="1"/>
    <col min="10014" max="10014" width="12.5234375" customWidth="1"/>
    <col min="10015" max="10015" width="13.15625" customWidth="1"/>
    <col min="10242" max="10242" width="4.26171875" customWidth="1"/>
    <col min="10243" max="10243" width="18.26171875" customWidth="1"/>
    <col min="10244" max="10244" width="10.26171875" bestFit="1" customWidth="1"/>
    <col min="10245" max="10245" width="11.47265625" customWidth="1"/>
    <col min="10246" max="10247" width="12.5234375" customWidth="1"/>
    <col min="10248" max="10248" width="10.26171875" bestFit="1" customWidth="1"/>
    <col min="10249" max="10254" width="11.26171875" customWidth="1"/>
    <col min="10255" max="10255" width="12.15625" customWidth="1"/>
    <col min="10256" max="10256" width="4.1015625" customWidth="1"/>
    <col min="10257" max="10257" width="4.7890625" customWidth="1"/>
    <col min="10258" max="10258" width="11.26171875" customWidth="1"/>
    <col min="10259" max="10259" width="12" customWidth="1"/>
    <col min="10260" max="10260" width="12.26171875" customWidth="1"/>
    <col min="10261" max="10261" width="11" customWidth="1"/>
    <col min="10262" max="10262" width="10.7890625" customWidth="1"/>
    <col min="10263" max="10263" width="12" customWidth="1"/>
    <col min="10264" max="10264" width="14.7890625" customWidth="1"/>
    <col min="10265" max="10265" width="13.734375" customWidth="1"/>
    <col min="10266" max="10266" width="13.7890625" customWidth="1"/>
    <col min="10270" max="10270" width="12.5234375" customWidth="1"/>
    <col min="10271" max="10271" width="13.15625" customWidth="1"/>
    <col min="10498" max="10498" width="4.26171875" customWidth="1"/>
    <col min="10499" max="10499" width="18.26171875" customWidth="1"/>
    <col min="10500" max="10500" width="10.26171875" bestFit="1" customWidth="1"/>
    <col min="10501" max="10501" width="11.47265625" customWidth="1"/>
    <col min="10502" max="10503" width="12.5234375" customWidth="1"/>
    <col min="10504" max="10504" width="10.26171875" bestFit="1" customWidth="1"/>
    <col min="10505" max="10510" width="11.26171875" customWidth="1"/>
    <col min="10511" max="10511" width="12.15625" customWidth="1"/>
    <col min="10512" max="10512" width="4.1015625" customWidth="1"/>
    <col min="10513" max="10513" width="4.7890625" customWidth="1"/>
    <col min="10514" max="10514" width="11.26171875" customWidth="1"/>
    <col min="10515" max="10515" width="12" customWidth="1"/>
    <col min="10516" max="10516" width="12.26171875" customWidth="1"/>
    <col min="10517" max="10517" width="11" customWidth="1"/>
    <col min="10518" max="10518" width="10.7890625" customWidth="1"/>
    <col min="10519" max="10519" width="12" customWidth="1"/>
    <col min="10520" max="10520" width="14.7890625" customWidth="1"/>
    <col min="10521" max="10521" width="13.734375" customWidth="1"/>
    <col min="10522" max="10522" width="13.7890625" customWidth="1"/>
    <col min="10526" max="10526" width="12.5234375" customWidth="1"/>
    <col min="10527" max="10527" width="13.15625" customWidth="1"/>
    <col min="10754" max="10754" width="4.26171875" customWidth="1"/>
    <col min="10755" max="10755" width="18.26171875" customWidth="1"/>
    <col min="10756" max="10756" width="10.26171875" bestFit="1" customWidth="1"/>
    <col min="10757" max="10757" width="11.47265625" customWidth="1"/>
    <col min="10758" max="10759" width="12.5234375" customWidth="1"/>
    <col min="10760" max="10760" width="10.26171875" bestFit="1" customWidth="1"/>
    <col min="10761" max="10766" width="11.26171875" customWidth="1"/>
    <col min="10767" max="10767" width="12.15625" customWidth="1"/>
    <col min="10768" max="10768" width="4.1015625" customWidth="1"/>
    <col min="10769" max="10769" width="4.7890625" customWidth="1"/>
    <col min="10770" max="10770" width="11.26171875" customWidth="1"/>
    <col min="10771" max="10771" width="12" customWidth="1"/>
    <col min="10772" max="10772" width="12.26171875" customWidth="1"/>
    <col min="10773" max="10773" width="11" customWidth="1"/>
    <col min="10774" max="10774" width="10.7890625" customWidth="1"/>
    <col min="10775" max="10775" width="12" customWidth="1"/>
    <col min="10776" max="10776" width="14.7890625" customWidth="1"/>
    <col min="10777" max="10777" width="13.734375" customWidth="1"/>
    <col min="10778" max="10778" width="13.7890625" customWidth="1"/>
    <col min="10782" max="10782" width="12.5234375" customWidth="1"/>
    <col min="10783" max="10783" width="13.15625" customWidth="1"/>
    <col min="11010" max="11010" width="4.26171875" customWidth="1"/>
    <col min="11011" max="11011" width="18.26171875" customWidth="1"/>
    <col min="11012" max="11012" width="10.26171875" bestFit="1" customWidth="1"/>
    <col min="11013" max="11013" width="11.47265625" customWidth="1"/>
    <col min="11014" max="11015" width="12.5234375" customWidth="1"/>
    <col min="11016" max="11016" width="10.26171875" bestFit="1" customWidth="1"/>
    <col min="11017" max="11022" width="11.26171875" customWidth="1"/>
    <col min="11023" max="11023" width="12.15625" customWidth="1"/>
    <col min="11024" max="11024" width="4.1015625" customWidth="1"/>
    <col min="11025" max="11025" width="4.7890625" customWidth="1"/>
    <col min="11026" max="11026" width="11.26171875" customWidth="1"/>
    <col min="11027" max="11027" width="12" customWidth="1"/>
    <col min="11028" max="11028" width="12.26171875" customWidth="1"/>
    <col min="11029" max="11029" width="11" customWidth="1"/>
    <col min="11030" max="11030" width="10.7890625" customWidth="1"/>
    <col min="11031" max="11031" width="12" customWidth="1"/>
    <col min="11032" max="11032" width="14.7890625" customWidth="1"/>
    <col min="11033" max="11033" width="13.734375" customWidth="1"/>
    <col min="11034" max="11034" width="13.7890625" customWidth="1"/>
    <col min="11038" max="11038" width="12.5234375" customWidth="1"/>
    <col min="11039" max="11039" width="13.15625" customWidth="1"/>
    <col min="11266" max="11266" width="4.26171875" customWidth="1"/>
    <col min="11267" max="11267" width="18.26171875" customWidth="1"/>
    <col min="11268" max="11268" width="10.26171875" bestFit="1" customWidth="1"/>
    <col min="11269" max="11269" width="11.47265625" customWidth="1"/>
    <col min="11270" max="11271" width="12.5234375" customWidth="1"/>
    <col min="11272" max="11272" width="10.26171875" bestFit="1" customWidth="1"/>
    <col min="11273" max="11278" width="11.26171875" customWidth="1"/>
    <col min="11279" max="11279" width="12.15625" customWidth="1"/>
    <col min="11280" max="11280" width="4.1015625" customWidth="1"/>
    <col min="11281" max="11281" width="4.7890625" customWidth="1"/>
    <col min="11282" max="11282" width="11.26171875" customWidth="1"/>
    <col min="11283" max="11283" width="12" customWidth="1"/>
    <col min="11284" max="11284" width="12.26171875" customWidth="1"/>
    <col min="11285" max="11285" width="11" customWidth="1"/>
    <col min="11286" max="11286" width="10.7890625" customWidth="1"/>
    <col min="11287" max="11287" width="12" customWidth="1"/>
    <col min="11288" max="11288" width="14.7890625" customWidth="1"/>
    <col min="11289" max="11289" width="13.734375" customWidth="1"/>
    <col min="11290" max="11290" width="13.7890625" customWidth="1"/>
    <col min="11294" max="11294" width="12.5234375" customWidth="1"/>
    <col min="11295" max="11295" width="13.15625" customWidth="1"/>
    <col min="11522" max="11522" width="4.26171875" customWidth="1"/>
    <col min="11523" max="11523" width="18.26171875" customWidth="1"/>
    <col min="11524" max="11524" width="10.26171875" bestFit="1" customWidth="1"/>
    <col min="11525" max="11525" width="11.47265625" customWidth="1"/>
    <col min="11526" max="11527" width="12.5234375" customWidth="1"/>
    <col min="11528" max="11528" width="10.26171875" bestFit="1" customWidth="1"/>
    <col min="11529" max="11534" width="11.26171875" customWidth="1"/>
    <col min="11535" max="11535" width="12.15625" customWidth="1"/>
    <col min="11536" max="11536" width="4.1015625" customWidth="1"/>
    <col min="11537" max="11537" width="4.7890625" customWidth="1"/>
    <col min="11538" max="11538" width="11.26171875" customWidth="1"/>
    <col min="11539" max="11539" width="12" customWidth="1"/>
    <col min="11540" max="11540" width="12.26171875" customWidth="1"/>
    <col min="11541" max="11541" width="11" customWidth="1"/>
    <col min="11542" max="11542" width="10.7890625" customWidth="1"/>
    <col min="11543" max="11543" width="12" customWidth="1"/>
    <col min="11544" max="11544" width="14.7890625" customWidth="1"/>
    <col min="11545" max="11545" width="13.734375" customWidth="1"/>
    <col min="11546" max="11546" width="13.7890625" customWidth="1"/>
    <col min="11550" max="11550" width="12.5234375" customWidth="1"/>
    <col min="11551" max="11551" width="13.15625" customWidth="1"/>
    <col min="11778" max="11778" width="4.26171875" customWidth="1"/>
    <col min="11779" max="11779" width="18.26171875" customWidth="1"/>
    <col min="11780" max="11780" width="10.26171875" bestFit="1" customWidth="1"/>
    <col min="11781" max="11781" width="11.47265625" customWidth="1"/>
    <col min="11782" max="11783" width="12.5234375" customWidth="1"/>
    <col min="11784" max="11784" width="10.26171875" bestFit="1" customWidth="1"/>
    <col min="11785" max="11790" width="11.26171875" customWidth="1"/>
    <col min="11791" max="11791" width="12.15625" customWidth="1"/>
    <col min="11792" max="11792" width="4.1015625" customWidth="1"/>
    <col min="11793" max="11793" width="4.7890625" customWidth="1"/>
    <col min="11794" max="11794" width="11.26171875" customWidth="1"/>
    <col min="11795" max="11795" width="12" customWidth="1"/>
    <col min="11796" max="11796" width="12.26171875" customWidth="1"/>
    <col min="11797" max="11797" width="11" customWidth="1"/>
    <col min="11798" max="11798" width="10.7890625" customWidth="1"/>
    <col min="11799" max="11799" width="12" customWidth="1"/>
    <col min="11800" max="11800" width="14.7890625" customWidth="1"/>
    <col min="11801" max="11801" width="13.734375" customWidth="1"/>
    <col min="11802" max="11802" width="13.7890625" customWidth="1"/>
    <col min="11806" max="11806" width="12.5234375" customWidth="1"/>
    <col min="11807" max="11807" width="13.15625" customWidth="1"/>
    <col min="12034" max="12034" width="4.26171875" customWidth="1"/>
    <col min="12035" max="12035" width="18.26171875" customWidth="1"/>
    <col min="12036" max="12036" width="10.26171875" bestFit="1" customWidth="1"/>
    <col min="12037" max="12037" width="11.47265625" customWidth="1"/>
    <col min="12038" max="12039" width="12.5234375" customWidth="1"/>
    <col min="12040" max="12040" width="10.26171875" bestFit="1" customWidth="1"/>
    <col min="12041" max="12046" width="11.26171875" customWidth="1"/>
    <col min="12047" max="12047" width="12.15625" customWidth="1"/>
    <col min="12048" max="12048" width="4.1015625" customWidth="1"/>
    <col min="12049" max="12049" width="4.7890625" customWidth="1"/>
    <col min="12050" max="12050" width="11.26171875" customWidth="1"/>
    <col min="12051" max="12051" width="12" customWidth="1"/>
    <col min="12052" max="12052" width="12.26171875" customWidth="1"/>
    <col min="12053" max="12053" width="11" customWidth="1"/>
    <col min="12054" max="12054" width="10.7890625" customWidth="1"/>
    <col min="12055" max="12055" width="12" customWidth="1"/>
    <col min="12056" max="12056" width="14.7890625" customWidth="1"/>
    <col min="12057" max="12057" width="13.734375" customWidth="1"/>
    <col min="12058" max="12058" width="13.7890625" customWidth="1"/>
    <col min="12062" max="12062" width="12.5234375" customWidth="1"/>
    <col min="12063" max="12063" width="13.15625" customWidth="1"/>
    <col min="12290" max="12290" width="4.26171875" customWidth="1"/>
    <col min="12291" max="12291" width="18.26171875" customWidth="1"/>
    <col min="12292" max="12292" width="10.26171875" bestFit="1" customWidth="1"/>
    <col min="12293" max="12293" width="11.47265625" customWidth="1"/>
    <col min="12294" max="12295" width="12.5234375" customWidth="1"/>
    <col min="12296" max="12296" width="10.26171875" bestFit="1" customWidth="1"/>
    <col min="12297" max="12302" width="11.26171875" customWidth="1"/>
    <col min="12303" max="12303" width="12.15625" customWidth="1"/>
    <col min="12304" max="12304" width="4.1015625" customWidth="1"/>
    <col min="12305" max="12305" width="4.7890625" customWidth="1"/>
    <col min="12306" max="12306" width="11.26171875" customWidth="1"/>
    <col min="12307" max="12307" width="12" customWidth="1"/>
    <col min="12308" max="12308" width="12.26171875" customWidth="1"/>
    <col min="12309" max="12309" width="11" customWidth="1"/>
    <col min="12310" max="12310" width="10.7890625" customWidth="1"/>
    <col min="12311" max="12311" width="12" customWidth="1"/>
    <col min="12312" max="12312" width="14.7890625" customWidth="1"/>
    <col min="12313" max="12313" width="13.734375" customWidth="1"/>
    <col min="12314" max="12314" width="13.7890625" customWidth="1"/>
    <col min="12318" max="12318" width="12.5234375" customWidth="1"/>
    <col min="12319" max="12319" width="13.15625" customWidth="1"/>
    <col min="12546" max="12546" width="4.26171875" customWidth="1"/>
    <col min="12547" max="12547" width="18.26171875" customWidth="1"/>
    <col min="12548" max="12548" width="10.26171875" bestFit="1" customWidth="1"/>
    <col min="12549" max="12549" width="11.47265625" customWidth="1"/>
    <col min="12550" max="12551" width="12.5234375" customWidth="1"/>
    <col min="12552" max="12552" width="10.26171875" bestFit="1" customWidth="1"/>
    <col min="12553" max="12558" width="11.26171875" customWidth="1"/>
    <col min="12559" max="12559" width="12.15625" customWidth="1"/>
    <col min="12560" max="12560" width="4.1015625" customWidth="1"/>
    <col min="12561" max="12561" width="4.7890625" customWidth="1"/>
    <col min="12562" max="12562" width="11.26171875" customWidth="1"/>
    <col min="12563" max="12563" width="12" customWidth="1"/>
    <col min="12564" max="12564" width="12.26171875" customWidth="1"/>
    <col min="12565" max="12565" width="11" customWidth="1"/>
    <col min="12566" max="12566" width="10.7890625" customWidth="1"/>
    <col min="12567" max="12567" width="12" customWidth="1"/>
    <col min="12568" max="12568" width="14.7890625" customWidth="1"/>
    <col min="12569" max="12569" width="13.734375" customWidth="1"/>
    <col min="12570" max="12570" width="13.7890625" customWidth="1"/>
    <col min="12574" max="12574" width="12.5234375" customWidth="1"/>
    <col min="12575" max="12575" width="13.15625" customWidth="1"/>
    <col min="12802" max="12802" width="4.26171875" customWidth="1"/>
    <col min="12803" max="12803" width="18.26171875" customWidth="1"/>
    <col min="12804" max="12804" width="10.26171875" bestFit="1" customWidth="1"/>
    <col min="12805" max="12805" width="11.47265625" customWidth="1"/>
    <col min="12806" max="12807" width="12.5234375" customWidth="1"/>
    <col min="12808" max="12808" width="10.26171875" bestFit="1" customWidth="1"/>
    <col min="12809" max="12814" width="11.26171875" customWidth="1"/>
    <col min="12815" max="12815" width="12.15625" customWidth="1"/>
    <col min="12816" max="12816" width="4.1015625" customWidth="1"/>
    <col min="12817" max="12817" width="4.7890625" customWidth="1"/>
    <col min="12818" max="12818" width="11.26171875" customWidth="1"/>
    <col min="12819" max="12819" width="12" customWidth="1"/>
    <col min="12820" max="12820" width="12.26171875" customWidth="1"/>
    <col min="12821" max="12821" width="11" customWidth="1"/>
    <col min="12822" max="12822" width="10.7890625" customWidth="1"/>
    <col min="12823" max="12823" width="12" customWidth="1"/>
    <col min="12824" max="12824" width="14.7890625" customWidth="1"/>
    <col min="12825" max="12825" width="13.734375" customWidth="1"/>
    <col min="12826" max="12826" width="13.7890625" customWidth="1"/>
    <col min="12830" max="12830" width="12.5234375" customWidth="1"/>
    <col min="12831" max="12831" width="13.15625" customWidth="1"/>
    <col min="13058" max="13058" width="4.26171875" customWidth="1"/>
    <col min="13059" max="13059" width="18.26171875" customWidth="1"/>
    <col min="13060" max="13060" width="10.26171875" bestFit="1" customWidth="1"/>
    <col min="13061" max="13061" width="11.47265625" customWidth="1"/>
    <col min="13062" max="13063" width="12.5234375" customWidth="1"/>
    <col min="13064" max="13064" width="10.26171875" bestFit="1" customWidth="1"/>
    <col min="13065" max="13070" width="11.26171875" customWidth="1"/>
    <col min="13071" max="13071" width="12.15625" customWidth="1"/>
    <col min="13072" max="13072" width="4.1015625" customWidth="1"/>
    <col min="13073" max="13073" width="4.7890625" customWidth="1"/>
    <col min="13074" max="13074" width="11.26171875" customWidth="1"/>
    <col min="13075" max="13075" width="12" customWidth="1"/>
    <col min="13076" max="13076" width="12.26171875" customWidth="1"/>
    <col min="13077" max="13077" width="11" customWidth="1"/>
    <col min="13078" max="13078" width="10.7890625" customWidth="1"/>
    <col min="13079" max="13079" width="12" customWidth="1"/>
    <col min="13080" max="13080" width="14.7890625" customWidth="1"/>
    <col min="13081" max="13081" width="13.734375" customWidth="1"/>
    <col min="13082" max="13082" width="13.7890625" customWidth="1"/>
    <col min="13086" max="13086" width="12.5234375" customWidth="1"/>
    <col min="13087" max="13087" width="13.15625" customWidth="1"/>
    <col min="13314" max="13314" width="4.26171875" customWidth="1"/>
    <col min="13315" max="13315" width="18.26171875" customWidth="1"/>
    <col min="13316" max="13316" width="10.26171875" bestFit="1" customWidth="1"/>
    <col min="13317" max="13317" width="11.47265625" customWidth="1"/>
    <col min="13318" max="13319" width="12.5234375" customWidth="1"/>
    <col min="13320" max="13320" width="10.26171875" bestFit="1" customWidth="1"/>
    <col min="13321" max="13326" width="11.26171875" customWidth="1"/>
    <col min="13327" max="13327" width="12.15625" customWidth="1"/>
    <col min="13328" max="13328" width="4.1015625" customWidth="1"/>
    <col min="13329" max="13329" width="4.7890625" customWidth="1"/>
    <col min="13330" max="13330" width="11.26171875" customWidth="1"/>
    <col min="13331" max="13331" width="12" customWidth="1"/>
    <col min="13332" max="13332" width="12.26171875" customWidth="1"/>
    <col min="13333" max="13333" width="11" customWidth="1"/>
    <col min="13334" max="13334" width="10.7890625" customWidth="1"/>
    <col min="13335" max="13335" width="12" customWidth="1"/>
    <col min="13336" max="13336" width="14.7890625" customWidth="1"/>
    <col min="13337" max="13337" width="13.734375" customWidth="1"/>
    <col min="13338" max="13338" width="13.7890625" customWidth="1"/>
    <col min="13342" max="13342" width="12.5234375" customWidth="1"/>
    <col min="13343" max="13343" width="13.15625" customWidth="1"/>
    <col min="13570" max="13570" width="4.26171875" customWidth="1"/>
    <col min="13571" max="13571" width="18.26171875" customWidth="1"/>
    <col min="13572" max="13572" width="10.26171875" bestFit="1" customWidth="1"/>
    <col min="13573" max="13573" width="11.47265625" customWidth="1"/>
    <col min="13574" max="13575" width="12.5234375" customWidth="1"/>
    <col min="13576" max="13576" width="10.26171875" bestFit="1" customWidth="1"/>
    <col min="13577" max="13582" width="11.26171875" customWidth="1"/>
    <col min="13583" max="13583" width="12.15625" customWidth="1"/>
    <col min="13584" max="13584" width="4.1015625" customWidth="1"/>
    <col min="13585" max="13585" width="4.7890625" customWidth="1"/>
    <col min="13586" max="13586" width="11.26171875" customWidth="1"/>
    <col min="13587" max="13587" width="12" customWidth="1"/>
    <col min="13588" max="13588" width="12.26171875" customWidth="1"/>
    <col min="13589" max="13589" width="11" customWidth="1"/>
    <col min="13590" max="13590" width="10.7890625" customWidth="1"/>
    <col min="13591" max="13591" width="12" customWidth="1"/>
    <col min="13592" max="13592" width="14.7890625" customWidth="1"/>
    <col min="13593" max="13593" width="13.734375" customWidth="1"/>
    <col min="13594" max="13594" width="13.7890625" customWidth="1"/>
    <col min="13598" max="13598" width="12.5234375" customWidth="1"/>
    <col min="13599" max="13599" width="13.15625" customWidth="1"/>
    <col min="13826" max="13826" width="4.26171875" customWidth="1"/>
    <col min="13827" max="13827" width="18.26171875" customWidth="1"/>
    <col min="13828" max="13828" width="10.26171875" bestFit="1" customWidth="1"/>
    <col min="13829" max="13829" width="11.47265625" customWidth="1"/>
    <col min="13830" max="13831" width="12.5234375" customWidth="1"/>
    <col min="13832" max="13832" width="10.26171875" bestFit="1" customWidth="1"/>
    <col min="13833" max="13838" width="11.26171875" customWidth="1"/>
    <col min="13839" max="13839" width="12.15625" customWidth="1"/>
    <col min="13840" max="13840" width="4.1015625" customWidth="1"/>
    <col min="13841" max="13841" width="4.7890625" customWidth="1"/>
    <col min="13842" max="13842" width="11.26171875" customWidth="1"/>
    <col min="13843" max="13843" width="12" customWidth="1"/>
    <col min="13844" max="13844" width="12.26171875" customWidth="1"/>
    <col min="13845" max="13845" width="11" customWidth="1"/>
    <col min="13846" max="13846" width="10.7890625" customWidth="1"/>
    <col min="13847" max="13847" width="12" customWidth="1"/>
    <col min="13848" max="13848" width="14.7890625" customWidth="1"/>
    <col min="13849" max="13849" width="13.734375" customWidth="1"/>
    <col min="13850" max="13850" width="13.7890625" customWidth="1"/>
    <col min="13854" max="13854" width="12.5234375" customWidth="1"/>
    <col min="13855" max="13855" width="13.15625" customWidth="1"/>
    <col min="14082" max="14082" width="4.26171875" customWidth="1"/>
    <col min="14083" max="14083" width="18.26171875" customWidth="1"/>
    <col min="14084" max="14084" width="10.26171875" bestFit="1" customWidth="1"/>
    <col min="14085" max="14085" width="11.47265625" customWidth="1"/>
    <col min="14086" max="14087" width="12.5234375" customWidth="1"/>
    <col min="14088" max="14088" width="10.26171875" bestFit="1" customWidth="1"/>
    <col min="14089" max="14094" width="11.26171875" customWidth="1"/>
    <col min="14095" max="14095" width="12.15625" customWidth="1"/>
    <col min="14096" max="14096" width="4.1015625" customWidth="1"/>
    <col min="14097" max="14097" width="4.7890625" customWidth="1"/>
    <col min="14098" max="14098" width="11.26171875" customWidth="1"/>
    <col min="14099" max="14099" width="12" customWidth="1"/>
    <col min="14100" max="14100" width="12.26171875" customWidth="1"/>
    <col min="14101" max="14101" width="11" customWidth="1"/>
    <col min="14102" max="14102" width="10.7890625" customWidth="1"/>
    <col min="14103" max="14103" width="12" customWidth="1"/>
    <col min="14104" max="14104" width="14.7890625" customWidth="1"/>
    <col min="14105" max="14105" width="13.734375" customWidth="1"/>
    <col min="14106" max="14106" width="13.7890625" customWidth="1"/>
    <col min="14110" max="14110" width="12.5234375" customWidth="1"/>
    <col min="14111" max="14111" width="13.15625" customWidth="1"/>
    <col min="14338" max="14338" width="4.26171875" customWidth="1"/>
    <col min="14339" max="14339" width="18.26171875" customWidth="1"/>
    <col min="14340" max="14340" width="10.26171875" bestFit="1" customWidth="1"/>
    <col min="14341" max="14341" width="11.47265625" customWidth="1"/>
    <col min="14342" max="14343" width="12.5234375" customWidth="1"/>
    <col min="14344" max="14344" width="10.26171875" bestFit="1" customWidth="1"/>
    <col min="14345" max="14350" width="11.26171875" customWidth="1"/>
    <col min="14351" max="14351" width="12.15625" customWidth="1"/>
    <col min="14352" max="14352" width="4.1015625" customWidth="1"/>
    <col min="14353" max="14353" width="4.7890625" customWidth="1"/>
    <col min="14354" max="14354" width="11.26171875" customWidth="1"/>
    <col min="14355" max="14355" width="12" customWidth="1"/>
    <col min="14356" max="14356" width="12.26171875" customWidth="1"/>
    <col min="14357" max="14357" width="11" customWidth="1"/>
    <col min="14358" max="14358" width="10.7890625" customWidth="1"/>
    <col min="14359" max="14359" width="12" customWidth="1"/>
    <col min="14360" max="14360" width="14.7890625" customWidth="1"/>
    <col min="14361" max="14361" width="13.734375" customWidth="1"/>
    <col min="14362" max="14362" width="13.7890625" customWidth="1"/>
    <col min="14366" max="14366" width="12.5234375" customWidth="1"/>
    <col min="14367" max="14367" width="13.15625" customWidth="1"/>
    <col min="14594" max="14594" width="4.26171875" customWidth="1"/>
    <col min="14595" max="14595" width="18.26171875" customWidth="1"/>
    <col min="14596" max="14596" width="10.26171875" bestFit="1" customWidth="1"/>
    <col min="14597" max="14597" width="11.47265625" customWidth="1"/>
    <col min="14598" max="14599" width="12.5234375" customWidth="1"/>
    <col min="14600" max="14600" width="10.26171875" bestFit="1" customWidth="1"/>
    <col min="14601" max="14606" width="11.26171875" customWidth="1"/>
    <col min="14607" max="14607" width="12.15625" customWidth="1"/>
    <col min="14608" max="14608" width="4.1015625" customWidth="1"/>
    <col min="14609" max="14609" width="4.7890625" customWidth="1"/>
    <col min="14610" max="14610" width="11.26171875" customWidth="1"/>
    <col min="14611" max="14611" width="12" customWidth="1"/>
    <col min="14612" max="14612" width="12.26171875" customWidth="1"/>
    <col min="14613" max="14613" width="11" customWidth="1"/>
    <col min="14614" max="14614" width="10.7890625" customWidth="1"/>
    <col min="14615" max="14615" width="12" customWidth="1"/>
    <col min="14616" max="14616" width="14.7890625" customWidth="1"/>
    <col min="14617" max="14617" width="13.734375" customWidth="1"/>
    <col min="14618" max="14618" width="13.7890625" customWidth="1"/>
    <col min="14622" max="14622" width="12.5234375" customWidth="1"/>
    <col min="14623" max="14623" width="13.15625" customWidth="1"/>
    <col min="14850" max="14850" width="4.26171875" customWidth="1"/>
    <col min="14851" max="14851" width="18.26171875" customWidth="1"/>
    <col min="14852" max="14852" width="10.26171875" bestFit="1" customWidth="1"/>
    <col min="14853" max="14853" width="11.47265625" customWidth="1"/>
    <col min="14854" max="14855" width="12.5234375" customWidth="1"/>
    <col min="14856" max="14856" width="10.26171875" bestFit="1" customWidth="1"/>
    <col min="14857" max="14862" width="11.26171875" customWidth="1"/>
    <col min="14863" max="14863" width="12.15625" customWidth="1"/>
    <col min="14864" max="14864" width="4.1015625" customWidth="1"/>
    <col min="14865" max="14865" width="4.7890625" customWidth="1"/>
    <col min="14866" max="14866" width="11.26171875" customWidth="1"/>
    <col min="14867" max="14867" width="12" customWidth="1"/>
    <col min="14868" max="14868" width="12.26171875" customWidth="1"/>
    <col min="14869" max="14869" width="11" customWidth="1"/>
    <col min="14870" max="14870" width="10.7890625" customWidth="1"/>
    <col min="14871" max="14871" width="12" customWidth="1"/>
    <col min="14872" max="14872" width="14.7890625" customWidth="1"/>
    <col min="14873" max="14873" width="13.734375" customWidth="1"/>
    <col min="14874" max="14874" width="13.7890625" customWidth="1"/>
    <col min="14878" max="14878" width="12.5234375" customWidth="1"/>
    <col min="14879" max="14879" width="13.15625" customWidth="1"/>
    <col min="15106" max="15106" width="4.26171875" customWidth="1"/>
    <col min="15107" max="15107" width="18.26171875" customWidth="1"/>
    <col min="15108" max="15108" width="10.26171875" bestFit="1" customWidth="1"/>
    <col min="15109" max="15109" width="11.47265625" customWidth="1"/>
    <col min="15110" max="15111" width="12.5234375" customWidth="1"/>
    <col min="15112" max="15112" width="10.26171875" bestFit="1" customWidth="1"/>
    <col min="15113" max="15118" width="11.26171875" customWidth="1"/>
    <col min="15119" max="15119" width="12.15625" customWidth="1"/>
    <col min="15120" max="15120" width="4.1015625" customWidth="1"/>
    <col min="15121" max="15121" width="4.7890625" customWidth="1"/>
    <col min="15122" max="15122" width="11.26171875" customWidth="1"/>
    <col min="15123" max="15123" width="12" customWidth="1"/>
    <col min="15124" max="15124" width="12.26171875" customWidth="1"/>
    <col min="15125" max="15125" width="11" customWidth="1"/>
    <col min="15126" max="15126" width="10.7890625" customWidth="1"/>
    <col min="15127" max="15127" width="12" customWidth="1"/>
    <col min="15128" max="15128" width="14.7890625" customWidth="1"/>
    <col min="15129" max="15129" width="13.734375" customWidth="1"/>
    <col min="15130" max="15130" width="13.7890625" customWidth="1"/>
    <col min="15134" max="15134" width="12.5234375" customWidth="1"/>
    <col min="15135" max="15135" width="13.15625" customWidth="1"/>
    <col min="15362" max="15362" width="4.26171875" customWidth="1"/>
    <col min="15363" max="15363" width="18.26171875" customWidth="1"/>
    <col min="15364" max="15364" width="10.26171875" bestFit="1" customWidth="1"/>
    <col min="15365" max="15365" width="11.47265625" customWidth="1"/>
    <col min="15366" max="15367" width="12.5234375" customWidth="1"/>
    <col min="15368" max="15368" width="10.26171875" bestFit="1" customWidth="1"/>
    <col min="15369" max="15374" width="11.26171875" customWidth="1"/>
    <col min="15375" max="15375" width="12.15625" customWidth="1"/>
    <col min="15376" max="15376" width="4.1015625" customWidth="1"/>
    <col min="15377" max="15377" width="4.7890625" customWidth="1"/>
    <col min="15378" max="15378" width="11.26171875" customWidth="1"/>
    <col min="15379" max="15379" width="12" customWidth="1"/>
    <col min="15380" max="15380" width="12.26171875" customWidth="1"/>
    <col min="15381" max="15381" width="11" customWidth="1"/>
    <col min="15382" max="15382" width="10.7890625" customWidth="1"/>
    <col min="15383" max="15383" width="12" customWidth="1"/>
    <col min="15384" max="15384" width="14.7890625" customWidth="1"/>
    <col min="15385" max="15385" width="13.734375" customWidth="1"/>
    <col min="15386" max="15386" width="13.7890625" customWidth="1"/>
    <col min="15390" max="15390" width="12.5234375" customWidth="1"/>
    <col min="15391" max="15391" width="13.15625" customWidth="1"/>
    <col min="15618" max="15618" width="4.26171875" customWidth="1"/>
    <col min="15619" max="15619" width="18.26171875" customWidth="1"/>
    <col min="15620" max="15620" width="10.26171875" bestFit="1" customWidth="1"/>
    <col min="15621" max="15621" width="11.47265625" customWidth="1"/>
    <col min="15622" max="15623" width="12.5234375" customWidth="1"/>
    <col min="15624" max="15624" width="10.26171875" bestFit="1" customWidth="1"/>
    <col min="15625" max="15630" width="11.26171875" customWidth="1"/>
    <col min="15631" max="15631" width="12.15625" customWidth="1"/>
    <col min="15632" max="15632" width="4.1015625" customWidth="1"/>
    <col min="15633" max="15633" width="4.7890625" customWidth="1"/>
    <col min="15634" max="15634" width="11.26171875" customWidth="1"/>
    <col min="15635" max="15635" width="12" customWidth="1"/>
    <col min="15636" max="15636" width="12.26171875" customWidth="1"/>
    <col min="15637" max="15637" width="11" customWidth="1"/>
    <col min="15638" max="15638" width="10.7890625" customWidth="1"/>
    <col min="15639" max="15639" width="12" customWidth="1"/>
    <col min="15640" max="15640" width="14.7890625" customWidth="1"/>
    <col min="15641" max="15641" width="13.734375" customWidth="1"/>
    <col min="15642" max="15642" width="13.7890625" customWidth="1"/>
    <col min="15646" max="15646" width="12.5234375" customWidth="1"/>
    <col min="15647" max="15647" width="13.15625" customWidth="1"/>
    <col min="15874" max="15874" width="4.26171875" customWidth="1"/>
    <col min="15875" max="15875" width="18.26171875" customWidth="1"/>
    <col min="15876" max="15876" width="10.26171875" bestFit="1" customWidth="1"/>
    <col min="15877" max="15877" width="11.47265625" customWidth="1"/>
    <col min="15878" max="15879" width="12.5234375" customWidth="1"/>
    <col min="15880" max="15880" width="10.26171875" bestFit="1" customWidth="1"/>
    <col min="15881" max="15886" width="11.26171875" customWidth="1"/>
    <col min="15887" max="15887" width="12.15625" customWidth="1"/>
    <col min="15888" max="15888" width="4.1015625" customWidth="1"/>
    <col min="15889" max="15889" width="4.7890625" customWidth="1"/>
    <col min="15890" max="15890" width="11.26171875" customWidth="1"/>
    <col min="15891" max="15891" width="12" customWidth="1"/>
    <col min="15892" max="15892" width="12.26171875" customWidth="1"/>
    <col min="15893" max="15893" width="11" customWidth="1"/>
    <col min="15894" max="15894" width="10.7890625" customWidth="1"/>
    <col min="15895" max="15895" width="12" customWidth="1"/>
    <col min="15896" max="15896" width="14.7890625" customWidth="1"/>
    <col min="15897" max="15897" width="13.734375" customWidth="1"/>
    <col min="15898" max="15898" width="13.7890625" customWidth="1"/>
    <col min="15902" max="15902" width="12.5234375" customWidth="1"/>
    <col min="15903" max="15903" width="13.15625" customWidth="1"/>
    <col min="16130" max="16130" width="4.26171875" customWidth="1"/>
    <col min="16131" max="16131" width="18.26171875" customWidth="1"/>
    <col min="16132" max="16132" width="10.26171875" bestFit="1" customWidth="1"/>
    <col min="16133" max="16133" width="11.47265625" customWidth="1"/>
    <col min="16134" max="16135" width="12.5234375" customWidth="1"/>
    <col min="16136" max="16136" width="10.26171875" bestFit="1" customWidth="1"/>
    <col min="16137" max="16142" width="11.26171875" customWidth="1"/>
    <col min="16143" max="16143" width="12.15625" customWidth="1"/>
    <col min="16144" max="16144" width="4.1015625" customWidth="1"/>
    <col min="16145" max="16145" width="4.7890625" customWidth="1"/>
    <col min="16146" max="16146" width="11.26171875" customWidth="1"/>
    <col min="16147" max="16147" width="12" customWidth="1"/>
    <col min="16148" max="16148" width="12.26171875" customWidth="1"/>
    <col min="16149" max="16149" width="11" customWidth="1"/>
    <col min="16150" max="16150" width="10.7890625" customWidth="1"/>
    <col min="16151" max="16151" width="12" customWidth="1"/>
    <col min="16152" max="16152" width="14.7890625" customWidth="1"/>
    <col min="16153" max="16153" width="13.734375" customWidth="1"/>
    <col min="16154" max="16154" width="13.7890625" customWidth="1"/>
    <col min="16158" max="16158" width="12.5234375" customWidth="1"/>
    <col min="16159" max="16159" width="13.15625" customWidth="1"/>
  </cols>
  <sheetData>
    <row r="1" spans="1:17" ht="18" customHeight="1" x14ac:dyDescent="0.55000000000000004">
      <c r="A1" s="282"/>
      <c r="B1" s="283" t="s">
        <v>39</v>
      </c>
      <c r="C1" s="283" t="s">
        <v>50</v>
      </c>
      <c r="D1" s="283" t="s">
        <v>53</v>
      </c>
      <c r="E1" s="283" t="s">
        <v>57</v>
      </c>
      <c r="F1" s="283" t="s">
        <v>58</v>
      </c>
      <c r="G1" s="283" t="s">
        <v>59</v>
      </c>
      <c r="H1" s="282" t="s">
        <v>60</v>
      </c>
      <c r="I1" s="283" t="s">
        <v>61</v>
      </c>
      <c r="J1" s="40"/>
      <c r="K1" s="40"/>
      <c r="L1" s="40"/>
      <c r="M1" s="40"/>
      <c r="N1" s="40"/>
      <c r="O1" s="40"/>
      <c r="P1" s="40"/>
      <c r="Q1" s="40"/>
    </row>
    <row r="2" spans="1:17" ht="18" customHeight="1" x14ac:dyDescent="0.55000000000000004">
      <c r="A2" s="282">
        <f>ROW( )</f>
        <v>2</v>
      </c>
      <c r="J2" s="40"/>
      <c r="K2" s="40"/>
      <c r="L2" s="40"/>
      <c r="M2" s="40"/>
      <c r="N2" s="40"/>
      <c r="O2" s="40"/>
      <c r="P2" s="40"/>
      <c r="Q2" s="40"/>
    </row>
    <row r="3" spans="1:17" ht="18" customHeight="1" x14ac:dyDescent="0.6">
      <c r="A3" s="282">
        <f t="shared" ref="A3:A24" si="0">ROW( )</f>
        <v>3</v>
      </c>
      <c r="B3" s="17" t="s">
        <v>239</v>
      </c>
      <c r="C3" s="39"/>
      <c r="D3" s="39"/>
      <c r="E3" s="39"/>
      <c r="F3" s="39"/>
      <c r="G3" s="201"/>
      <c r="H3" s="203"/>
      <c r="I3" s="39"/>
      <c r="J3" s="40"/>
      <c r="K3" s="40"/>
      <c r="L3" s="40"/>
      <c r="M3" s="40"/>
      <c r="N3" s="40"/>
      <c r="O3" s="40"/>
      <c r="P3" s="40"/>
      <c r="Q3" s="40"/>
    </row>
    <row r="4" spans="1:17" ht="18" customHeight="1" x14ac:dyDescent="0.55000000000000004">
      <c r="A4" s="282">
        <f t="shared" si="0"/>
        <v>4</v>
      </c>
      <c r="B4" s="40"/>
      <c r="C4" s="40"/>
      <c r="D4" s="40"/>
      <c r="E4" s="40"/>
      <c r="F4" s="40"/>
      <c r="G4" s="195"/>
      <c r="H4" s="204"/>
      <c r="I4" s="40"/>
      <c r="J4" s="40"/>
      <c r="K4" s="40"/>
      <c r="L4" s="40"/>
      <c r="M4" s="40"/>
      <c r="N4" s="40"/>
      <c r="O4" s="40"/>
      <c r="P4" s="40"/>
      <c r="Q4" s="40"/>
    </row>
    <row r="5" spans="1:17" ht="18" customHeight="1" x14ac:dyDescent="0.55000000000000004">
      <c r="A5" s="282">
        <f t="shared" si="0"/>
        <v>5</v>
      </c>
      <c r="B5" s="41" t="s">
        <v>100</v>
      </c>
      <c r="C5" s="40"/>
      <c r="D5" s="40"/>
      <c r="G5" s="333" t="s">
        <v>236</v>
      </c>
      <c r="H5" s="333" t="s">
        <v>235</v>
      </c>
      <c r="I5" s="333" t="s">
        <v>174</v>
      </c>
      <c r="J5" s="40"/>
      <c r="K5" s="40"/>
      <c r="L5" s="40"/>
      <c r="M5" s="40"/>
      <c r="N5" s="40"/>
      <c r="O5" s="40"/>
      <c r="P5" s="40"/>
      <c r="Q5" s="40"/>
    </row>
    <row r="6" spans="1:17" ht="18" customHeight="1" x14ac:dyDescent="0.55000000000000004">
      <c r="A6" s="282">
        <f t="shared" si="0"/>
        <v>6</v>
      </c>
      <c r="B6" s="40" t="s">
        <v>229</v>
      </c>
      <c r="C6" s="40"/>
      <c r="D6" s="191">
        <v>43115</v>
      </c>
      <c r="G6" s="335"/>
      <c r="H6" s="335"/>
      <c r="I6" s="334"/>
      <c r="J6" s="40"/>
      <c r="K6" s="40"/>
    </row>
    <row r="7" spans="1:17" ht="18" customHeight="1" x14ac:dyDescent="0.55000000000000004">
      <c r="A7" s="282">
        <f t="shared" si="0"/>
        <v>7</v>
      </c>
      <c r="B7" s="40" t="s">
        <v>230</v>
      </c>
      <c r="C7" s="40"/>
      <c r="D7" s="192">
        <v>45672</v>
      </c>
      <c r="G7" s="6">
        <v>0</v>
      </c>
      <c r="H7" s="205">
        <f>+D6</f>
        <v>43115</v>
      </c>
      <c r="I7" s="22">
        <f>-D9*10</f>
        <v>-961.78530201010039</v>
      </c>
      <c r="J7" s="40"/>
      <c r="K7" s="40"/>
    </row>
    <row r="8" spans="1:17" ht="18" customHeight="1" x14ac:dyDescent="0.55000000000000004">
      <c r="A8" s="282">
        <f t="shared" si="0"/>
        <v>8</v>
      </c>
      <c r="B8" s="40" t="s">
        <v>231</v>
      </c>
      <c r="C8" s="40"/>
      <c r="D8" s="193">
        <v>4.2500000000000003E-2</v>
      </c>
      <c r="G8" s="6">
        <v>1</v>
      </c>
      <c r="H8" s="205">
        <v>43296</v>
      </c>
      <c r="I8" s="22">
        <f>+$D$8/2*1000</f>
        <v>21.25</v>
      </c>
      <c r="J8" s="40"/>
      <c r="K8" s="40"/>
    </row>
    <row r="9" spans="1:17" ht="18" customHeight="1" x14ac:dyDescent="0.55000000000000004">
      <c r="A9" s="282">
        <f t="shared" si="0"/>
        <v>9</v>
      </c>
      <c r="B9" s="45" t="s">
        <v>232</v>
      </c>
      <c r="C9" s="45"/>
      <c r="D9" s="194">
        <v>96.178530201010034</v>
      </c>
      <c r="G9" s="6">
        <v>2</v>
      </c>
      <c r="H9" s="205">
        <f>+H8+184</f>
        <v>43480</v>
      </c>
      <c r="I9" s="22">
        <f t="shared" ref="I9:I20" si="1">+$D$8/2*1000</f>
        <v>21.25</v>
      </c>
      <c r="J9" s="40"/>
      <c r="K9" s="40"/>
    </row>
    <row r="10" spans="1:17" ht="18" customHeight="1" x14ac:dyDescent="0.55000000000000004">
      <c r="A10" s="282">
        <f t="shared" si="0"/>
        <v>10</v>
      </c>
      <c r="B10" s="40" t="s">
        <v>233</v>
      </c>
      <c r="C10" s="40"/>
      <c r="D10" s="195">
        <v>100</v>
      </c>
      <c r="G10" s="6">
        <v>3</v>
      </c>
      <c r="H10" s="205">
        <f>+H8+365</f>
        <v>43661</v>
      </c>
      <c r="I10" s="22">
        <f t="shared" si="1"/>
        <v>21.25</v>
      </c>
      <c r="J10" s="40"/>
      <c r="K10" s="40"/>
    </row>
    <row r="11" spans="1:17" ht="18" customHeight="1" x14ac:dyDescent="0.55000000000000004">
      <c r="A11" s="282">
        <f t="shared" si="0"/>
        <v>11</v>
      </c>
      <c r="B11" s="40" t="s">
        <v>234</v>
      </c>
      <c r="C11" s="40"/>
      <c r="D11" s="195">
        <v>2</v>
      </c>
      <c r="G11" s="6">
        <v>4</v>
      </c>
      <c r="H11" s="205">
        <f>+H9+365</f>
        <v>43845</v>
      </c>
      <c r="I11" s="22">
        <f t="shared" si="1"/>
        <v>21.25</v>
      </c>
      <c r="J11" s="40"/>
      <c r="K11" s="40"/>
    </row>
    <row r="12" spans="1:17" ht="18" customHeight="1" thickBot="1" x14ac:dyDescent="0.6">
      <c r="A12" s="282">
        <f t="shared" si="0"/>
        <v>12</v>
      </c>
      <c r="B12" s="40"/>
      <c r="C12" s="40"/>
      <c r="D12" s="195"/>
      <c r="G12" s="6">
        <v>5</v>
      </c>
      <c r="H12" s="205">
        <f>+H10+366</f>
        <v>44027</v>
      </c>
      <c r="I12" s="22">
        <f t="shared" si="1"/>
        <v>21.25</v>
      </c>
      <c r="J12" s="40"/>
      <c r="K12" s="40"/>
    </row>
    <row r="13" spans="1:17" ht="18" customHeight="1" thickBot="1" x14ac:dyDescent="0.6">
      <c r="A13" s="282">
        <f t="shared" si="0"/>
        <v>13</v>
      </c>
      <c r="B13" s="48" t="s">
        <v>109</v>
      </c>
      <c r="C13" s="40"/>
      <c r="D13" s="196">
        <f>YIELD(D6,D7,D8,D9,D10,D11)</f>
        <v>4.9015229586181076E-2</v>
      </c>
      <c r="E13" s="197" t="str">
        <f ca="1">_xlfn.FORMULATEXT(D13)</f>
        <v>=YIELD(D6,D7,D8,D9,D10,D11)</v>
      </c>
      <c r="G13" s="6">
        <v>6</v>
      </c>
      <c r="H13" s="205">
        <f>+H11+366</f>
        <v>44211</v>
      </c>
      <c r="I13" s="22">
        <f t="shared" si="1"/>
        <v>21.25</v>
      </c>
      <c r="J13" s="40"/>
      <c r="K13" s="40"/>
    </row>
    <row r="14" spans="1:17" ht="18" customHeight="1" x14ac:dyDescent="0.55000000000000004">
      <c r="A14" s="282">
        <f t="shared" si="0"/>
        <v>14</v>
      </c>
      <c r="E14" s="198" t="s">
        <v>228</v>
      </c>
      <c r="G14" s="6">
        <v>7</v>
      </c>
      <c r="H14" s="205">
        <f t="shared" ref="H14:H19" si="2">+H12+365</f>
        <v>44392</v>
      </c>
      <c r="I14" s="22">
        <f t="shared" si="1"/>
        <v>21.25</v>
      </c>
      <c r="J14" s="40"/>
      <c r="K14" s="40"/>
    </row>
    <row r="15" spans="1:17" ht="18" customHeight="1" x14ac:dyDescent="0.55000000000000004">
      <c r="A15" s="282">
        <f t="shared" si="0"/>
        <v>15</v>
      </c>
      <c r="G15" s="6">
        <v>8</v>
      </c>
      <c r="H15" s="205">
        <f t="shared" si="2"/>
        <v>44576</v>
      </c>
      <c r="I15" s="22">
        <f t="shared" si="1"/>
        <v>21.25</v>
      </c>
    </row>
    <row r="16" spans="1:17" ht="18" customHeight="1" x14ac:dyDescent="0.55000000000000004">
      <c r="A16" s="282">
        <f t="shared" si="0"/>
        <v>16</v>
      </c>
      <c r="G16" s="6">
        <v>9</v>
      </c>
      <c r="H16" s="205">
        <f t="shared" si="2"/>
        <v>44757</v>
      </c>
      <c r="I16" s="22">
        <f t="shared" si="1"/>
        <v>21.25</v>
      </c>
    </row>
    <row r="17" spans="1:9" ht="18" customHeight="1" x14ac:dyDescent="0.55000000000000004">
      <c r="A17" s="282">
        <f t="shared" si="0"/>
        <v>17</v>
      </c>
      <c r="G17" s="6">
        <v>10</v>
      </c>
      <c r="H17" s="205">
        <f t="shared" si="2"/>
        <v>44941</v>
      </c>
      <c r="I17" s="22">
        <f t="shared" si="1"/>
        <v>21.25</v>
      </c>
    </row>
    <row r="18" spans="1:9" ht="18" customHeight="1" x14ac:dyDescent="0.55000000000000004">
      <c r="A18" s="282">
        <f t="shared" si="0"/>
        <v>18</v>
      </c>
      <c r="G18" s="6">
        <v>11</v>
      </c>
      <c r="H18" s="205">
        <f t="shared" si="2"/>
        <v>45122</v>
      </c>
      <c r="I18" s="22">
        <f t="shared" si="1"/>
        <v>21.25</v>
      </c>
    </row>
    <row r="19" spans="1:9" ht="18" customHeight="1" x14ac:dyDescent="0.55000000000000004">
      <c r="A19" s="282">
        <f t="shared" si="0"/>
        <v>19</v>
      </c>
      <c r="G19" s="6">
        <v>12</v>
      </c>
      <c r="H19" s="205">
        <f t="shared" si="2"/>
        <v>45306</v>
      </c>
      <c r="I19" s="22">
        <f t="shared" si="1"/>
        <v>21.25</v>
      </c>
    </row>
    <row r="20" spans="1:9" ht="18" customHeight="1" x14ac:dyDescent="0.55000000000000004">
      <c r="A20" s="282">
        <f t="shared" si="0"/>
        <v>20</v>
      </c>
      <c r="G20" s="6">
        <v>13</v>
      </c>
      <c r="H20" s="205">
        <f>+H18+366</f>
        <v>45488</v>
      </c>
      <c r="I20" s="22">
        <f t="shared" si="1"/>
        <v>21.25</v>
      </c>
    </row>
    <row r="21" spans="1:9" ht="18" customHeight="1" x14ac:dyDescent="0.55000000000000004">
      <c r="A21" s="282">
        <f t="shared" si="0"/>
        <v>21</v>
      </c>
      <c r="G21" s="6">
        <v>14</v>
      </c>
      <c r="H21" s="205">
        <f>+H19+366</f>
        <v>45672</v>
      </c>
      <c r="I21" s="22">
        <f>+$D$8/2*1000+1000</f>
        <v>1021.25</v>
      </c>
    </row>
    <row r="22" spans="1:9" ht="14.7" thickBot="1" x14ac:dyDescent="0.6">
      <c r="A22" s="282">
        <f t="shared" si="0"/>
        <v>22</v>
      </c>
    </row>
    <row r="23" spans="1:9" ht="14.7" thickBot="1" x14ac:dyDescent="0.6">
      <c r="A23" s="282">
        <f t="shared" si="0"/>
        <v>23</v>
      </c>
      <c r="H23" s="202" t="s">
        <v>237</v>
      </c>
      <c r="I23" s="199">
        <f>IRR(I7:I21)*2</f>
        <v>4.90152295791213E-2</v>
      </c>
    </row>
    <row r="24" spans="1:9" ht="18.399999999999999" customHeight="1" x14ac:dyDescent="0.55000000000000004">
      <c r="A24" s="282">
        <f t="shared" si="0"/>
        <v>24</v>
      </c>
      <c r="H24" s="336" t="s">
        <v>238</v>
      </c>
      <c r="I24" s="337"/>
    </row>
    <row r="25" spans="1:9" ht="7.75" customHeight="1" x14ac:dyDescent="0.55000000000000004">
      <c r="A25"/>
      <c r="I25" s="13"/>
    </row>
    <row r="26" spans="1:9" x14ac:dyDescent="0.55000000000000004">
      <c r="A26" s="276"/>
      <c r="B26" s="276"/>
      <c r="C26" s="276"/>
      <c r="D26" s="276"/>
      <c r="E26" s="276"/>
      <c r="F26" s="276"/>
      <c r="G26" s="277"/>
      <c r="H26" s="284"/>
      <c r="I26" s="278" t="s">
        <v>279</v>
      </c>
    </row>
    <row r="28" spans="1:9" x14ac:dyDescent="0.55000000000000004">
      <c r="I28" s="190"/>
    </row>
  </sheetData>
  <mergeCells count="4">
    <mergeCell ref="I5:I6"/>
    <mergeCell ref="G5:G6"/>
    <mergeCell ref="H24:I24"/>
    <mergeCell ref="H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A2C2-B12D-4387-B305-F7243889632E}">
  <dimension ref="A1:M49"/>
  <sheetViews>
    <sheetView topLeftCell="A4" zoomScale="90" zoomScaleNormal="90" workbookViewId="0">
      <selection activeCell="E17" sqref="E17"/>
    </sheetView>
  </sheetViews>
  <sheetFormatPr defaultRowHeight="14.4" x14ac:dyDescent="0.55000000000000004"/>
  <cols>
    <col min="1" max="1" width="4.26171875" customWidth="1"/>
    <col min="2" max="2" width="25.7890625" customWidth="1"/>
    <col min="3" max="3" width="5.5234375" style="6" customWidth="1"/>
    <col min="4" max="4" width="11.47265625" customWidth="1"/>
    <col min="5" max="5" width="12.5234375" customWidth="1"/>
    <col min="6" max="6" width="6.15625" customWidth="1"/>
    <col min="7" max="7" width="5.734375" customWidth="1"/>
    <col min="8" max="12" width="11.26171875" customWidth="1"/>
    <col min="13" max="13" width="2.26171875" customWidth="1"/>
    <col min="14" max="14" width="12" customWidth="1"/>
    <col min="15" max="15" width="12.26171875" customWidth="1"/>
    <col min="16" max="16" width="11" customWidth="1"/>
    <col min="17" max="17" width="10.7890625" customWidth="1"/>
    <col min="18" max="18" width="12" customWidth="1"/>
    <col min="19" max="19" width="14.7890625" customWidth="1"/>
    <col min="20" max="20" width="13.734375" customWidth="1"/>
    <col min="21" max="21" width="13.7890625" customWidth="1"/>
    <col min="25" max="25" width="12.5234375" customWidth="1"/>
    <col min="26" max="26" width="13.15625" customWidth="1"/>
    <col min="253" max="253" width="4.26171875" customWidth="1"/>
    <col min="254" max="254" width="18.26171875" customWidth="1"/>
    <col min="255" max="255" width="10.26171875" bestFit="1" customWidth="1"/>
    <col min="256" max="256" width="11.47265625" customWidth="1"/>
    <col min="257" max="258" width="12.5234375" customWidth="1"/>
    <col min="259" max="259" width="10.26171875" bestFit="1" customWidth="1"/>
    <col min="260" max="265" width="11.26171875" customWidth="1"/>
    <col min="266" max="266" width="12.15625" customWidth="1"/>
    <col min="267" max="267" width="4.1015625" customWidth="1"/>
    <col min="268" max="268" width="4.7890625" customWidth="1"/>
    <col min="269" max="269" width="11.26171875" customWidth="1"/>
    <col min="270" max="270" width="12" customWidth="1"/>
    <col min="271" max="271" width="12.26171875" customWidth="1"/>
    <col min="272" max="272" width="11" customWidth="1"/>
    <col min="273" max="273" width="10.7890625" customWidth="1"/>
    <col min="274" max="274" width="12" customWidth="1"/>
    <col min="275" max="275" width="14.7890625" customWidth="1"/>
    <col min="276" max="276" width="13.734375" customWidth="1"/>
    <col min="277" max="277" width="13.7890625" customWidth="1"/>
    <col min="281" max="281" width="12.5234375" customWidth="1"/>
    <col min="282" max="282" width="13.15625" customWidth="1"/>
    <col min="509" max="509" width="4.26171875" customWidth="1"/>
    <col min="510" max="510" width="18.26171875" customWidth="1"/>
    <col min="511" max="511" width="10.26171875" bestFit="1" customWidth="1"/>
    <col min="512" max="512" width="11.47265625" customWidth="1"/>
    <col min="513" max="514" width="12.5234375" customWidth="1"/>
    <col min="515" max="515" width="10.26171875" bestFit="1" customWidth="1"/>
    <col min="516" max="521" width="11.26171875" customWidth="1"/>
    <col min="522" max="522" width="12.15625" customWidth="1"/>
    <col min="523" max="523" width="4.1015625" customWidth="1"/>
    <col min="524" max="524" width="4.7890625" customWidth="1"/>
    <col min="525" max="525" width="11.26171875" customWidth="1"/>
    <col min="526" max="526" width="12" customWidth="1"/>
    <col min="527" max="527" width="12.26171875" customWidth="1"/>
    <col min="528" max="528" width="11" customWidth="1"/>
    <col min="529" max="529" width="10.7890625" customWidth="1"/>
    <col min="530" max="530" width="12" customWidth="1"/>
    <col min="531" max="531" width="14.7890625" customWidth="1"/>
    <col min="532" max="532" width="13.734375" customWidth="1"/>
    <col min="533" max="533" width="13.7890625" customWidth="1"/>
    <col min="537" max="537" width="12.5234375" customWidth="1"/>
    <col min="538" max="538" width="13.15625" customWidth="1"/>
    <col min="765" max="765" width="4.26171875" customWidth="1"/>
    <col min="766" max="766" width="18.26171875" customWidth="1"/>
    <col min="767" max="767" width="10.26171875" bestFit="1" customWidth="1"/>
    <col min="768" max="768" width="11.47265625" customWidth="1"/>
    <col min="769" max="770" width="12.5234375" customWidth="1"/>
    <col min="771" max="771" width="10.26171875" bestFit="1" customWidth="1"/>
    <col min="772" max="777" width="11.26171875" customWidth="1"/>
    <col min="778" max="778" width="12.15625" customWidth="1"/>
    <col min="779" max="779" width="4.1015625" customWidth="1"/>
    <col min="780" max="780" width="4.7890625" customWidth="1"/>
    <col min="781" max="781" width="11.26171875" customWidth="1"/>
    <col min="782" max="782" width="12" customWidth="1"/>
    <col min="783" max="783" width="12.26171875" customWidth="1"/>
    <col min="784" max="784" width="11" customWidth="1"/>
    <col min="785" max="785" width="10.7890625" customWidth="1"/>
    <col min="786" max="786" width="12" customWidth="1"/>
    <col min="787" max="787" width="14.7890625" customWidth="1"/>
    <col min="788" max="788" width="13.734375" customWidth="1"/>
    <col min="789" max="789" width="13.7890625" customWidth="1"/>
    <col min="793" max="793" width="12.5234375" customWidth="1"/>
    <col min="794" max="794" width="13.15625" customWidth="1"/>
    <col min="1021" max="1021" width="4.26171875" customWidth="1"/>
    <col min="1022" max="1022" width="18.26171875" customWidth="1"/>
    <col min="1023" max="1023" width="10.26171875" bestFit="1" customWidth="1"/>
    <col min="1024" max="1024" width="11.47265625" customWidth="1"/>
    <col min="1025" max="1026" width="12.5234375" customWidth="1"/>
    <col min="1027" max="1027" width="10.26171875" bestFit="1" customWidth="1"/>
    <col min="1028" max="1033" width="11.26171875" customWidth="1"/>
    <col min="1034" max="1034" width="12.15625" customWidth="1"/>
    <col min="1035" max="1035" width="4.1015625" customWidth="1"/>
    <col min="1036" max="1036" width="4.7890625" customWidth="1"/>
    <col min="1037" max="1037" width="11.26171875" customWidth="1"/>
    <col min="1038" max="1038" width="12" customWidth="1"/>
    <col min="1039" max="1039" width="12.26171875" customWidth="1"/>
    <col min="1040" max="1040" width="11" customWidth="1"/>
    <col min="1041" max="1041" width="10.7890625" customWidth="1"/>
    <col min="1042" max="1042" width="12" customWidth="1"/>
    <col min="1043" max="1043" width="14.7890625" customWidth="1"/>
    <col min="1044" max="1044" width="13.734375" customWidth="1"/>
    <col min="1045" max="1045" width="13.7890625" customWidth="1"/>
    <col min="1049" max="1049" width="12.5234375" customWidth="1"/>
    <col min="1050" max="1050" width="13.15625" customWidth="1"/>
    <col min="1277" max="1277" width="4.26171875" customWidth="1"/>
    <col min="1278" max="1278" width="18.26171875" customWidth="1"/>
    <col min="1279" max="1279" width="10.26171875" bestFit="1" customWidth="1"/>
    <col min="1280" max="1280" width="11.47265625" customWidth="1"/>
    <col min="1281" max="1282" width="12.5234375" customWidth="1"/>
    <col min="1283" max="1283" width="10.26171875" bestFit="1" customWidth="1"/>
    <col min="1284" max="1289" width="11.26171875" customWidth="1"/>
    <col min="1290" max="1290" width="12.15625" customWidth="1"/>
    <col min="1291" max="1291" width="4.1015625" customWidth="1"/>
    <col min="1292" max="1292" width="4.7890625" customWidth="1"/>
    <col min="1293" max="1293" width="11.26171875" customWidth="1"/>
    <col min="1294" max="1294" width="12" customWidth="1"/>
    <col min="1295" max="1295" width="12.26171875" customWidth="1"/>
    <col min="1296" max="1296" width="11" customWidth="1"/>
    <col min="1297" max="1297" width="10.7890625" customWidth="1"/>
    <col min="1298" max="1298" width="12" customWidth="1"/>
    <col min="1299" max="1299" width="14.7890625" customWidth="1"/>
    <col min="1300" max="1300" width="13.734375" customWidth="1"/>
    <col min="1301" max="1301" width="13.7890625" customWidth="1"/>
    <col min="1305" max="1305" width="12.5234375" customWidth="1"/>
    <col min="1306" max="1306" width="13.15625" customWidth="1"/>
    <col min="1533" max="1533" width="4.26171875" customWidth="1"/>
    <col min="1534" max="1534" width="18.26171875" customWidth="1"/>
    <col min="1535" max="1535" width="10.26171875" bestFit="1" customWidth="1"/>
    <col min="1536" max="1536" width="11.47265625" customWidth="1"/>
    <col min="1537" max="1538" width="12.5234375" customWidth="1"/>
    <col min="1539" max="1539" width="10.26171875" bestFit="1" customWidth="1"/>
    <col min="1540" max="1545" width="11.26171875" customWidth="1"/>
    <col min="1546" max="1546" width="12.15625" customWidth="1"/>
    <col min="1547" max="1547" width="4.1015625" customWidth="1"/>
    <col min="1548" max="1548" width="4.7890625" customWidth="1"/>
    <col min="1549" max="1549" width="11.26171875" customWidth="1"/>
    <col min="1550" max="1550" width="12" customWidth="1"/>
    <col min="1551" max="1551" width="12.26171875" customWidth="1"/>
    <col min="1552" max="1552" width="11" customWidth="1"/>
    <col min="1553" max="1553" width="10.7890625" customWidth="1"/>
    <col min="1554" max="1554" width="12" customWidth="1"/>
    <col min="1555" max="1555" width="14.7890625" customWidth="1"/>
    <col min="1556" max="1556" width="13.734375" customWidth="1"/>
    <col min="1557" max="1557" width="13.7890625" customWidth="1"/>
    <col min="1561" max="1561" width="12.5234375" customWidth="1"/>
    <col min="1562" max="1562" width="13.15625" customWidth="1"/>
    <col min="1789" max="1789" width="4.26171875" customWidth="1"/>
    <col min="1790" max="1790" width="18.26171875" customWidth="1"/>
    <col min="1791" max="1791" width="10.26171875" bestFit="1" customWidth="1"/>
    <col min="1792" max="1792" width="11.47265625" customWidth="1"/>
    <col min="1793" max="1794" width="12.5234375" customWidth="1"/>
    <col min="1795" max="1795" width="10.26171875" bestFit="1" customWidth="1"/>
    <col min="1796" max="1801" width="11.26171875" customWidth="1"/>
    <col min="1802" max="1802" width="12.15625" customWidth="1"/>
    <col min="1803" max="1803" width="4.1015625" customWidth="1"/>
    <col min="1804" max="1804" width="4.7890625" customWidth="1"/>
    <col min="1805" max="1805" width="11.26171875" customWidth="1"/>
    <col min="1806" max="1806" width="12" customWidth="1"/>
    <col min="1807" max="1807" width="12.26171875" customWidth="1"/>
    <col min="1808" max="1808" width="11" customWidth="1"/>
    <col min="1809" max="1809" width="10.7890625" customWidth="1"/>
    <col min="1810" max="1810" width="12" customWidth="1"/>
    <col min="1811" max="1811" width="14.7890625" customWidth="1"/>
    <col min="1812" max="1812" width="13.734375" customWidth="1"/>
    <col min="1813" max="1813" width="13.7890625" customWidth="1"/>
    <col min="1817" max="1817" width="12.5234375" customWidth="1"/>
    <col min="1818" max="1818" width="13.15625" customWidth="1"/>
    <col min="2045" max="2045" width="4.26171875" customWidth="1"/>
    <col min="2046" max="2046" width="18.26171875" customWidth="1"/>
    <col min="2047" max="2047" width="10.26171875" bestFit="1" customWidth="1"/>
    <col min="2048" max="2048" width="11.47265625" customWidth="1"/>
    <col min="2049" max="2050" width="12.5234375" customWidth="1"/>
    <col min="2051" max="2051" width="10.26171875" bestFit="1" customWidth="1"/>
    <col min="2052" max="2057" width="11.26171875" customWidth="1"/>
    <col min="2058" max="2058" width="12.15625" customWidth="1"/>
    <col min="2059" max="2059" width="4.1015625" customWidth="1"/>
    <col min="2060" max="2060" width="4.7890625" customWidth="1"/>
    <col min="2061" max="2061" width="11.26171875" customWidth="1"/>
    <col min="2062" max="2062" width="12" customWidth="1"/>
    <col min="2063" max="2063" width="12.26171875" customWidth="1"/>
    <col min="2064" max="2064" width="11" customWidth="1"/>
    <col min="2065" max="2065" width="10.7890625" customWidth="1"/>
    <col min="2066" max="2066" width="12" customWidth="1"/>
    <col min="2067" max="2067" width="14.7890625" customWidth="1"/>
    <col min="2068" max="2068" width="13.734375" customWidth="1"/>
    <col min="2069" max="2069" width="13.7890625" customWidth="1"/>
    <col min="2073" max="2073" width="12.5234375" customWidth="1"/>
    <col min="2074" max="2074" width="13.15625" customWidth="1"/>
    <col min="2301" max="2301" width="4.26171875" customWidth="1"/>
    <col min="2302" max="2302" width="18.26171875" customWidth="1"/>
    <col min="2303" max="2303" width="10.26171875" bestFit="1" customWidth="1"/>
    <col min="2304" max="2304" width="11.47265625" customWidth="1"/>
    <col min="2305" max="2306" width="12.5234375" customWidth="1"/>
    <col min="2307" max="2307" width="10.26171875" bestFit="1" customWidth="1"/>
    <col min="2308" max="2313" width="11.26171875" customWidth="1"/>
    <col min="2314" max="2314" width="12.15625" customWidth="1"/>
    <col min="2315" max="2315" width="4.1015625" customWidth="1"/>
    <col min="2316" max="2316" width="4.7890625" customWidth="1"/>
    <col min="2317" max="2317" width="11.26171875" customWidth="1"/>
    <col min="2318" max="2318" width="12" customWidth="1"/>
    <col min="2319" max="2319" width="12.26171875" customWidth="1"/>
    <col min="2320" max="2320" width="11" customWidth="1"/>
    <col min="2321" max="2321" width="10.7890625" customWidth="1"/>
    <col min="2322" max="2322" width="12" customWidth="1"/>
    <col min="2323" max="2323" width="14.7890625" customWidth="1"/>
    <col min="2324" max="2324" width="13.734375" customWidth="1"/>
    <col min="2325" max="2325" width="13.7890625" customWidth="1"/>
    <col min="2329" max="2329" width="12.5234375" customWidth="1"/>
    <col min="2330" max="2330" width="13.15625" customWidth="1"/>
    <col min="2557" max="2557" width="4.26171875" customWidth="1"/>
    <col min="2558" max="2558" width="18.26171875" customWidth="1"/>
    <col min="2559" max="2559" width="10.26171875" bestFit="1" customWidth="1"/>
    <col min="2560" max="2560" width="11.47265625" customWidth="1"/>
    <col min="2561" max="2562" width="12.5234375" customWidth="1"/>
    <col min="2563" max="2563" width="10.26171875" bestFit="1" customWidth="1"/>
    <col min="2564" max="2569" width="11.26171875" customWidth="1"/>
    <col min="2570" max="2570" width="12.15625" customWidth="1"/>
    <col min="2571" max="2571" width="4.1015625" customWidth="1"/>
    <col min="2572" max="2572" width="4.7890625" customWidth="1"/>
    <col min="2573" max="2573" width="11.26171875" customWidth="1"/>
    <col min="2574" max="2574" width="12" customWidth="1"/>
    <col min="2575" max="2575" width="12.26171875" customWidth="1"/>
    <col min="2576" max="2576" width="11" customWidth="1"/>
    <col min="2577" max="2577" width="10.7890625" customWidth="1"/>
    <col min="2578" max="2578" width="12" customWidth="1"/>
    <col min="2579" max="2579" width="14.7890625" customWidth="1"/>
    <col min="2580" max="2580" width="13.734375" customWidth="1"/>
    <col min="2581" max="2581" width="13.7890625" customWidth="1"/>
    <col min="2585" max="2585" width="12.5234375" customWidth="1"/>
    <col min="2586" max="2586" width="13.15625" customWidth="1"/>
    <col min="2813" max="2813" width="4.26171875" customWidth="1"/>
    <col min="2814" max="2814" width="18.26171875" customWidth="1"/>
    <col min="2815" max="2815" width="10.26171875" bestFit="1" customWidth="1"/>
    <col min="2816" max="2816" width="11.47265625" customWidth="1"/>
    <col min="2817" max="2818" width="12.5234375" customWidth="1"/>
    <col min="2819" max="2819" width="10.26171875" bestFit="1" customWidth="1"/>
    <col min="2820" max="2825" width="11.26171875" customWidth="1"/>
    <col min="2826" max="2826" width="12.15625" customWidth="1"/>
    <col min="2827" max="2827" width="4.1015625" customWidth="1"/>
    <col min="2828" max="2828" width="4.7890625" customWidth="1"/>
    <col min="2829" max="2829" width="11.26171875" customWidth="1"/>
    <col min="2830" max="2830" width="12" customWidth="1"/>
    <col min="2831" max="2831" width="12.26171875" customWidth="1"/>
    <col min="2832" max="2832" width="11" customWidth="1"/>
    <col min="2833" max="2833" width="10.7890625" customWidth="1"/>
    <col min="2834" max="2834" width="12" customWidth="1"/>
    <col min="2835" max="2835" width="14.7890625" customWidth="1"/>
    <col min="2836" max="2836" width="13.734375" customWidth="1"/>
    <col min="2837" max="2837" width="13.7890625" customWidth="1"/>
    <col min="2841" max="2841" width="12.5234375" customWidth="1"/>
    <col min="2842" max="2842" width="13.15625" customWidth="1"/>
    <col min="3069" max="3069" width="4.26171875" customWidth="1"/>
    <col min="3070" max="3070" width="18.26171875" customWidth="1"/>
    <col min="3071" max="3071" width="10.26171875" bestFit="1" customWidth="1"/>
    <col min="3072" max="3072" width="11.47265625" customWidth="1"/>
    <col min="3073" max="3074" width="12.5234375" customWidth="1"/>
    <col min="3075" max="3075" width="10.26171875" bestFit="1" customWidth="1"/>
    <col min="3076" max="3081" width="11.26171875" customWidth="1"/>
    <col min="3082" max="3082" width="12.15625" customWidth="1"/>
    <col min="3083" max="3083" width="4.1015625" customWidth="1"/>
    <col min="3084" max="3084" width="4.7890625" customWidth="1"/>
    <col min="3085" max="3085" width="11.26171875" customWidth="1"/>
    <col min="3086" max="3086" width="12" customWidth="1"/>
    <col min="3087" max="3087" width="12.26171875" customWidth="1"/>
    <col min="3088" max="3088" width="11" customWidth="1"/>
    <col min="3089" max="3089" width="10.7890625" customWidth="1"/>
    <col min="3090" max="3090" width="12" customWidth="1"/>
    <col min="3091" max="3091" width="14.7890625" customWidth="1"/>
    <col min="3092" max="3092" width="13.734375" customWidth="1"/>
    <col min="3093" max="3093" width="13.7890625" customWidth="1"/>
    <col min="3097" max="3097" width="12.5234375" customWidth="1"/>
    <col min="3098" max="3098" width="13.15625" customWidth="1"/>
    <col min="3325" max="3325" width="4.26171875" customWidth="1"/>
    <col min="3326" max="3326" width="18.26171875" customWidth="1"/>
    <col min="3327" max="3327" width="10.26171875" bestFit="1" customWidth="1"/>
    <col min="3328" max="3328" width="11.47265625" customWidth="1"/>
    <col min="3329" max="3330" width="12.5234375" customWidth="1"/>
    <col min="3331" max="3331" width="10.26171875" bestFit="1" customWidth="1"/>
    <col min="3332" max="3337" width="11.26171875" customWidth="1"/>
    <col min="3338" max="3338" width="12.15625" customWidth="1"/>
    <col min="3339" max="3339" width="4.1015625" customWidth="1"/>
    <col min="3340" max="3340" width="4.7890625" customWidth="1"/>
    <col min="3341" max="3341" width="11.26171875" customWidth="1"/>
    <col min="3342" max="3342" width="12" customWidth="1"/>
    <col min="3343" max="3343" width="12.26171875" customWidth="1"/>
    <col min="3344" max="3344" width="11" customWidth="1"/>
    <col min="3345" max="3345" width="10.7890625" customWidth="1"/>
    <col min="3346" max="3346" width="12" customWidth="1"/>
    <col min="3347" max="3347" width="14.7890625" customWidth="1"/>
    <col min="3348" max="3348" width="13.734375" customWidth="1"/>
    <col min="3349" max="3349" width="13.7890625" customWidth="1"/>
    <col min="3353" max="3353" width="12.5234375" customWidth="1"/>
    <col min="3354" max="3354" width="13.15625" customWidth="1"/>
    <col min="3581" max="3581" width="4.26171875" customWidth="1"/>
    <col min="3582" max="3582" width="18.26171875" customWidth="1"/>
    <col min="3583" max="3583" width="10.26171875" bestFit="1" customWidth="1"/>
    <col min="3584" max="3584" width="11.47265625" customWidth="1"/>
    <col min="3585" max="3586" width="12.5234375" customWidth="1"/>
    <col min="3587" max="3587" width="10.26171875" bestFit="1" customWidth="1"/>
    <col min="3588" max="3593" width="11.26171875" customWidth="1"/>
    <col min="3594" max="3594" width="12.15625" customWidth="1"/>
    <col min="3595" max="3595" width="4.1015625" customWidth="1"/>
    <col min="3596" max="3596" width="4.7890625" customWidth="1"/>
    <col min="3597" max="3597" width="11.26171875" customWidth="1"/>
    <col min="3598" max="3598" width="12" customWidth="1"/>
    <col min="3599" max="3599" width="12.26171875" customWidth="1"/>
    <col min="3600" max="3600" width="11" customWidth="1"/>
    <col min="3601" max="3601" width="10.7890625" customWidth="1"/>
    <col min="3602" max="3602" width="12" customWidth="1"/>
    <col min="3603" max="3603" width="14.7890625" customWidth="1"/>
    <col min="3604" max="3604" width="13.734375" customWidth="1"/>
    <col min="3605" max="3605" width="13.7890625" customWidth="1"/>
    <col min="3609" max="3609" width="12.5234375" customWidth="1"/>
    <col min="3610" max="3610" width="13.15625" customWidth="1"/>
    <col min="3837" max="3837" width="4.26171875" customWidth="1"/>
    <col min="3838" max="3838" width="18.26171875" customWidth="1"/>
    <col min="3839" max="3839" width="10.26171875" bestFit="1" customWidth="1"/>
    <col min="3840" max="3840" width="11.47265625" customWidth="1"/>
    <col min="3841" max="3842" width="12.5234375" customWidth="1"/>
    <col min="3843" max="3843" width="10.26171875" bestFit="1" customWidth="1"/>
    <col min="3844" max="3849" width="11.26171875" customWidth="1"/>
    <col min="3850" max="3850" width="12.15625" customWidth="1"/>
    <col min="3851" max="3851" width="4.1015625" customWidth="1"/>
    <col min="3852" max="3852" width="4.7890625" customWidth="1"/>
    <col min="3853" max="3853" width="11.26171875" customWidth="1"/>
    <col min="3854" max="3854" width="12" customWidth="1"/>
    <col min="3855" max="3855" width="12.26171875" customWidth="1"/>
    <col min="3856" max="3856" width="11" customWidth="1"/>
    <col min="3857" max="3857" width="10.7890625" customWidth="1"/>
    <col min="3858" max="3858" width="12" customWidth="1"/>
    <col min="3859" max="3859" width="14.7890625" customWidth="1"/>
    <col min="3860" max="3860" width="13.734375" customWidth="1"/>
    <col min="3861" max="3861" width="13.7890625" customWidth="1"/>
    <col min="3865" max="3865" width="12.5234375" customWidth="1"/>
    <col min="3866" max="3866" width="13.15625" customWidth="1"/>
    <col min="4093" max="4093" width="4.26171875" customWidth="1"/>
    <col min="4094" max="4094" width="18.26171875" customWidth="1"/>
    <col min="4095" max="4095" width="10.26171875" bestFit="1" customWidth="1"/>
    <col min="4096" max="4096" width="11.47265625" customWidth="1"/>
    <col min="4097" max="4098" width="12.5234375" customWidth="1"/>
    <col min="4099" max="4099" width="10.26171875" bestFit="1" customWidth="1"/>
    <col min="4100" max="4105" width="11.26171875" customWidth="1"/>
    <col min="4106" max="4106" width="12.15625" customWidth="1"/>
    <col min="4107" max="4107" width="4.1015625" customWidth="1"/>
    <col min="4108" max="4108" width="4.7890625" customWidth="1"/>
    <col min="4109" max="4109" width="11.26171875" customWidth="1"/>
    <col min="4110" max="4110" width="12" customWidth="1"/>
    <col min="4111" max="4111" width="12.26171875" customWidth="1"/>
    <col min="4112" max="4112" width="11" customWidth="1"/>
    <col min="4113" max="4113" width="10.7890625" customWidth="1"/>
    <col min="4114" max="4114" width="12" customWidth="1"/>
    <col min="4115" max="4115" width="14.7890625" customWidth="1"/>
    <col min="4116" max="4116" width="13.734375" customWidth="1"/>
    <col min="4117" max="4117" width="13.7890625" customWidth="1"/>
    <col min="4121" max="4121" width="12.5234375" customWidth="1"/>
    <col min="4122" max="4122" width="13.15625" customWidth="1"/>
    <col min="4349" max="4349" width="4.26171875" customWidth="1"/>
    <col min="4350" max="4350" width="18.26171875" customWidth="1"/>
    <col min="4351" max="4351" width="10.26171875" bestFit="1" customWidth="1"/>
    <col min="4352" max="4352" width="11.47265625" customWidth="1"/>
    <col min="4353" max="4354" width="12.5234375" customWidth="1"/>
    <col min="4355" max="4355" width="10.26171875" bestFit="1" customWidth="1"/>
    <col min="4356" max="4361" width="11.26171875" customWidth="1"/>
    <col min="4362" max="4362" width="12.15625" customWidth="1"/>
    <col min="4363" max="4363" width="4.1015625" customWidth="1"/>
    <col min="4364" max="4364" width="4.7890625" customWidth="1"/>
    <col min="4365" max="4365" width="11.26171875" customWidth="1"/>
    <col min="4366" max="4366" width="12" customWidth="1"/>
    <col min="4367" max="4367" width="12.26171875" customWidth="1"/>
    <col min="4368" max="4368" width="11" customWidth="1"/>
    <col min="4369" max="4369" width="10.7890625" customWidth="1"/>
    <col min="4370" max="4370" width="12" customWidth="1"/>
    <col min="4371" max="4371" width="14.7890625" customWidth="1"/>
    <col min="4372" max="4372" width="13.734375" customWidth="1"/>
    <col min="4373" max="4373" width="13.7890625" customWidth="1"/>
    <col min="4377" max="4377" width="12.5234375" customWidth="1"/>
    <col min="4378" max="4378" width="13.15625" customWidth="1"/>
    <col min="4605" max="4605" width="4.26171875" customWidth="1"/>
    <col min="4606" max="4606" width="18.26171875" customWidth="1"/>
    <col min="4607" max="4607" width="10.26171875" bestFit="1" customWidth="1"/>
    <col min="4608" max="4608" width="11.47265625" customWidth="1"/>
    <col min="4609" max="4610" width="12.5234375" customWidth="1"/>
    <col min="4611" max="4611" width="10.26171875" bestFit="1" customWidth="1"/>
    <col min="4612" max="4617" width="11.26171875" customWidth="1"/>
    <col min="4618" max="4618" width="12.15625" customWidth="1"/>
    <col min="4619" max="4619" width="4.1015625" customWidth="1"/>
    <col min="4620" max="4620" width="4.7890625" customWidth="1"/>
    <col min="4621" max="4621" width="11.26171875" customWidth="1"/>
    <col min="4622" max="4622" width="12" customWidth="1"/>
    <col min="4623" max="4623" width="12.26171875" customWidth="1"/>
    <col min="4624" max="4624" width="11" customWidth="1"/>
    <col min="4625" max="4625" width="10.7890625" customWidth="1"/>
    <col min="4626" max="4626" width="12" customWidth="1"/>
    <col min="4627" max="4627" width="14.7890625" customWidth="1"/>
    <col min="4628" max="4628" width="13.734375" customWidth="1"/>
    <col min="4629" max="4629" width="13.7890625" customWidth="1"/>
    <col min="4633" max="4633" width="12.5234375" customWidth="1"/>
    <col min="4634" max="4634" width="13.15625" customWidth="1"/>
    <col min="4861" max="4861" width="4.26171875" customWidth="1"/>
    <col min="4862" max="4862" width="18.26171875" customWidth="1"/>
    <col min="4863" max="4863" width="10.26171875" bestFit="1" customWidth="1"/>
    <col min="4864" max="4864" width="11.47265625" customWidth="1"/>
    <col min="4865" max="4866" width="12.5234375" customWidth="1"/>
    <col min="4867" max="4867" width="10.26171875" bestFit="1" customWidth="1"/>
    <col min="4868" max="4873" width="11.26171875" customWidth="1"/>
    <col min="4874" max="4874" width="12.15625" customWidth="1"/>
    <col min="4875" max="4875" width="4.1015625" customWidth="1"/>
    <col min="4876" max="4876" width="4.7890625" customWidth="1"/>
    <col min="4877" max="4877" width="11.26171875" customWidth="1"/>
    <col min="4878" max="4878" width="12" customWidth="1"/>
    <col min="4879" max="4879" width="12.26171875" customWidth="1"/>
    <col min="4880" max="4880" width="11" customWidth="1"/>
    <col min="4881" max="4881" width="10.7890625" customWidth="1"/>
    <col min="4882" max="4882" width="12" customWidth="1"/>
    <col min="4883" max="4883" width="14.7890625" customWidth="1"/>
    <col min="4884" max="4884" width="13.734375" customWidth="1"/>
    <col min="4885" max="4885" width="13.7890625" customWidth="1"/>
    <col min="4889" max="4889" width="12.5234375" customWidth="1"/>
    <col min="4890" max="4890" width="13.15625" customWidth="1"/>
    <col min="5117" max="5117" width="4.26171875" customWidth="1"/>
    <col min="5118" max="5118" width="18.26171875" customWidth="1"/>
    <col min="5119" max="5119" width="10.26171875" bestFit="1" customWidth="1"/>
    <col min="5120" max="5120" width="11.47265625" customWidth="1"/>
    <col min="5121" max="5122" width="12.5234375" customWidth="1"/>
    <col min="5123" max="5123" width="10.26171875" bestFit="1" customWidth="1"/>
    <col min="5124" max="5129" width="11.26171875" customWidth="1"/>
    <col min="5130" max="5130" width="12.15625" customWidth="1"/>
    <col min="5131" max="5131" width="4.1015625" customWidth="1"/>
    <col min="5132" max="5132" width="4.7890625" customWidth="1"/>
    <col min="5133" max="5133" width="11.26171875" customWidth="1"/>
    <col min="5134" max="5134" width="12" customWidth="1"/>
    <col min="5135" max="5135" width="12.26171875" customWidth="1"/>
    <col min="5136" max="5136" width="11" customWidth="1"/>
    <col min="5137" max="5137" width="10.7890625" customWidth="1"/>
    <col min="5138" max="5138" width="12" customWidth="1"/>
    <col min="5139" max="5139" width="14.7890625" customWidth="1"/>
    <col min="5140" max="5140" width="13.734375" customWidth="1"/>
    <col min="5141" max="5141" width="13.7890625" customWidth="1"/>
    <col min="5145" max="5145" width="12.5234375" customWidth="1"/>
    <col min="5146" max="5146" width="13.15625" customWidth="1"/>
    <col min="5373" max="5373" width="4.26171875" customWidth="1"/>
    <col min="5374" max="5374" width="18.26171875" customWidth="1"/>
    <col min="5375" max="5375" width="10.26171875" bestFit="1" customWidth="1"/>
    <col min="5376" max="5376" width="11.47265625" customWidth="1"/>
    <col min="5377" max="5378" width="12.5234375" customWidth="1"/>
    <col min="5379" max="5379" width="10.26171875" bestFit="1" customWidth="1"/>
    <col min="5380" max="5385" width="11.26171875" customWidth="1"/>
    <col min="5386" max="5386" width="12.15625" customWidth="1"/>
    <col min="5387" max="5387" width="4.1015625" customWidth="1"/>
    <col min="5388" max="5388" width="4.7890625" customWidth="1"/>
    <col min="5389" max="5389" width="11.26171875" customWidth="1"/>
    <col min="5390" max="5390" width="12" customWidth="1"/>
    <col min="5391" max="5391" width="12.26171875" customWidth="1"/>
    <col min="5392" max="5392" width="11" customWidth="1"/>
    <col min="5393" max="5393" width="10.7890625" customWidth="1"/>
    <col min="5394" max="5394" width="12" customWidth="1"/>
    <col min="5395" max="5395" width="14.7890625" customWidth="1"/>
    <col min="5396" max="5396" width="13.734375" customWidth="1"/>
    <col min="5397" max="5397" width="13.7890625" customWidth="1"/>
    <col min="5401" max="5401" width="12.5234375" customWidth="1"/>
    <col min="5402" max="5402" width="13.15625" customWidth="1"/>
    <col min="5629" max="5629" width="4.26171875" customWidth="1"/>
    <col min="5630" max="5630" width="18.26171875" customWidth="1"/>
    <col min="5631" max="5631" width="10.26171875" bestFit="1" customWidth="1"/>
    <col min="5632" max="5632" width="11.47265625" customWidth="1"/>
    <col min="5633" max="5634" width="12.5234375" customWidth="1"/>
    <col min="5635" max="5635" width="10.26171875" bestFit="1" customWidth="1"/>
    <col min="5636" max="5641" width="11.26171875" customWidth="1"/>
    <col min="5642" max="5642" width="12.15625" customWidth="1"/>
    <col min="5643" max="5643" width="4.1015625" customWidth="1"/>
    <col min="5644" max="5644" width="4.7890625" customWidth="1"/>
    <col min="5645" max="5645" width="11.26171875" customWidth="1"/>
    <col min="5646" max="5646" width="12" customWidth="1"/>
    <col min="5647" max="5647" width="12.26171875" customWidth="1"/>
    <col min="5648" max="5648" width="11" customWidth="1"/>
    <col min="5649" max="5649" width="10.7890625" customWidth="1"/>
    <col min="5650" max="5650" width="12" customWidth="1"/>
    <col min="5651" max="5651" width="14.7890625" customWidth="1"/>
    <col min="5652" max="5652" width="13.734375" customWidth="1"/>
    <col min="5653" max="5653" width="13.7890625" customWidth="1"/>
    <col min="5657" max="5657" width="12.5234375" customWidth="1"/>
    <col min="5658" max="5658" width="13.15625" customWidth="1"/>
    <col min="5885" max="5885" width="4.26171875" customWidth="1"/>
    <col min="5886" max="5886" width="18.26171875" customWidth="1"/>
    <col min="5887" max="5887" width="10.26171875" bestFit="1" customWidth="1"/>
    <col min="5888" max="5888" width="11.47265625" customWidth="1"/>
    <col min="5889" max="5890" width="12.5234375" customWidth="1"/>
    <col min="5891" max="5891" width="10.26171875" bestFit="1" customWidth="1"/>
    <col min="5892" max="5897" width="11.26171875" customWidth="1"/>
    <col min="5898" max="5898" width="12.15625" customWidth="1"/>
    <col min="5899" max="5899" width="4.1015625" customWidth="1"/>
    <col min="5900" max="5900" width="4.7890625" customWidth="1"/>
    <col min="5901" max="5901" width="11.26171875" customWidth="1"/>
    <col min="5902" max="5902" width="12" customWidth="1"/>
    <col min="5903" max="5903" width="12.26171875" customWidth="1"/>
    <col min="5904" max="5904" width="11" customWidth="1"/>
    <col min="5905" max="5905" width="10.7890625" customWidth="1"/>
    <col min="5906" max="5906" width="12" customWidth="1"/>
    <col min="5907" max="5907" width="14.7890625" customWidth="1"/>
    <col min="5908" max="5908" width="13.734375" customWidth="1"/>
    <col min="5909" max="5909" width="13.7890625" customWidth="1"/>
    <col min="5913" max="5913" width="12.5234375" customWidth="1"/>
    <col min="5914" max="5914" width="13.15625" customWidth="1"/>
    <col min="6141" max="6141" width="4.26171875" customWidth="1"/>
    <col min="6142" max="6142" width="18.26171875" customWidth="1"/>
    <col min="6143" max="6143" width="10.26171875" bestFit="1" customWidth="1"/>
    <col min="6144" max="6144" width="11.47265625" customWidth="1"/>
    <col min="6145" max="6146" width="12.5234375" customWidth="1"/>
    <col min="6147" max="6147" width="10.26171875" bestFit="1" customWidth="1"/>
    <col min="6148" max="6153" width="11.26171875" customWidth="1"/>
    <col min="6154" max="6154" width="12.15625" customWidth="1"/>
    <col min="6155" max="6155" width="4.1015625" customWidth="1"/>
    <col min="6156" max="6156" width="4.7890625" customWidth="1"/>
    <col min="6157" max="6157" width="11.26171875" customWidth="1"/>
    <col min="6158" max="6158" width="12" customWidth="1"/>
    <col min="6159" max="6159" width="12.26171875" customWidth="1"/>
    <col min="6160" max="6160" width="11" customWidth="1"/>
    <col min="6161" max="6161" width="10.7890625" customWidth="1"/>
    <col min="6162" max="6162" width="12" customWidth="1"/>
    <col min="6163" max="6163" width="14.7890625" customWidth="1"/>
    <col min="6164" max="6164" width="13.734375" customWidth="1"/>
    <col min="6165" max="6165" width="13.7890625" customWidth="1"/>
    <col min="6169" max="6169" width="12.5234375" customWidth="1"/>
    <col min="6170" max="6170" width="13.15625" customWidth="1"/>
    <col min="6397" max="6397" width="4.26171875" customWidth="1"/>
    <col min="6398" max="6398" width="18.26171875" customWidth="1"/>
    <col min="6399" max="6399" width="10.26171875" bestFit="1" customWidth="1"/>
    <col min="6400" max="6400" width="11.47265625" customWidth="1"/>
    <col min="6401" max="6402" width="12.5234375" customWidth="1"/>
    <col min="6403" max="6403" width="10.26171875" bestFit="1" customWidth="1"/>
    <col min="6404" max="6409" width="11.26171875" customWidth="1"/>
    <col min="6410" max="6410" width="12.15625" customWidth="1"/>
    <col min="6411" max="6411" width="4.1015625" customWidth="1"/>
    <col min="6412" max="6412" width="4.7890625" customWidth="1"/>
    <col min="6413" max="6413" width="11.26171875" customWidth="1"/>
    <col min="6414" max="6414" width="12" customWidth="1"/>
    <col min="6415" max="6415" width="12.26171875" customWidth="1"/>
    <col min="6416" max="6416" width="11" customWidth="1"/>
    <col min="6417" max="6417" width="10.7890625" customWidth="1"/>
    <col min="6418" max="6418" width="12" customWidth="1"/>
    <col min="6419" max="6419" width="14.7890625" customWidth="1"/>
    <col min="6420" max="6420" width="13.734375" customWidth="1"/>
    <col min="6421" max="6421" width="13.7890625" customWidth="1"/>
    <col min="6425" max="6425" width="12.5234375" customWidth="1"/>
    <col min="6426" max="6426" width="13.15625" customWidth="1"/>
    <col min="6653" max="6653" width="4.26171875" customWidth="1"/>
    <col min="6654" max="6654" width="18.26171875" customWidth="1"/>
    <col min="6655" max="6655" width="10.26171875" bestFit="1" customWidth="1"/>
    <col min="6656" max="6656" width="11.47265625" customWidth="1"/>
    <col min="6657" max="6658" width="12.5234375" customWidth="1"/>
    <col min="6659" max="6659" width="10.26171875" bestFit="1" customWidth="1"/>
    <col min="6660" max="6665" width="11.26171875" customWidth="1"/>
    <col min="6666" max="6666" width="12.15625" customWidth="1"/>
    <col min="6667" max="6667" width="4.1015625" customWidth="1"/>
    <col min="6668" max="6668" width="4.7890625" customWidth="1"/>
    <col min="6669" max="6669" width="11.26171875" customWidth="1"/>
    <col min="6670" max="6670" width="12" customWidth="1"/>
    <col min="6671" max="6671" width="12.26171875" customWidth="1"/>
    <col min="6672" max="6672" width="11" customWidth="1"/>
    <col min="6673" max="6673" width="10.7890625" customWidth="1"/>
    <col min="6674" max="6674" width="12" customWidth="1"/>
    <col min="6675" max="6675" width="14.7890625" customWidth="1"/>
    <col min="6676" max="6676" width="13.734375" customWidth="1"/>
    <col min="6677" max="6677" width="13.7890625" customWidth="1"/>
    <col min="6681" max="6681" width="12.5234375" customWidth="1"/>
    <col min="6682" max="6682" width="13.15625" customWidth="1"/>
    <col min="6909" max="6909" width="4.26171875" customWidth="1"/>
    <col min="6910" max="6910" width="18.26171875" customWidth="1"/>
    <col min="6911" max="6911" width="10.26171875" bestFit="1" customWidth="1"/>
    <col min="6912" max="6912" width="11.47265625" customWidth="1"/>
    <col min="6913" max="6914" width="12.5234375" customWidth="1"/>
    <col min="6915" max="6915" width="10.26171875" bestFit="1" customWidth="1"/>
    <col min="6916" max="6921" width="11.26171875" customWidth="1"/>
    <col min="6922" max="6922" width="12.15625" customWidth="1"/>
    <col min="6923" max="6923" width="4.1015625" customWidth="1"/>
    <col min="6924" max="6924" width="4.7890625" customWidth="1"/>
    <col min="6925" max="6925" width="11.26171875" customWidth="1"/>
    <col min="6926" max="6926" width="12" customWidth="1"/>
    <col min="6927" max="6927" width="12.26171875" customWidth="1"/>
    <col min="6928" max="6928" width="11" customWidth="1"/>
    <col min="6929" max="6929" width="10.7890625" customWidth="1"/>
    <col min="6930" max="6930" width="12" customWidth="1"/>
    <col min="6931" max="6931" width="14.7890625" customWidth="1"/>
    <col min="6932" max="6932" width="13.734375" customWidth="1"/>
    <col min="6933" max="6933" width="13.7890625" customWidth="1"/>
    <col min="6937" max="6937" width="12.5234375" customWidth="1"/>
    <col min="6938" max="6938" width="13.15625" customWidth="1"/>
    <col min="7165" max="7165" width="4.26171875" customWidth="1"/>
    <col min="7166" max="7166" width="18.26171875" customWidth="1"/>
    <col min="7167" max="7167" width="10.26171875" bestFit="1" customWidth="1"/>
    <col min="7168" max="7168" width="11.47265625" customWidth="1"/>
    <col min="7169" max="7170" width="12.5234375" customWidth="1"/>
    <col min="7171" max="7171" width="10.26171875" bestFit="1" customWidth="1"/>
    <col min="7172" max="7177" width="11.26171875" customWidth="1"/>
    <col min="7178" max="7178" width="12.15625" customWidth="1"/>
    <col min="7179" max="7179" width="4.1015625" customWidth="1"/>
    <col min="7180" max="7180" width="4.7890625" customWidth="1"/>
    <col min="7181" max="7181" width="11.26171875" customWidth="1"/>
    <col min="7182" max="7182" width="12" customWidth="1"/>
    <col min="7183" max="7183" width="12.26171875" customWidth="1"/>
    <col min="7184" max="7184" width="11" customWidth="1"/>
    <col min="7185" max="7185" width="10.7890625" customWidth="1"/>
    <col min="7186" max="7186" width="12" customWidth="1"/>
    <col min="7187" max="7187" width="14.7890625" customWidth="1"/>
    <col min="7188" max="7188" width="13.734375" customWidth="1"/>
    <col min="7189" max="7189" width="13.7890625" customWidth="1"/>
    <col min="7193" max="7193" width="12.5234375" customWidth="1"/>
    <col min="7194" max="7194" width="13.15625" customWidth="1"/>
    <col min="7421" max="7421" width="4.26171875" customWidth="1"/>
    <col min="7422" max="7422" width="18.26171875" customWidth="1"/>
    <col min="7423" max="7423" width="10.26171875" bestFit="1" customWidth="1"/>
    <col min="7424" max="7424" width="11.47265625" customWidth="1"/>
    <col min="7425" max="7426" width="12.5234375" customWidth="1"/>
    <col min="7427" max="7427" width="10.26171875" bestFit="1" customWidth="1"/>
    <col min="7428" max="7433" width="11.26171875" customWidth="1"/>
    <col min="7434" max="7434" width="12.15625" customWidth="1"/>
    <col min="7435" max="7435" width="4.1015625" customWidth="1"/>
    <col min="7436" max="7436" width="4.7890625" customWidth="1"/>
    <col min="7437" max="7437" width="11.26171875" customWidth="1"/>
    <col min="7438" max="7438" width="12" customWidth="1"/>
    <col min="7439" max="7439" width="12.26171875" customWidth="1"/>
    <col min="7440" max="7440" width="11" customWidth="1"/>
    <col min="7441" max="7441" width="10.7890625" customWidth="1"/>
    <col min="7442" max="7442" width="12" customWidth="1"/>
    <col min="7443" max="7443" width="14.7890625" customWidth="1"/>
    <col min="7444" max="7444" width="13.734375" customWidth="1"/>
    <col min="7445" max="7445" width="13.7890625" customWidth="1"/>
    <col min="7449" max="7449" width="12.5234375" customWidth="1"/>
    <col min="7450" max="7450" width="13.15625" customWidth="1"/>
    <col min="7677" max="7677" width="4.26171875" customWidth="1"/>
    <col min="7678" max="7678" width="18.26171875" customWidth="1"/>
    <col min="7679" max="7679" width="10.26171875" bestFit="1" customWidth="1"/>
    <col min="7680" max="7680" width="11.47265625" customWidth="1"/>
    <col min="7681" max="7682" width="12.5234375" customWidth="1"/>
    <col min="7683" max="7683" width="10.26171875" bestFit="1" customWidth="1"/>
    <col min="7684" max="7689" width="11.26171875" customWidth="1"/>
    <col min="7690" max="7690" width="12.15625" customWidth="1"/>
    <col min="7691" max="7691" width="4.1015625" customWidth="1"/>
    <col min="7692" max="7692" width="4.7890625" customWidth="1"/>
    <col min="7693" max="7693" width="11.26171875" customWidth="1"/>
    <col min="7694" max="7694" width="12" customWidth="1"/>
    <col min="7695" max="7695" width="12.26171875" customWidth="1"/>
    <col min="7696" max="7696" width="11" customWidth="1"/>
    <col min="7697" max="7697" width="10.7890625" customWidth="1"/>
    <col min="7698" max="7698" width="12" customWidth="1"/>
    <col min="7699" max="7699" width="14.7890625" customWidth="1"/>
    <col min="7700" max="7700" width="13.734375" customWidth="1"/>
    <col min="7701" max="7701" width="13.7890625" customWidth="1"/>
    <col min="7705" max="7705" width="12.5234375" customWidth="1"/>
    <col min="7706" max="7706" width="13.15625" customWidth="1"/>
    <col min="7933" max="7933" width="4.26171875" customWidth="1"/>
    <col min="7934" max="7934" width="18.26171875" customWidth="1"/>
    <col min="7935" max="7935" width="10.26171875" bestFit="1" customWidth="1"/>
    <col min="7936" max="7936" width="11.47265625" customWidth="1"/>
    <col min="7937" max="7938" width="12.5234375" customWidth="1"/>
    <col min="7939" max="7939" width="10.26171875" bestFit="1" customWidth="1"/>
    <col min="7940" max="7945" width="11.26171875" customWidth="1"/>
    <col min="7946" max="7946" width="12.15625" customWidth="1"/>
    <col min="7947" max="7947" width="4.1015625" customWidth="1"/>
    <col min="7948" max="7948" width="4.7890625" customWidth="1"/>
    <col min="7949" max="7949" width="11.26171875" customWidth="1"/>
    <col min="7950" max="7950" width="12" customWidth="1"/>
    <col min="7951" max="7951" width="12.26171875" customWidth="1"/>
    <col min="7952" max="7952" width="11" customWidth="1"/>
    <col min="7953" max="7953" width="10.7890625" customWidth="1"/>
    <col min="7954" max="7954" width="12" customWidth="1"/>
    <col min="7955" max="7955" width="14.7890625" customWidth="1"/>
    <col min="7956" max="7956" width="13.734375" customWidth="1"/>
    <col min="7957" max="7957" width="13.7890625" customWidth="1"/>
    <col min="7961" max="7961" width="12.5234375" customWidth="1"/>
    <col min="7962" max="7962" width="13.15625" customWidth="1"/>
    <col min="8189" max="8189" width="4.26171875" customWidth="1"/>
    <col min="8190" max="8190" width="18.26171875" customWidth="1"/>
    <col min="8191" max="8191" width="10.26171875" bestFit="1" customWidth="1"/>
    <col min="8192" max="8192" width="11.47265625" customWidth="1"/>
    <col min="8193" max="8194" width="12.5234375" customWidth="1"/>
    <col min="8195" max="8195" width="10.26171875" bestFit="1" customWidth="1"/>
    <col min="8196" max="8201" width="11.26171875" customWidth="1"/>
    <col min="8202" max="8202" width="12.15625" customWidth="1"/>
    <col min="8203" max="8203" width="4.1015625" customWidth="1"/>
    <col min="8204" max="8204" width="4.7890625" customWidth="1"/>
    <col min="8205" max="8205" width="11.26171875" customWidth="1"/>
    <col min="8206" max="8206" width="12" customWidth="1"/>
    <col min="8207" max="8207" width="12.26171875" customWidth="1"/>
    <col min="8208" max="8208" width="11" customWidth="1"/>
    <col min="8209" max="8209" width="10.7890625" customWidth="1"/>
    <col min="8210" max="8210" width="12" customWidth="1"/>
    <col min="8211" max="8211" width="14.7890625" customWidth="1"/>
    <col min="8212" max="8212" width="13.734375" customWidth="1"/>
    <col min="8213" max="8213" width="13.7890625" customWidth="1"/>
    <col min="8217" max="8217" width="12.5234375" customWidth="1"/>
    <col min="8218" max="8218" width="13.15625" customWidth="1"/>
    <col min="8445" max="8445" width="4.26171875" customWidth="1"/>
    <col min="8446" max="8446" width="18.26171875" customWidth="1"/>
    <col min="8447" max="8447" width="10.26171875" bestFit="1" customWidth="1"/>
    <col min="8448" max="8448" width="11.47265625" customWidth="1"/>
    <col min="8449" max="8450" width="12.5234375" customWidth="1"/>
    <col min="8451" max="8451" width="10.26171875" bestFit="1" customWidth="1"/>
    <col min="8452" max="8457" width="11.26171875" customWidth="1"/>
    <col min="8458" max="8458" width="12.15625" customWidth="1"/>
    <col min="8459" max="8459" width="4.1015625" customWidth="1"/>
    <col min="8460" max="8460" width="4.7890625" customWidth="1"/>
    <col min="8461" max="8461" width="11.26171875" customWidth="1"/>
    <col min="8462" max="8462" width="12" customWidth="1"/>
    <col min="8463" max="8463" width="12.26171875" customWidth="1"/>
    <col min="8464" max="8464" width="11" customWidth="1"/>
    <col min="8465" max="8465" width="10.7890625" customWidth="1"/>
    <col min="8466" max="8466" width="12" customWidth="1"/>
    <col min="8467" max="8467" width="14.7890625" customWidth="1"/>
    <col min="8468" max="8468" width="13.734375" customWidth="1"/>
    <col min="8469" max="8469" width="13.7890625" customWidth="1"/>
    <col min="8473" max="8473" width="12.5234375" customWidth="1"/>
    <col min="8474" max="8474" width="13.15625" customWidth="1"/>
    <col min="8701" max="8701" width="4.26171875" customWidth="1"/>
    <col min="8702" max="8702" width="18.26171875" customWidth="1"/>
    <col min="8703" max="8703" width="10.26171875" bestFit="1" customWidth="1"/>
    <col min="8704" max="8704" width="11.47265625" customWidth="1"/>
    <col min="8705" max="8706" width="12.5234375" customWidth="1"/>
    <col min="8707" max="8707" width="10.26171875" bestFit="1" customWidth="1"/>
    <col min="8708" max="8713" width="11.26171875" customWidth="1"/>
    <col min="8714" max="8714" width="12.15625" customWidth="1"/>
    <col min="8715" max="8715" width="4.1015625" customWidth="1"/>
    <col min="8716" max="8716" width="4.7890625" customWidth="1"/>
    <col min="8717" max="8717" width="11.26171875" customWidth="1"/>
    <col min="8718" max="8718" width="12" customWidth="1"/>
    <col min="8719" max="8719" width="12.26171875" customWidth="1"/>
    <col min="8720" max="8720" width="11" customWidth="1"/>
    <col min="8721" max="8721" width="10.7890625" customWidth="1"/>
    <col min="8722" max="8722" width="12" customWidth="1"/>
    <col min="8723" max="8723" width="14.7890625" customWidth="1"/>
    <col min="8724" max="8724" width="13.734375" customWidth="1"/>
    <col min="8725" max="8725" width="13.7890625" customWidth="1"/>
    <col min="8729" max="8729" width="12.5234375" customWidth="1"/>
    <col min="8730" max="8730" width="13.15625" customWidth="1"/>
    <col min="8957" max="8957" width="4.26171875" customWidth="1"/>
    <col min="8958" max="8958" width="18.26171875" customWidth="1"/>
    <col min="8959" max="8959" width="10.26171875" bestFit="1" customWidth="1"/>
    <col min="8960" max="8960" width="11.47265625" customWidth="1"/>
    <col min="8961" max="8962" width="12.5234375" customWidth="1"/>
    <col min="8963" max="8963" width="10.26171875" bestFit="1" customWidth="1"/>
    <col min="8964" max="8969" width="11.26171875" customWidth="1"/>
    <col min="8970" max="8970" width="12.15625" customWidth="1"/>
    <col min="8971" max="8971" width="4.1015625" customWidth="1"/>
    <col min="8972" max="8972" width="4.7890625" customWidth="1"/>
    <col min="8973" max="8973" width="11.26171875" customWidth="1"/>
    <col min="8974" max="8974" width="12" customWidth="1"/>
    <col min="8975" max="8975" width="12.26171875" customWidth="1"/>
    <col min="8976" max="8976" width="11" customWidth="1"/>
    <col min="8977" max="8977" width="10.7890625" customWidth="1"/>
    <col min="8978" max="8978" width="12" customWidth="1"/>
    <col min="8979" max="8979" width="14.7890625" customWidth="1"/>
    <col min="8980" max="8980" width="13.734375" customWidth="1"/>
    <col min="8981" max="8981" width="13.7890625" customWidth="1"/>
    <col min="8985" max="8985" width="12.5234375" customWidth="1"/>
    <col min="8986" max="8986" width="13.15625" customWidth="1"/>
    <col min="9213" max="9213" width="4.26171875" customWidth="1"/>
    <col min="9214" max="9214" width="18.26171875" customWidth="1"/>
    <col min="9215" max="9215" width="10.26171875" bestFit="1" customWidth="1"/>
    <col min="9216" max="9216" width="11.47265625" customWidth="1"/>
    <col min="9217" max="9218" width="12.5234375" customWidth="1"/>
    <col min="9219" max="9219" width="10.26171875" bestFit="1" customWidth="1"/>
    <col min="9220" max="9225" width="11.26171875" customWidth="1"/>
    <col min="9226" max="9226" width="12.15625" customWidth="1"/>
    <col min="9227" max="9227" width="4.1015625" customWidth="1"/>
    <col min="9228" max="9228" width="4.7890625" customWidth="1"/>
    <col min="9229" max="9229" width="11.26171875" customWidth="1"/>
    <col min="9230" max="9230" width="12" customWidth="1"/>
    <col min="9231" max="9231" width="12.26171875" customWidth="1"/>
    <col min="9232" max="9232" width="11" customWidth="1"/>
    <col min="9233" max="9233" width="10.7890625" customWidth="1"/>
    <col min="9234" max="9234" width="12" customWidth="1"/>
    <col min="9235" max="9235" width="14.7890625" customWidth="1"/>
    <col min="9236" max="9236" width="13.734375" customWidth="1"/>
    <col min="9237" max="9237" width="13.7890625" customWidth="1"/>
    <col min="9241" max="9241" width="12.5234375" customWidth="1"/>
    <col min="9242" max="9242" width="13.15625" customWidth="1"/>
    <col min="9469" max="9469" width="4.26171875" customWidth="1"/>
    <col min="9470" max="9470" width="18.26171875" customWidth="1"/>
    <col min="9471" max="9471" width="10.26171875" bestFit="1" customWidth="1"/>
    <col min="9472" max="9472" width="11.47265625" customWidth="1"/>
    <col min="9473" max="9474" width="12.5234375" customWidth="1"/>
    <col min="9475" max="9475" width="10.26171875" bestFit="1" customWidth="1"/>
    <col min="9476" max="9481" width="11.26171875" customWidth="1"/>
    <col min="9482" max="9482" width="12.15625" customWidth="1"/>
    <col min="9483" max="9483" width="4.1015625" customWidth="1"/>
    <col min="9484" max="9484" width="4.7890625" customWidth="1"/>
    <col min="9485" max="9485" width="11.26171875" customWidth="1"/>
    <col min="9486" max="9486" width="12" customWidth="1"/>
    <col min="9487" max="9487" width="12.26171875" customWidth="1"/>
    <col min="9488" max="9488" width="11" customWidth="1"/>
    <col min="9489" max="9489" width="10.7890625" customWidth="1"/>
    <col min="9490" max="9490" width="12" customWidth="1"/>
    <col min="9491" max="9491" width="14.7890625" customWidth="1"/>
    <col min="9492" max="9492" width="13.734375" customWidth="1"/>
    <col min="9493" max="9493" width="13.7890625" customWidth="1"/>
    <col min="9497" max="9497" width="12.5234375" customWidth="1"/>
    <col min="9498" max="9498" width="13.15625" customWidth="1"/>
    <col min="9725" max="9725" width="4.26171875" customWidth="1"/>
    <col min="9726" max="9726" width="18.26171875" customWidth="1"/>
    <col min="9727" max="9727" width="10.26171875" bestFit="1" customWidth="1"/>
    <col min="9728" max="9728" width="11.47265625" customWidth="1"/>
    <col min="9729" max="9730" width="12.5234375" customWidth="1"/>
    <col min="9731" max="9731" width="10.26171875" bestFit="1" customWidth="1"/>
    <col min="9732" max="9737" width="11.26171875" customWidth="1"/>
    <col min="9738" max="9738" width="12.15625" customWidth="1"/>
    <col min="9739" max="9739" width="4.1015625" customWidth="1"/>
    <col min="9740" max="9740" width="4.7890625" customWidth="1"/>
    <col min="9741" max="9741" width="11.26171875" customWidth="1"/>
    <col min="9742" max="9742" width="12" customWidth="1"/>
    <col min="9743" max="9743" width="12.26171875" customWidth="1"/>
    <col min="9744" max="9744" width="11" customWidth="1"/>
    <col min="9745" max="9745" width="10.7890625" customWidth="1"/>
    <col min="9746" max="9746" width="12" customWidth="1"/>
    <col min="9747" max="9747" width="14.7890625" customWidth="1"/>
    <col min="9748" max="9748" width="13.734375" customWidth="1"/>
    <col min="9749" max="9749" width="13.7890625" customWidth="1"/>
    <col min="9753" max="9753" width="12.5234375" customWidth="1"/>
    <col min="9754" max="9754" width="13.15625" customWidth="1"/>
    <col min="9981" max="9981" width="4.26171875" customWidth="1"/>
    <col min="9982" max="9982" width="18.26171875" customWidth="1"/>
    <col min="9983" max="9983" width="10.26171875" bestFit="1" customWidth="1"/>
    <col min="9984" max="9984" width="11.47265625" customWidth="1"/>
    <col min="9985" max="9986" width="12.5234375" customWidth="1"/>
    <col min="9987" max="9987" width="10.26171875" bestFit="1" customWidth="1"/>
    <col min="9988" max="9993" width="11.26171875" customWidth="1"/>
    <col min="9994" max="9994" width="12.15625" customWidth="1"/>
    <col min="9995" max="9995" width="4.1015625" customWidth="1"/>
    <col min="9996" max="9996" width="4.7890625" customWidth="1"/>
    <col min="9997" max="9997" width="11.26171875" customWidth="1"/>
    <col min="9998" max="9998" width="12" customWidth="1"/>
    <col min="9999" max="9999" width="12.26171875" customWidth="1"/>
    <col min="10000" max="10000" width="11" customWidth="1"/>
    <col min="10001" max="10001" width="10.7890625" customWidth="1"/>
    <col min="10002" max="10002" width="12" customWidth="1"/>
    <col min="10003" max="10003" width="14.7890625" customWidth="1"/>
    <col min="10004" max="10004" width="13.734375" customWidth="1"/>
    <col min="10005" max="10005" width="13.7890625" customWidth="1"/>
    <col min="10009" max="10009" width="12.5234375" customWidth="1"/>
    <col min="10010" max="10010" width="13.15625" customWidth="1"/>
    <col min="10237" max="10237" width="4.26171875" customWidth="1"/>
    <col min="10238" max="10238" width="18.26171875" customWidth="1"/>
    <col min="10239" max="10239" width="10.26171875" bestFit="1" customWidth="1"/>
    <col min="10240" max="10240" width="11.47265625" customWidth="1"/>
    <col min="10241" max="10242" width="12.5234375" customWidth="1"/>
    <col min="10243" max="10243" width="10.26171875" bestFit="1" customWidth="1"/>
    <col min="10244" max="10249" width="11.26171875" customWidth="1"/>
    <col min="10250" max="10250" width="12.15625" customWidth="1"/>
    <col min="10251" max="10251" width="4.1015625" customWidth="1"/>
    <col min="10252" max="10252" width="4.7890625" customWidth="1"/>
    <col min="10253" max="10253" width="11.26171875" customWidth="1"/>
    <col min="10254" max="10254" width="12" customWidth="1"/>
    <col min="10255" max="10255" width="12.26171875" customWidth="1"/>
    <col min="10256" max="10256" width="11" customWidth="1"/>
    <col min="10257" max="10257" width="10.7890625" customWidth="1"/>
    <col min="10258" max="10258" width="12" customWidth="1"/>
    <col min="10259" max="10259" width="14.7890625" customWidth="1"/>
    <col min="10260" max="10260" width="13.734375" customWidth="1"/>
    <col min="10261" max="10261" width="13.7890625" customWidth="1"/>
    <col min="10265" max="10265" width="12.5234375" customWidth="1"/>
    <col min="10266" max="10266" width="13.15625" customWidth="1"/>
    <col min="10493" max="10493" width="4.26171875" customWidth="1"/>
    <col min="10494" max="10494" width="18.26171875" customWidth="1"/>
    <col min="10495" max="10495" width="10.26171875" bestFit="1" customWidth="1"/>
    <col min="10496" max="10496" width="11.47265625" customWidth="1"/>
    <col min="10497" max="10498" width="12.5234375" customWidth="1"/>
    <col min="10499" max="10499" width="10.26171875" bestFit="1" customWidth="1"/>
    <col min="10500" max="10505" width="11.26171875" customWidth="1"/>
    <col min="10506" max="10506" width="12.15625" customWidth="1"/>
    <col min="10507" max="10507" width="4.1015625" customWidth="1"/>
    <col min="10508" max="10508" width="4.7890625" customWidth="1"/>
    <col min="10509" max="10509" width="11.26171875" customWidth="1"/>
    <col min="10510" max="10510" width="12" customWidth="1"/>
    <col min="10511" max="10511" width="12.26171875" customWidth="1"/>
    <col min="10512" max="10512" width="11" customWidth="1"/>
    <col min="10513" max="10513" width="10.7890625" customWidth="1"/>
    <col min="10514" max="10514" width="12" customWidth="1"/>
    <col min="10515" max="10515" width="14.7890625" customWidth="1"/>
    <col min="10516" max="10516" width="13.734375" customWidth="1"/>
    <col min="10517" max="10517" width="13.7890625" customWidth="1"/>
    <col min="10521" max="10521" width="12.5234375" customWidth="1"/>
    <col min="10522" max="10522" width="13.15625" customWidth="1"/>
    <col min="10749" max="10749" width="4.26171875" customWidth="1"/>
    <col min="10750" max="10750" width="18.26171875" customWidth="1"/>
    <col min="10751" max="10751" width="10.26171875" bestFit="1" customWidth="1"/>
    <col min="10752" max="10752" width="11.47265625" customWidth="1"/>
    <col min="10753" max="10754" width="12.5234375" customWidth="1"/>
    <col min="10755" max="10755" width="10.26171875" bestFit="1" customWidth="1"/>
    <col min="10756" max="10761" width="11.26171875" customWidth="1"/>
    <col min="10762" max="10762" width="12.15625" customWidth="1"/>
    <col min="10763" max="10763" width="4.1015625" customWidth="1"/>
    <col min="10764" max="10764" width="4.7890625" customWidth="1"/>
    <col min="10765" max="10765" width="11.26171875" customWidth="1"/>
    <col min="10766" max="10766" width="12" customWidth="1"/>
    <col min="10767" max="10767" width="12.26171875" customWidth="1"/>
    <col min="10768" max="10768" width="11" customWidth="1"/>
    <col min="10769" max="10769" width="10.7890625" customWidth="1"/>
    <col min="10770" max="10770" width="12" customWidth="1"/>
    <col min="10771" max="10771" width="14.7890625" customWidth="1"/>
    <col min="10772" max="10772" width="13.734375" customWidth="1"/>
    <col min="10773" max="10773" width="13.7890625" customWidth="1"/>
    <col min="10777" max="10777" width="12.5234375" customWidth="1"/>
    <col min="10778" max="10778" width="13.15625" customWidth="1"/>
    <col min="11005" max="11005" width="4.26171875" customWidth="1"/>
    <col min="11006" max="11006" width="18.26171875" customWidth="1"/>
    <col min="11007" max="11007" width="10.26171875" bestFit="1" customWidth="1"/>
    <col min="11008" max="11008" width="11.47265625" customWidth="1"/>
    <col min="11009" max="11010" width="12.5234375" customWidth="1"/>
    <col min="11011" max="11011" width="10.26171875" bestFit="1" customWidth="1"/>
    <col min="11012" max="11017" width="11.26171875" customWidth="1"/>
    <col min="11018" max="11018" width="12.15625" customWidth="1"/>
    <col min="11019" max="11019" width="4.1015625" customWidth="1"/>
    <col min="11020" max="11020" width="4.7890625" customWidth="1"/>
    <col min="11021" max="11021" width="11.26171875" customWidth="1"/>
    <col min="11022" max="11022" width="12" customWidth="1"/>
    <col min="11023" max="11023" width="12.26171875" customWidth="1"/>
    <col min="11024" max="11024" width="11" customWidth="1"/>
    <col min="11025" max="11025" width="10.7890625" customWidth="1"/>
    <col min="11026" max="11026" width="12" customWidth="1"/>
    <col min="11027" max="11027" width="14.7890625" customWidth="1"/>
    <col min="11028" max="11028" width="13.734375" customWidth="1"/>
    <col min="11029" max="11029" width="13.7890625" customWidth="1"/>
    <col min="11033" max="11033" width="12.5234375" customWidth="1"/>
    <col min="11034" max="11034" width="13.15625" customWidth="1"/>
    <col min="11261" max="11261" width="4.26171875" customWidth="1"/>
    <col min="11262" max="11262" width="18.26171875" customWidth="1"/>
    <col min="11263" max="11263" width="10.26171875" bestFit="1" customWidth="1"/>
    <col min="11264" max="11264" width="11.47265625" customWidth="1"/>
    <col min="11265" max="11266" width="12.5234375" customWidth="1"/>
    <col min="11267" max="11267" width="10.26171875" bestFit="1" customWidth="1"/>
    <col min="11268" max="11273" width="11.26171875" customWidth="1"/>
    <col min="11274" max="11274" width="12.15625" customWidth="1"/>
    <col min="11275" max="11275" width="4.1015625" customWidth="1"/>
    <col min="11276" max="11276" width="4.7890625" customWidth="1"/>
    <col min="11277" max="11277" width="11.26171875" customWidth="1"/>
    <col min="11278" max="11278" width="12" customWidth="1"/>
    <col min="11279" max="11279" width="12.26171875" customWidth="1"/>
    <col min="11280" max="11280" width="11" customWidth="1"/>
    <col min="11281" max="11281" width="10.7890625" customWidth="1"/>
    <col min="11282" max="11282" width="12" customWidth="1"/>
    <col min="11283" max="11283" width="14.7890625" customWidth="1"/>
    <col min="11284" max="11284" width="13.734375" customWidth="1"/>
    <col min="11285" max="11285" width="13.7890625" customWidth="1"/>
    <col min="11289" max="11289" width="12.5234375" customWidth="1"/>
    <col min="11290" max="11290" width="13.15625" customWidth="1"/>
    <col min="11517" max="11517" width="4.26171875" customWidth="1"/>
    <col min="11518" max="11518" width="18.26171875" customWidth="1"/>
    <col min="11519" max="11519" width="10.26171875" bestFit="1" customWidth="1"/>
    <col min="11520" max="11520" width="11.47265625" customWidth="1"/>
    <col min="11521" max="11522" width="12.5234375" customWidth="1"/>
    <col min="11523" max="11523" width="10.26171875" bestFit="1" customWidth="1"/>
    <col min="11524" max="11529" width="11.26171875" customWidth="1"/>
    <col min="11530" max="11530" width="12.15625" customWidth="1"/>
    <col min="11531" max="11531" width="4.1015625" customWidth="1"/>
    <col min="11532" max="11532" width="4.7890625" customWidth="1"/>
    <col min="11533" max="11533" width="11.26171875" customWidth="1"/>
    <col min="11534" max="11534" width="12" customWidth="1"/>
    <col min="11535" max="11535" width="12.26171875" customWidth="1"/>
    <col min="11536" max="11536" width="11" customWidth="1"/>
    <col min="11537" max="11537" width="10.7890625" customWidth="1"/>
    <col min="11538" max="11538" width="12" customWidth="1"/>
    <col min="11539" max="11539" width="14.7890625" customWidth="1"/>
    <col min="11540" max="11540" width="13.734375" customWidth="1"/>
    <col min="11541" max="11541" width="13.7890625" customWidth="1"/>
    <col min="11545" max="11545" width="12.5234375" customWidth="1"/>
    <col min="11546" max="11546" width="13.15625" customWidth="1"/>
    <col min="11773" max="11773" width="4.26171875" customWidth="1"/>
    <col min="11774" max="11774" width="18.26171875" customWidth="1"/>
    <col min="11775" max="11775" width="10.26171875" bestFit="1" customWidth="1"/>
    <col min="11776" max="11776" width="11.47265625" customWidth="1"/>
    <col min="11777" max="11778" width="12.5234375" customWidth="1"/>
    <col min="11779" max="11779" width="10.26171875" bestFit="1" customWidth="1"/>
    <col min="11780" max="11785" width="11.26171875" customWidth="1"/>
    <col min="11786" max="11786" width="12.15625" customWidth="1"/>
    <col min="11787" max="11787" width="4.1015625" customWidth="1"/>
    <col min="11788" max="11788" width="4.7890625" customWidth="1"/>
    <col min="11789" max="11789" width="11.26171875" customWidth="1"/>
    <col min="11790" max="11790" width="12" customWidth="1"/>
    <col min="11791" max="11791" width="12.26171875" customWidth="1"/>
    <col min="11792" max="11792" width="11" customWidth="1"/>
    <col min="11793" max="11793" width="10.7890625" customWidth="1"/>
    <col min="11794" max="11794" width="12" customWidth="1"/>
    <col min="11795" max="11795" width="14.7890625" customWidth="1"/>
    <col min="11796" max="11796" width="13.734375" customWidth="1"/>
    <col min="11797" max="11797" width="13.7890625" customWidth="1"/>
    <col min="11801" max="11801" width="12.5234375" customWidth="1"/>
    <col min="11802" max="11802" width="13.15625" customWidth="1"/>
    <col min="12029" max="12029" width="4.26171875" customWidth="1"/>
    <col min="12030" max="12030" width="18.26171875" customWidth="1"/>
    <col min="12031" max="12031" width="10.26171875" bestFit="1" customWidth="1"/>
    <col min="12032" max="12032" width="11.47265625" customWidth="1"/>
    <col min="12033" max="12034" width="12.5234375" customWidth="1"/>
    <col min="12035" max="12035" width="10.26171875" bestFit="1" customWidth="1"/>
    <col min="12036" max="12041" width="11.26171875" customWidth="1"/>
    <col min="12042" max="12042" width="12.15625" customWidth="1"/>
    <col min="12043" max="12043" width="4.1015625" customWidth="1"/>
    <col min="12044" max="12044" width="4.7890625" customWidth="1"/>
    <col min="12045" max="12045" width="11.26171875" customWidth="1"/>
    <col min="12046" max="12046" width="12" customWidth="1"/>
    <col min="12047" max="12047" width="12.26171875" customWidth="1"/>
    <col min="12048" max="12048" width="11" customWidth="1"/>
    <col min="12049" max="12049" width="10.7890625" customWidth="1"/>
    <col min="12050" max="12050" width="12" customWidth="1"/>
    <col min="12051" max="12051" width="14.7890625" customWidth="1"/>
    <col min="12052" max="12052" width="13.734375" customWidth="1"/>
    <col min="12053" max="12053" width="13.7890625" customWidth="1"/>
    <col min="12057" max="12057" width="12.5234375" customWidth="1"/>
    <col min="12058" max="12058" width="13.15625" customWidth="1"/>
    <col min="12285" max="12285" width="4.26171875" customWidth="1"/>
    <col min="12286" max="12286" width="18.26171875" customWidth="1"/>
    <col min="12287" max="12287" width="10.26171875" bestFit="1" customWidth="1"/>
    <col min="12288" max="12288" width="11.47265625" customWidth="1"/>
    <col min="12289" max="12290" width="12.5234375" customWidth="1"/>
    <col min="12291" max="12291" width="10.26171875" bestFit="1" customWidth="1"/>
    <col min="12292" max="12297" width="11.26171875" customWidth="1"/>
    <col min="12298" max="12298" width="12.15625" customWidth="1"/>
    <col min="12299" max="12299" width="4.1015625" customWidth="1"/>
    <col min="12300" max="12300" width="4.7890625" customWidth="1"/>
    <col min="12301" max="12301" width="11.26171875" customWidth="1"/>
    <col min="12302" max="12302" width="12" customWidth="1"/>
    <col min="12303" max="12303" width="12.26171875" customWidth="1"/>
    <col min="12304" max="12304" width="11" customWidth="1"/>
    <col min="12305" max="12305" width="10.7890625" customWidth="1"/>
    <col min="12306" max="12306" width="12" customWidth="1"/>
    <col min="12307" max="12307" width="14.7890625" customWidth="1"/>
    <col min="12308" max="12308" width="13.734375" customWidth="1"/>
    <col min="12309" max="12309" width="13.7890625" customWidth="1"/>
    <col min="12313" max="12313" width="12.5234375" customWidth="1"/>
    <col min="12314" max="12314" width="13.15625" customWidth="1"/>
    <col min="12541" max="12541" width="4.26171875" customWidth="1"/>
    <col min="12542" max="12542" width="18.26171875" customWidth="1"/>
    <col min="12543" max="12543" width="10.26171875" bestFit="1" customWidth="1"/>
    <col min="12544" max="12544" width="11.47265625" customWidth="1"/>
    <col min="12545" max="12546" width="12.5234375" customWidth="1"/>
    <col min="12547" max="12547" width="10.26171875" bestFit="1" customWidth="1"/>
    <col min="12548" max="12553" width="11.26171875" customWidth="1"/>
    <col min="12554" max="12554" width="12.15625" customWidth="1"/>
    <col min="12555" max="12555" width="4.1015625" customWidth="1"/>
    <col min="12556" max="12556" width="4.7890625" customWidth="1"/>
    <col min="12557" max="12557" width="11.26171875" customWidth="1"/>
    <col min="12558" max="12558" width="12" customWidth="1"/>
    <col min="12559" max="12559" width="12.26171875" customWidth="1"/>
    <col min="12560" max="12560" width="11" customWidth="1"/>
    <col min="12561" max="12561" width="10.7890625" customWidth="1"/>
    <col min="12562" max="12562" width="12" customWidth="1"/>
    <col min="12563" max="12563" width="14.7890625" customWidth="1"/>
    <col min="12564" max="12564" width="13.734375" customWidth="1"/>
    <col min="12565" max="12565" width="13.7890625" customWidth="1"/>
    <col min="12569" max="12569" width="12.5234375" customWidth="1"/>
    <col min="12570" max="12570" width="13.15625" customWidth="1"/>
    <col min="12797" max="12797" width="4.26171875" customWidth="1"/>
    <col min="12798" max="12798" width="18.26171875" customWidth="1"/>
    <col min="12799" max="12799" width="10.26171875" bestFit="1" customWidth="1"/>
    <col min="12800" max="12800" width="11.47265625" customWidth="1"/>
    <col min="12801" max="12802" width="12.5234375" customWidth="1"/>
    <col min="12803" max="12803" width="10.26171875" bestFit="1" customWidth="1"/>
    <col min="12804" max="12809" width="11.26171875" customWidth="1"/>
    <col min="12810" max="12810" width="12.15625" customWidth="1"/>
    <col min="12811" max="12811" width="4.1015625" customWidth="1"/>
    <col min="12812" max="12812" width="4.7890625" customWidth="1"/>
    <col min="12813" max="12813" width="11.26171875" customWidth="1"/>
    <col min="12814" max="12814" width="12" customWidth="1"/>
    <col min="12815" max="12815" width="12.26171875" customWidth="1"/>
    <col min="12816" max="12816" width="11" customWidth="1"/>
    <col min="12817" max="12817" width="10.7890625" customWidth="1"/>
    <col min="12818" max="12818" width="12" customWidth="1"/>
    <col min="12819" max="12819" width="14.7890625" customWidth="1"/>
    <col min="12820" max="12820" width="13.734375" customWidth="1"/>
    <col min="12821" max="12821" width="13.7890625" customWidth="1"/>
    <col min="12825" max="12825" width="12.5234375" customWidth="1"/>
    <col min="12826" max="12826" width="13.15625" customWidth="1"/>
    <col min="13053" max="13053" width="4.26171875" customWidth="1"/>
    <col min="13054" max="13054" width="18.26171875" customWidth="1"/>
    <col min="13055" max="13055" width="10.26171875" bestFit="1" customWidth="1"/>
    <col min="13056" max="13056" width="11.47265625" customWidth="1"/>
    <col min="13057" max="13058" width="12.5234375" customWidth="1"/>
    <col min="13059" max="13059" width="10.26171875" bestFit="1" customWidth="1"/>
    <col min="13060" max="13065" width="11.26171875" customWidth="1"/>
    <col min="13066" max="13066" width="12.15625" customWidth="1"/>
    <col min="13067" max="13067" width="4.1015625" customWidth="1"/>
    <col min="13068" max="13068" width="4.7890625" customWidth="1"/>
    <col min="13069" max="13069" width="11.26171875" customWidth="1"/>
    <col min="13070" max="13070" width="12" customWidth="1"/>
    <col min="13071" max="13071" width="12.26171875" customWidth="1"/>
    <col min="13072" max="13072" width="11" customWidth="1"/>
    <col min="13073" max="13073" width="10.7890625" customWidth="1"/>
    <col min="13074" max="13074" width="12" customWidth="1"/>
    <col min="13075" max="13075" width="14.7890625" customWidth="1"/>
    <col min="13076" max="13076" width="13.734375" customWidth="1"/>
    <col min="13077" max="13077" width="13.7890625" customWidth="1"/>
    <col min="13081" max="13081" width="12.5234375" customWidth="1"/>
    <col min="13082" max="13082" width="13.15625" customWidth="1"/>
    <col min="13309" max="13309" width="4.26171875" customWidth="1"/>
    <col min="13310" max="13310" width="18.26171875" customWidth="1"/>
    <col min="13311" max="13311" width="10.26171875" bestFit="1" customWidth="1"/>
    <col min="13312" max="13312" width="11.47265625" customWidth="1"/>
    <col min="13313" max="13314" width="12.5234375" customWidth="1"/>
    <col min="13315" max="13315" width="10.26171875" bestFit="1" customWidth="1"/>
    <col min="13316" max="13321" width="11.26171875" customWidth="1"/>
    <col min="13322" max="13322" width="12.15625" customWidth="1"/>
    <col min="13323" max="13323" width="4.1015625" customWidth="1"/>
    <col min="13324" max="13324" width="4.7890625" customWidth="1"/>
    <col min="13325" max="13325" width="11.26171875" customWidth="1"/>
    <col min="13326" max="13326" width="12" customWidth="1"/>
    <col min="13327" max="13327" width="12.26171875" customWidth="1"/>
    <col min="13328" max="13328" width="11" customWidth="1"/>
    <col min="13329" max="13329" width="10.7890625" customWidth="1"/>
    <col min="13330" max="13330" width="12" customWidth="1"/>
    <col min="13331" max="13331" width="14.7890625" customWidth="1"/>
    <col min="13332" max="13332" width="13.734375" customWidth="1"/>
    <col min="13333" max="13333" width="13.7890625" customWidth="1"/>
    <col min="13337" max="13337" width="12.5234375" customWidth="1"/>
    <col min="13338" max="13338" width="13.15625" customWidth="1"/>
    <col min="13565" max="13565" width="4.26171875" customWidth="1"/>
    <col min="13566" max="13566" width="18.26171875" customWidth="1"/>
    <col min="13567" max="13567" width="10.26171875" bestFit="1" customWidth="1"/>
    <col min="13568" max="13568" width="11.47265625" customWidth="1"/>
    <col min="13569" max="13570" width="12.5234375" customWidth="1"/>
    <col min="13571" max="13571" width="10.26171875" bestFit="1" customWidth="1"/>
    <col min="13572" max="13577" width="11.26171875" customWidth="1"/>
    <col min="13578" max="13578" width="12.15625" customWidth="1"/>
    <col min="13579" max="13579" width="4.1015625" customWidth="1"/>
    <col min="13580" max="13580" width="4.7890625" customWidth="1"/>
    <col min="13581" max="13581" width="11.26171875" customWidth="1"/>
    <col min="13582" max="13582" width="12" customWidth="1"/>
    <col min="13583" max="13583" width="12.26171875" customWidth="1"/>
    <col min="13584" max="13584" width="11" customWidth="1"/>
    <col min="13585" max="13585" width="10.7890625" customWidth="1"/>
    <col min="13586" max="13586" width="12" customWidth="1"/>
    <col min="13587" max="13587" width="14.7890625" customWidth="1"/>
    <col min="13588" max="13588" width="13.734375" customWidth="1"/>
    <col min="13589" max="13589" width="13.7890625" customWidth="1"/>
    <col min="13593" max="13593" width="12.5234375" customWidth="1"/>
    <col min="13594" max="13594" width="13.15625" customWidth="1"/>
    <col min="13821" max="13821" width="4.26171875" customWidth="1"/>
    <col min="13822" max="13822" width="18.26171875" customWidth="1"/>
    <col min="13823" max="13823" width="10.26171875" bestFit="1" customWidth="1"/>
    <col min="13824" max="13824" width="11.47265625" customWidth="1"/>
    <col min="13825" max="13826" width="12.5234375" customWidth="1"/>
    <col min="13827" max="13827" width="10.26171875" bestFit="1" customWidth="1"/>
    <col min="13828" max="13833" width="11.26171875" customWidth="1"/>
    <col min="13834" max="13834" width="12.15625" customWidth="1"/>
    <col min="13835" max="13835" width="4.1015625" customWidth="1"/>
    <col min="13836" max="13836" width="4.7890625" customWidth="1"/>
    <col min="13837" max="13837" width="11.26171875" customWidth="1"/>
    <col min="13838" max="13838" width="12" customWidth="1"/>
    <col min="13839" max="13839" width="12.26171875" customWidth="1"/>
    <col min="13840" max="13840" width="11" customWidth="1"/>
    <col min="13841" max="13841" width="10.7890625" customWidth="1"/>
    <col min="13842" max="13842" width="12" customWidth="1"/>
    <col min="13843" max="13843" width="14.7890625" customWidth="1"/>
    <col min="13844" max="13844" width="13.734375" customWidth="1"/>
    <col min="13845" max="13845" width="13.7890625" customWidth="1"/>
    <col min="13849" max="13849" width="12.5234375" customWidth="1"/>
    <col min="13850" max="13850" width="13.15625" customWidth="1"/>
    <col min="14077" max="14077" width="4.26171875" customWidth="1"/>
    <col min="14078" max="14078" width="18.26171875" customWidth="1"/>
    <col min="14079" max="14079" width="10.26171875" bestFit="1" customWidth="1"/>
    <col min="14080" max="14080" width="11.47265625" customWidth="1"/>
    <col min="14081" max="14082" width="12.5234375" customWidth="1"/>
    <col min="14083" max="14083" width="10.26171875" bestFit="1" customWidth="1"/>
    <col min="14084" max="14089" width="11.26171875" customWidth="1"/>
    <col min="14090" max="14090" width="12.15625" customWidth="1"/>
    <col min="14091" max="14091" width="4.1015625" customWidth="1"/>
    <col min="14092" max="14092" width="4.7890625" customWidth="1"/>
    <col min="14093" max="14093" width="11.26171875" customWidth="1"/>
    <col min="14094" max="14094" width="12" customWidth="1"/>
    <col min="14095" max="14095" width="12.26171875" customWidth="1"/>
    <col min="14096" max="14096" width="11" customWidth="1"/>
    <col min="14097" max="14097" width="10.7890625" customWidth="1"/>
    <col min="14098" max="14098" width="12" customWidth="1"/>
    <col min="14099" max="14099" width="14.7890625" customWidth="1"/>
    <col min="14100" max="14100" width="13.734375" customWidth="1"/>
    <col min="14101" max="14101" width="13.7890625" customWidth="1"/>
    <col min="14105" max="14105" width="12.5234375" customWidth="1"/>
    <col min="14106" max="14106" width="13.15625" customWidth="1"/>
    <col min="14333" max="14333" width="4.26171875" customWidth="1"/>
    <col min="14334" max="14334" width="18.26171875" customWidth="1"/>
    <col min="14335" max="14335" width="10.26171875" bestFit="1" customWidth="1"/>
    <col min="14336" max="14336" width="11.47265625" customWidth="1"/>
    <col min="14337" max="14338" width="12.5234375" customWidth="1"/>
    <col min="14339" max="14339" width="10.26171875" bestFit="1" customWidth="1"/>
    <col min="14340" max="14345" width="11.26171875" customWidth="1"/>
    <col min="14346" max="14346" width="12.15625" customWidth="1"/>
    <col min="14347" max="14347" width="4.1015625" customWidth="1"/>
    <col min="14348" max="14348" width="4.7890625" customWidth="1"/>
    <col min="14349" max="14349" width="11.26171875" customWidth="1"/>
    <col min="14350" max="14350" width="12" customWidth="1"/>
    <col min="14351" max="14351" width="12.26171875" customWidth="1"/>
    <col min="14352" max="14352" width="11" customWidth="1"/>
    <col min="14353" max="14353" width="10.7890625" customWidth="1"/>
    <col min="14354" max="14354" width="12" customWidth="1"/>
    <col min="14355" max="14355" width="14.7890625" customWidth="1"/>
    <col min="14356" max="14356" width="13.734375" customWidth="1"/>
    <col min="14357" max="14357" width="13.7890625" customWidth="1"/>
    <col min="14361" max="14361" width="12.5234375" customWidth="1"/>
    <col min="14362" max="14362" width="13.15625" customWidth="1"/>
    <col min="14589" max="14589" width="4.26171875" customWidth="1"/>
    <col min="14590" max="14590" width="18.26171875" customWidth="1"/>
    <col min="14591" max="14591" width="10.26171875" bestFit="1" customWidth="1"/>
    <col min="14592" max="14592" width="11.47265625" customWidth="1"/>
    <col min="14593" max="14594" width="12.5234375" customWidth="1"/>
    <col min="14595" max="14595" width="10.26171875" bestFit="1" customWidth="1"/>
    <col min="14596" max="14601" width="11.26171875" customWidth="1"/>
    <col min="14602" max="14602" width="12.15625" customWidth="1"/>
    <col min="14603" max="14603" width="4.1015625" customWidth="1"/>
    <col min="14604" max="14604" width="4.7890625" customWidth="1"/>
    <col min="14605" max="14605" width="11.26171875" customWidth="1"/>
    <col min="14606" max="14606" width="12" customWidth="1"/>
    <col min="14607" max="14607" width="12.26171875" customWidth="1"/>
    <col min="14608" max="14608" width="11" customWidth="1"/>
    <col min="14609" max="14609" width="10.7890625" customWidth="1"/>
    <col min="14610" max="14610" width="12" customWidth="1"/>
    <col min="14611" max="14611" width="14.7890625" customWidth="1"/>
    <col min="14612" max="14612" width="13.734375" customWidth="1"/>
    <col min="14613" max="14613" width="13.7890625" customWidth="1"/>
    <col min="14617" max="14617" width="12.5234375" customWidth="1"/>
    <col min="14618" max="14618" width="13.15625" customWidth="1"/>
    <col min="14845" max="14845" width="4.26171875" customWidth="1"/>
    <col min="14846" max="14846" width="18.26171875" customWidth="1"/>
    <col min="14847" max="14847" width="10.26171875" bestFit="1" customWidth="1"/>
    <col min="14848" max="14848" width="11.47265625" customWidth="1"/>
    <col min="14849" max="14850" width="12.5234375" customWidth="1"/>
    <col min="14851" max="14851" width="10.26171875" bestFit="1" customWidth="1"/>
    <col min="14852" max="14857" width="11.26171875" customWidth="1"/>
    <col min="14858" max="14858" width="12.15625" customWidth="1"/>
    <col min="14859" max="14859" width="4.1015625" customWidth="1"/>
    <col min="14860" max="14860" width="4.7890625" customWidth="1"/>
    <col min="14861" max="14861" width="11.26171875" customWidth="1"/>
    <col min="14862" max="14862" width="12" customWidth="1"/>
    <col min="14863" max="14863" width="12.26171875" customWidth="1"/>
    <col min="14864" max="14864" width="11" customWidth="1"/>
    <col min="14865" max="14865" width="10.7890625" customWidth="1"/>
    <col min="14866" max="14866" width="12" customWidth="1"/>
    <col min="14867" max="14867" width="14.7890625" customWidth="1"/>
    <col min="14868" max="14868" width="13.734375" customWidth="1"/>
    <col min="14869" max="14869" width="13.7890625" customWidth="1"/>
    <col min="14873" max="14873" width="12.5234375" customWidth="1"/>
    <col min="14874" max="14874" width="13.15625" customWidth="1"/>
    <col min="15101" max="15101" width="4.26171875" customWidth="1"/>
    <col min="15102" max="15102" width="18.26171875" customWidth="1"/>
    <col min="15103" max="15103" width="10.26171875" bestFit="1" customWidth="1"/>
    <col min="15104" max="15104" width="11.47265625" customWidth="1"/>
    <col min="15105" max="15106" width="12.5234375" customWidth="1"/>
    <col min="15107" max="15107" width="10.26171875" bestFit="1" customWidth="1"/>
    <col min="15108" max="15113" width="11.26171875" customWidth="1"/>
    <col min="15114" max="15114" width="12.15625" customWidth="1"/>
    <col min="15115" max="15115" width="4.1015625" customWidth="1"/>
    <col min="15116" max="15116" width="4.7890625" customWidth="1"/>
    <col min="15117" max="15117" width="11.26171875" customWidth="1"/>
    <col min="15118" max="15118" width="12" customWidth="1"/>
    <col min="15119" max="15119" width="12.26171875" customWidth="1"/>
    <col min="15120" max="15120" width="11" customWidth="1"/>
    <col min="15121" max="15121" width="10.7890625" customWidth="1"/>
    <col min="15122" max="15122" width="12" customWidth="1"/>
    <col min="15123" max="15123" width="14.7890625" customWidth="1"/>
    <col min="15124" max="15124" width="13.734375" customWidth="1"/>
    <col min="15125" max="15125" width="13.7890625" customWidth="1"/>
    <col min="15129" max="15129" width="12.5234375" customWidth="1"/>
    <col min="15130" max="15130" width="13.15625" customWidth="1"/>
    <col min="15357" max="15357" width="4.26171875" customWidth="1"/>
    <col min="15358" max="15358" width="18.26171875" customWidth="1"/>
    <col min="15359" max="15359" width="10.26171875" bestFit="1" customWidth="1"/>
    <col min="15360" max="15360" width="11.47265625" customWidth="1"/>
    <col min="15361" max="15362" width="12.5234375" customWidth="1"/>
    <col min="15363" max="15363" width="10.26171875" bestFit="1" customWidth="1"/>
    <col min="15364" max="15369" width="11.26171875" customWidth="1"/>
    <col min="15370" max="15370" width="12.15625" customWidth="1"/>
    <col min="15371" max="15371" width="4.1015625" customWidth="1"/>
    <col min="15372" max="15372" width="4.7890625" customWidth="1"/>
    <col min="15373" max="15373" width="11.26171875" customWidth="1"/>
    <col min="15374" max="15374" width="12" customWidth="1"/>
    <col min="15375" max="15375" width="12.26171875" customWidth="1"/>
    <col min="15376" max="15376" width="11" customWidth="1"/>
    <col min="15377" max="15377" width="10.7890625" customWidth="1"/>
    <col min="15378" max="15378" width="12" customWidth="1"/>
    <col min="15379" max="15379" width="14.7890625" customWidth="1"/>
    <col min="15380" max="15380" width="13.734375" customWidth="1"/>
    <col min="15381" max="15381" width="13.7890625" customWidth="1"/>
    <col min="15385" max="15385" width="12.5234375" customWidth="1"/>
    <col min="15386" max="15386" width="13.15625" customWidth="1"/>
    <col min="15613" max="15613" width="4.26171875" customWidth="1"/>
    <col min="15614" max="15614" width="18.26171875" customWidth="1"/>
    <col min="15615" max="15615" width="10.26171875" bestFit="1" customWidth="1"/>
    <col min="15616" max="15616" width="11.47265625" customWidth="1"/>
    <col min="15617" max="15618" width="12.5234375" customWidth="1"/>
    <col min="15619" max="15619" width="10.26171875" bestFit="1" customWidth="1"/>
    <col min="15620" max="15625" width="11.26171875" customWidth="1"/>
    <col min="15626" max="15626" width="12.15625" customWidth="1"/>
    <col min="15627" max="15627" width="4.1015625" customWidth="1"/>
    <col min="15628" max="15628" width="4.7890625" customWidth="1"/>
    <col min="15629" max="15629" width="11.26171875" customWidth="1"/>
    <col min="15630" max="15630" width="12" customWidth="1"/>
    <col min="15631" max="15631" width="12.26171875" customWidth="1"/>
    <col min="15632" max="15632" width="11" customWidth="1"/>
    <col min="15633" max="15633" width="10.7890625" customWidth="1"/>
    <col min="15634" max="15634" width="12" customWidth="1"/>
    <col min="15635" max="15635" width="14.7890625" customWidth="1"/>
    <col min="15636" max="15636" width="13.734375" customWidth="1"/>
    <col min="15637" max="15637" width="13.7890625" customWidth="1"/>
    <col min="15641" max="15641" width="12.5234375" customWidth="1"/>
    <col min="15642" max="15642" width="13.15625" customWidth="1"/>
    <col min="15869" max="15869" width="4.26171875" customWidth="1"/>
    <col min="15870" max="15870" width="18.26171875" customWidth="1"/>
    <col min="15871" max="15871" width="10.26171875" bestFit="1" customWidth="1"/>
    <col min="15872" max="15872" width="11.47265625" customWidth="1"/>
    <col min="15873" max="15874" width="12.5234375" customWidth="1"/>
    <col min="15875" max="15875" width="10.26171875" bestFit="1" customWidth="1"/>
    <col min="15876" max="15881" width="11.26171875" customWidth="1"/>
    <col min="15882" max="15882" width="12.15625" customWidth="1"/>
    <col min="15883" max="15883" width="4.1015625" customWidth="1"/>
    <col min="15884" max="15884" width="4.7890625" customWidth="1"/>
    <col min="15885" max="15885" width="11.26171875" customWidth="1"/>
    <col min="15886" max="15886" width="12" customWidth="1"/>
    <col min="15887" max="15887" width="12.26171875" customWidth="1"/>
    <col min="15888" max="15888" width="11" customWidth="1"/>
    <col min="15889" max="15889" width="10.7890625" customWidth="1"/>
    <col min="15890" max="15890" width="12" customWidth="1"/>
    <col min="15891" max="15891" width="14.7890625" customWidth="1"/>
    <col min="15892" max="15892" width="13.734375" customWidth="1"/>
    <col min="15893" max="15893" width="13.7890625" customWidth="1"/>
    <col min="15897" max="15897" width="12.5234375" customWidth="1"/>
    <col min="15898" max="15898" width="13.15625" customWidth="1"/>
    <col min="16125" max="16125" width="4.26171875" customWidth="1"/>
    <col min="16126" max="16126" width="18.26171875" customWidth="1"/>
    <col min="16127" max="16127" width="10.26171875" bestFit="1" customWidth="1"/>
    <col min="16128" max="16128" width="11.47265625" customWidth="1"/>
    <col min="16129" max="16130" width="12.5234375" customWidth="1"/>
    <col min="16131" max="16131" width="10.26171875" bestFit="1" customWidth="1"/>
    <col min="16132" max="16137" width="11.26171875" customWidth="1"/>
    <col min="16138" max="16138" width="12.15625" customWidth="1"/>
    <col min="16139" max="16139" width="4.1015625" customWidth="1"/>
    <col min="16140" max="16140" width="4.7890625" customWidth="1"/>
    <col min="16141" max="16141" width="11.26171875" customWidth="1"/>
    <col min="16142" max="16142" width="12" customWidth="1"/>
    <col min="16143" max="16143" width="12.26171875" customWidth="1"/>
    <col min="16144" max="16144" width="11" customWidth="1"/>
    <col min="16145" max="16145" width="10.7890625" customWidth="1"/>
    <col min="16146" max="16146" width="12" customWidth="1"/>
    <col min="16147" max="16147" width="14.7890625" customWidth="1"/>
    <col min="16148" max="16148" width="13.734375" customWidth="1"/>
    <col min="16149" max="16149" width="13.7890625" customWidth="1"/>
    <col min="16153" max="16153" width="12.5234375" customWidth="1"/>
    <col min="16154" max="16154" width="13.15625" customWidth="1"/>
  </cols>
  <sheetData>
    <row r="1" spans="1:13" x14ac:dyDescent="0.55000000000000004">
      <c r="A1" s="283"/>
      <c r="B1" s="288" t="s">
        <v>39</v>
      </c>
      <c r="C1" s="288" t="s">
        <v>50</v>
      </c>
      <c r="D1" s="288" t="s">
        <v>53</v>
      </c>
      <c r="E1" s="288" t="s">
        <v>57</v>
      </c>
      <c r="F1" s="288" t="s">
        <v>58</v>
      </c>
      <c r="G1" s="288" t="s">
        <v>59</v>
      </c>
      <c r="H1" s="288" t="s">
        <v>60</v>
      </c>
      <c r="I1" s="288" t="s">
        <v>61</v>
      </c>
      <c r="J1" s="288" t="s">
        <v>62</v>
      </c>
      <c r="K1" s="288" t="s">
        <v>63</v>
      </c>
      <c r="L1" s="288" t="s">
        <v>64</v>
      </c>
      <c r="M1" s="208"/>
    </row>
    <row r="2" spans="1:13" ht="17.7" x14ac:dyDescent="0.6">
      <c r="A2" s="283">
        <f>ROW()</f>
        <v>2</v>
      </c>
      <c r="B2" s="55" t="s">
        <v>115</v>
      </c>
      <c r="C2" s="212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55000000000000004">
      <c r="A3" s="283">
        <f>ROW()</f>
        <v>3</v>
      </c>
      <c r="B3" s="225" t="s">
        <v>242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4.7" thickBot="1" x14ac:dyDescent="0.6">
      <c r="A4" s="283">
        <f>ROW()</f>
        <v>4</v>
      </c>
      <c r="D4" s="56"/>
      <c r="E4" s="56" t="s">
        <v>116</v>
      </c>
      <c r="G4" s="36"/>
      <c r="H4" s="56" t="s">
        <v>117</v>
      </c>
      <c r="I4" s="56" t="s">
        <v>118</v>
      </c>
      <c r="J4" s="56" t="s">
        <v>119</v>
      </c>
      <c r="K4" s="56" t="s">
        <v>120</v>
      </c>
      <c r="L4" s="56" t="s">
        <v>121</v>
      </c>
    </row>
    <row r="5" spans="1:13" ht="14.7" thickTop="1" x14ac:dyDescent="0.55000000000000004">
      <c r="A5" s="283">
        <f>ROW()</f>
        <v>5</v>
      </c>
      <c r="B5" s="20" t="s">
        <v>122</v>
      </c>
      <c r="E5" s="57">
        <v>42751</v>
      </c>
      <c r="H5" s="58">
        <f>+$E$5</f>
        <v>42751</v>
      </c>
      <c r="I5" s="58">
        <f>+$E$5</f>
        <v>42751</v>
      </c>
      <c r="J5" s="58">
        <f>+$E$5</f>
        <v>42751</v>
      </c>
      <c r="K5" s="58">
        <f>+$E$5</f>
        <v>42751</v>
      </c>
      <c r="L5" s="58">
        <f>+$E$5</f>
        <v>42751</v>
      </c>
    </row>
    <row r="6" spans="1:13" x14ac:dyDescent="0.55000000000000004">
      <c r="A6" s="283">
        <f>ROW()</f>
        <v>6</v>
      </c>
      <c r="B6" s="20" t="s">
        <v>123</v>
      </c>
      <c r="D6" s="338">
        <v>43292</v>
      </c>
      <c r="E6" s="338"/>
      <c r="H6" s="58">
        <f>+$D$6</f>
        <v>43292</v>
      </c>
      <c r="I6" s="58">
        <f>+$D$6</f>
        <v>43292</v>
      </c>
      <c r="J6" s="58">
        <f>+$D$6</f>
        <v>43292</v>
      </c>
      <c r="K6" s="58">
        <f>+$D$6</f>
        <v>43292</v>
      </c>
      <c r="L6" s="58">
        <f>+$D$6</f>
        <v>43292</v>
      </c>
    </row>
    <row r="7" spans="1:13" x14ac:dyDescent="0.55000000000000004">
      <c r="A7" s="283">
        <f>ROW()</f>
        <v>7</v>
      </c>
      <c r="E7" s="13"/>
    </row>
    <row r="8" spans="1:13" x14ac:dyDescent="0.55000000000000004">
      <c r="A8" s="283">
        <f>ROW()</f>
        <v>8</v>
      </c>
      <c r="B8" s="36" t="s">
        <v>253</v>
      </c>
      <c r="C8" s="35"/>
      <c r="D8" s="338">
        <f>+D6+5</f>
        <v>43297</v>
      </c>
      <c r="E8" s="338"/>
      <c r="G8" s="36"/>
      <c r="H8" s="59">
        <f>+$D$8</f>
        <v>43297</v>
      </c>
      <c r="I8" s="59">
        <f>+$D$8</f>
        <v>43297</v>
      </c>
      <c r="J8" s="59">
        <f>+$D$8</f>
        <v>43297</v>
      </c>
      <c r="K8" s="59">
        <f>+$D$8</f>
        <v>43297</v>
      </c>
      <c r="L8" s="59">
        <f>+$D$8</f>
        <v>43297</v>
      </c>
    </row>
    <row r="9" spans="1:13" x14ac:dyDescent="0.55000000000000004">
      <c r="A9" s="283">
        <f>ROW()</f>
        <v>9</v>
      </c>
      <c r="B9" s="36" t="s">
        <v>254</v>
      </c>
      <c r="C9" s="35"/>
      <c r="D9" s="36"/>
      <c r="E9" s="60">
        <f>DATE(2027,1,16)</f>
        <v>46403</v>
      </c>
      <c r="G9" s="36"/>
      <c r="H9" s="59">
        <f>+H5+365</f>
        <v>43116</v>
      </c>
      <c r="I9" s="59">
        <f>+I5+(365*2)</f>
        <v>43481</v>
      </c>
      <c r="J9" s="59">
        <f>+J5+(365*3)</f>
        <v>43846</v>
      </c>
      <c r="K9" s="59">
        <f>+K5+(365*4)+1</f>
        <v>44212</v>
      </c>
      <c r="L9" s="59">
        <f>+L5+(365*5)+1</f>
        <v>44577</v>
      </c>
    </row>
    <row r="10" spans="1:13" x14ac:dyDescent="0.55000000000000004">
      <c r="A10" s="283">
        <f>ROW()</f>
        <v>10</v>
      </c>
      <c r="B10" s="36" t="s">
        <v>255</v>
      </c>
      <c r="C10" s="35"/>
      <c r="D10" s="36"/>
      <c r="E10" s="61">
        <v>0.08</v>
      </c>
      <c r="G10" s="36"/>
      <c r="H10" s="62">
        <f>+$E$10</f>
        <v>0.08</v>
      </c>
      <c r="I10" s="62">
        <f>+$E$10</f>
        <v>0.08</v>
      </c>
      <c r="J10" s="62">
        <f>+$E$10</f>
        <v>0.08</v>
      </c>
      <c r="K10" s="62">
        <f>+$E$10</f>
        <v>0.08</v>
      </c>
      <c r="L10" s="62">
        <f>+$E$10</f>
        <v>0.08</v>
      </c>
    </row>
    <row r="11" spans="1:13" x14ac:dyDescent="0.55000000000000004">
      <c r="A11" s="283">
        <f>ROW()</f>
        <v>11</v>
      </c>
      <c r="B11" s="36" t="s">
        <v>256</v>
      </c>
      <c r="C11" s="35"/>
      <c r="D11" s="36"/>
      <c r="E11" s="63">
        <v>98.5</v>
      </c>
      <c r="G11" s="64"/>
      <c r="H11" s="64">
        <f>+$E$11</f>
        <v>98.5</v>
      </c>
      <c r="I11" s="64">
        <f>+$E$11</f>
        <v>98.5</v>
      </c>
      <c r="J11" s="64">
        <f>+$E$11</f>
        <v>98.5</v>
      </c>
      <c r="K11" s="64">
        <f>+$E$11</f>
        <v>98.5</v>
      </c>
      <c r="L11" s="64">
        <f>+$E$11</f>
        <v>98.5</v>
      </c>
    </row>
    <row r="12" spans="1:13" x14ac:dyDescent="0.55000000000000004">
      <c r="A12" s="283">
        <f>ROW()</f>
        <v>12</v>
      </c>
      <c r="B12" s="36" t="s">
        <v>257</v>
      </c>
      <c r="C12" s="35"/>
      <c r="D12" s="36"/>
      <c r="E12" s="63">
        <v>100</v>
      </c>
      <c r="G12" s="64"/>
      <c r="H12" s="64">
        <f>+H15</f>
        <v>105</v>
      </c>
      <c r="I12" s="64">
        <f>+I15</f>
        <v>104</v>
      </c>
      <c r="J12" s="64">
        <f>+J15</f>
        <v>103</v>
      </c>
      <c r="K12" s="64">
        <f>+K15</f>
        <v>102</v>
      </c>
      <c r="L12" s="64">
        <f>+L15</f>
        <v>101</v>
      </c>
    </row>
    <row r="13" spans="1:13" x14ac:dyDescent="0.55000000000000004">
      <c r="A13" s="283">
        <f>ROW()</f>
        <v>13</v>
      </c>
      <c r="B13" s="36" t="s">
        <v>258</v>
      </c>
      <c r="C13" s="35"/>
      <c r="D13" s="36"/>
      <c r="E13" s="36">
        <v>2</v>
      </c>
      <c r="G13" s="36"/>
      <c r="H13" s="36">
        <f>+$E$13</f>
        <v>2</v>
      </c>
      <c r="I13" s="36">
        <f>+$E$13</f>
        <v>2</v>
      </c>
      <c r="J13" s="36">
        <f>+$E$13</f>
        <v>2</v>
      </c>
      <c r="K13" s="36">
        <f>+$E$13</f>
        <v>2</v>
      </c>
      <c r="L13" s="36">
        <f>+$E$13</f>
        <v>2</v>
      </c>
    </row>
    <row r="14" spans="1:13" ht="15" customHeight="1" x14ac:dyDescent="0.55000000000000004">
      <c r="A14" s="283">
        <f>ROW()</f>
        <v>14</v>
      </c>
    </row>
    <row r="15" spans="1:13" x14ac:dyDescent="0.55000000000000004">
      <c r="A15" s="283">
        <f>ROW()</f>
        <v>15</v>
      </c>
      <c r="B15" s="198" t="s">
        <v>130</v>
      </c>
      <c r="E15" s="65"/>
      <c r="G15" s="22"/>
      <c r="H15" s="22">
        <v>105</v>
      </c>
      <c r="I15" s="66">
        <f>+H15-1</f>
        <v>104</v>
      </c>
      <c r="J15" s="66">
        <f>+I15-1</f>
        <v>103</v>
      </c>
      <c r="K15" s="66">
        <f>+J15-1</f>
        <v>102</v>
      </c>
      <c r="L15" s="66">
        <f>+K15-1</f>
        <v>101</v>
      </c>
    </row>
    <row r="16" spans="1:13" ht="14.7" thickBot="1" x14ac:dyDescent="0.6">
      <c r="A16" s="283">
        <f>ROW()</f>
        <v>16</v>
      </c>
    </row>
    <row r="17" spans="1:13" ht="14.7" thickBot="1" x14ac:dyDescent="0.6">
      <c r="A17" s="283">
        <f>ROW()</f>
        <v>17</v>
      </c>
      <c r="D17" s="34" t="s">
        <v>131</v>
      </c>
      <c r="E17" s="67">
        <f>YIELD(D8,E9,E10,E11,E12,E13)</f>
        <v>8.2489823097264922E-2</v>
      </c>
      <c r="G17" s="34" t="s">
        <v>132</v>
      </c>
      <c r="H17" s="68" t="str">
        <f>IF(H9&lt;H8,"NA",YIELD(H8,H9,H10,H11,H12,H13))</f>
        <v>NA</v>
      </c>
      <c r="I17" s="69">
        <f>IF(I9&lt;I8,"NA",YIELD(I8,I9,I10,I11,I12,I13))</f>
        <v>0.19289340101522859</v>
      </c>
      <c r="J17" s="227">
        <f>IF(J9&lt;J8,"NA",YIELD(J8,J9,J10,J11,J12,J13))</f>
        <v>0.11005892895214557</v>
      </c>
      <c r="K17" s="69">
        <f>IF(K9&lt;K8,"NA",YIELD(K8,K9,K10,K11,K12,K13))</f>
        <v>9.4154738575436964E-2</v>
      </c>
      <c r="L17" s="69">
        <f>IF(L9&lt;L8,"NA",YIELD(L8,L9,L10,L11,L12,L13))</f>
        <v>8.7571694349771217E-2</v>
      </c>
    </row>
    <row r="18" spans="1:13" ht="14.7" thickBot="1" x14ac:dyDescent="0.6">
      <c r="A18" s="283">
        <f>ROW()</f>
        <v>18</v>
      </c>
      <c r="E18" s="70"/>
      <c r="G18" s="34"/>
    </row>
    <row r="19" spans="1:13" ht="14.7" thickBot="1" x14ac:dyDescent="0.6">
      <c r="A19" s="283">
        <f>ROW()</f>
        <v>19</v>
      </c>
      <c r="D19" s="34" t="s">
        <v>133</v>
      </c>
      <c r="E19" s="71">
        <f>MIN(E17,I17,J17,K17,L17)</f>
        <v>8.2489823097264922E-2</v>
      </c>
      <c r="G19" s="34" t="s">
        <v>134</v>
      </c>
      <c r="H19" s="303">
        <f>+E22*E13/(E11*10)</f>
        <v>8.1218274111675121E-2</v>
      </c>
      <c r="I19" t="s">
        <v>335</v>
      </c>
    </row>
    <row r="20" spans="1:13" x14ac:dyDescent="0.55000000000000004">
      <c r="A20" s="283">
        <f>ROW()</f>
        <v>20</v>
      </c>
      <c r="J20" s="197" t="s">
        <v>252</v>
      </c>
    </row>
    <row r="21" spans="1:13" x14ac:dyDescent="0.55000000000000004">
      <c r="A21" s="283">
        <f>ROW()</f>
        <v>21</v>
      </c>
      <c r="B21" s="36" t="s">
        <v>135</v>
      </c>
      <c r="C21" s="213"/>
      <c r="D21" s="198"/>
      <c r="E21" s="206">
        <v>1000</v>
      </c>
      <c r="F21" s="198"/>
      <c r="J21" s="197" t="s">
        <v>251</v>
      </c>
    </row>
    <row r="22" spans="1:13" x14ac:dyDescent="0.55000000000000004">
      <c r="A22" s="283">
        <f>ROW()</f>
        <v>22</v>
      </c>
      <c r="B22" s="36" t="s">
        <v>136</v>
      </c>
      <c r="C22" s="213"/>
      <c r="D22" s="198"/>
      <c r="E22" s="285">
        <f>+E10*E21/2</f>
        <v>40</v>
      </c>
      <c r="F22" s="285" t="s">
        <v>315</v>
      </c>
    </row>
    <row r="23" spans="1:13" x14ac:dyDescent="0.55000000000000004">
      <c r="A23" s="283">
        <f>ROW()</f>
        <v>23</v>
      </c>
      <c r="B23" s="36" t="s">
        <v>137</v>
      </c>
      <c r="C23" s="213"/>
      <c r="D23" s="198"/>
      <c r="E23" s="207">
        <f>+(E9-E5)/365</f>
        <v>10.005479452054795</v>
      </c>
      <c r="F23" s="36" t="s">
        <v>138</v>
      </c>
      <c r="G23" s="20"/>
    </row>
    <row r="24" spans="1:13" x14ac:dyDescent="0.55000000000000004">
      <c r="A24" s="283">
        <f>ROW()</f>
        <v>24</v>
      </c>
    </row>
    <row r="25" spans="1:13" x14ac:dyDescent="0.55000000000000004">
      <c r="A25" s="283">
        <f>ROW()</f>
        <v>25</v>
      </c>
      <c r="B25" s="226" t="s">
        <v>241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</row>
    <row r="26" spans="1:13" x14ac:dyDescent="0.55000000000000004">
      <c r="A26" s="283">
        <f>ROW()</f>
        <v>26</v>
      </c>
    </row>
    <row r="27" spans="1:13" s="209" customFormat="1" ht="29.1" thickBot="1" x14ac:dyDescent="0.6">
      <c r="A27" s="289">
        <f>ROW()</f>
        <v>27</v>
      </c>
      <c r="C27" s="218" t="s">
        <v>244</v>
      </c>
      <c r="D27" s="218" t="s">
        <v>243</v>
      </c>
      <c r="E27" s="219" t="s">
        <v>116</v>
      </c>
      <c r="F27" s="220"/>
      <c r="G27" s="220"/>
      <c r="H27" s="219" t="s">
        <v>117</v>
      </c>
      <c r="I27" s="219" t="s">
        <v>118</v>
      </c>
      <c r="J27" s="219" t="s">
        <v>119</v>
      </c>
      <c r="K27" s="219" t="s">
        <v>120</v>
      </c>
      <c r="L27" s="219" t="s">
        <v>121</v>
      </c>
    </row>
    <row r="28" spans="1:13" ht="14.7" thickTop="1" x14ac:dyDescent="0.55000000000000004">
      <c r="A28" s="283">
        <f>ROW()</f>
        <v>28</v>
      </c>
      <c r="D28" s="6"/>
      <c r="E28" s="214">
        <f>-E11*10</f>
        <v>-985</v>
      </c>
      <c r="H28" s="215"/>
      <c r="I28" s="214">
        <f t="shared" ref="I28:L28" si="0">-I11*10</f>
        <v>-985</v>
      </c>
      <c r="J28" s="214">
        <f t="shared" si="0"/>
        <v>-985</v>
      </c>
      <c r="K28" s="214">
        <f t="shared" si="0"/>
        <v>-985</v>
      </c>
      <c r="L28" s="214">
        <f t="shared" si="0"/>
        <v>-985</v>
      </c>
    </row>
    <row r="29" spans="1:13" x14ac:dyDescent="0.55000000000000004">
      <c r="A29" s="283">
        <f>ROW()</f>
        <v>29</v>
      </c>
      <c r="C29" s="6">
        <v>1</v>
      </c>
      <c r="D29" s="210">
        <f>DATE(2019,1,16)</f>
        <v>43481</v>
      </c>
      <c r="E29" s="22">
        <f t="shared" ref="E29:E44" si="1">+$E$10/$E$13*$E$21</f>
        <v>40</v>
      </c>
      <c r="H29" s="215"/>
      <c r="I29" s="214">
        <f>+$E$10/E13*$E$21+($I$15*10)</f>
        <v>1080</v>
      </c>
      <c r="J29" s="22">
        <f t="shared" ref="J29:L30" si="2">+$E$10/$E$13*$E$21</f>
        <v>40</v>
      </c>
      <c r="K29" s="22">
        <f t="shared" si="2"/>
        <v>40</v>
      </c>
      <c r="L29" s="22">
        <f t="shared" si="2"/>
        <v>40</v>
      </c>
    </row>
    <row r="30" spans="1:13" x14ac:dyDescent="0.55000000000000004">
      <c r="A30" s="283">
        <f>ROW()</f>
        <v>30</v>
      </c>
      <c r="C30" s="6">
        <v>2</v>
      </c>
      <c r="D30" s="211">
        <f>+D29+181</f>
        <v>43662</v>
      </c>
      <c r="E30" s="22">
        <f t="shared" si="1"/>
        <v>40</v>
      </c>
      <c r="H30" s="215"/>
      <c r="I30" s="22"/>
      <c r="J30" s="22">
        <f t="shared" si="2"/>
        <v>40</v>
      </c>
      <c r="K30" s="22">
        <f t="shared" si="2"/>
        <v>40</v>
      </c>
      <c r="L30" s="22">
        <f t="shared" si="2"/>
        <v>40</v>
      </c>
    </row>
    <row r="31" spans="1:13" x14ac:dyDescent="0.55000000000000004">
      <c r="A31" s="283">
        <f>ROW()</f>
        <v>31</v>
      </c>
      <c r="C31" s="6">
        <v>3</v>
      </c>
      <c r="D31" s="211">
        <f>+D29+365</f>
        <v>43846</v>
      </c>
      <c r="E31" s="22">
        <f t="shared" si="1"/>
        <v>40</v>
      </c>
      <c r="H31" s="215"/>
      <c r="I31" s="22"/>
      <c r="J31" s="214">
        <f>+$E$10/$E$13*$E$21+J15*10</f>
        <v>1070</v>
      </c>
      <c r="K31" s="22">
        <f t="shared" ref="K31:L33" si="3">+$E$10/$E$13*$E$21</f>
        <v>40</v>
      </c>
      <c r="L31" s="22">
        <f t="shared" si="3"/>
        <v>40</v>
      </c>
    </row>
    <row r="32" spans="1:13" x14ac:dyDescent="0.55000000000000004">
      <c r="A32" s="283">
        <f>ROW()</f>
        <v>32</v>
      </c>
      <c r="C32" s="6">
        <v>4</v>
      </c>
      <c r="D32" s="211">
        <f>+D30+366</f>
        <v>44028</v>
      </c>
      <c r="E32" s="22">
        <f t="shared" si="1"/>
        <v>40</v>
      </c>
      <c r="I32" s="22"/>
      <c r="J32" s="22"/>
      <c r="K32" s="22">
        <f t="shared" si="3"/>
        <v>40</v>
      </c>
      <c r="L32" s="22">
        <f t="shared" si="3"/>
        <v>40</v>
      </c>
    </row>
    <row r="33" spans="1:12" x14ac:dyDescent="0.55000000000000004">
      <c r="A33" s="283">
        <f>ROW()</f>
        <v>33</v>
      </c>
      <c r="C33" s="6">
        <v>5</v>
      </c>
      <c r="D33" s="211">
        <f>+D31+366</f>
        <v>44212</v>
      </c>
      <c r="E33" s="22">
        <f t="shared" si="1"/>
        <v>40</v>
      </c>
      <c r="H33" s="215"/>
      <c r="I33" s="22"/>
      <c r="J33" s="22"/>
      <c r="K33" s="224">
        <f>+$E$10/$E$13*$E$21+K12*10</f>
        <v>1060</v>
      </c>
      <c r="L33" s="22">
        <f t="shared" si="3"/>
        <v>40</v>
      </c>
    </row>
    <row r="34" spans="1:12" x14ac:dyDescent="0.55000000000000004">
      <c r="A34" s="283">
        <f>ROW()</f>
        <v>34</v>
      </c>
      <c r="C34" s="6">
        <v>6</v>
      </c>
      <c r="D34" s="211">
        <f t="shared" ref="D34:D39" si="4">+D32+365</f>
        <v>44393</v>
      </c>
      <c r="E34" s="22">
        <f t="shared" si="1"/>
        <v>40</v>
      </c>
      <c r="H34" s="215"/>
      <c r="I34" s="22"/>
      <c r="J34" s="22"/>
      <c r="K34" s="224"/>
      <c r="L34" s="22">
        <f>+$E$10/$E$13*$E$21</f>
        <v>40</v>
      </c>
    </row>
    <row r="35" spans="1:12" x14ac:dyDescent="0.55000000000000004">
      <c r="A35" s="283">
        <f>ROW()</f>
        <v>35</v>
      </c>
      <c r="C35" s="6">
        <v>7</v>
      </c>
      <c r="D35" s="211">
        <f t="shared" si="4"/>
        <v>44577</v>
      </c>
      <c r="E35" s="22">
        <f t="shared" si="1"/>
        <v>40</v>
      </c>
      <c r="H35" s="215"/>
      <c r="I35" s="22"/>
      <c r="J35" s="22"/>
      <c r="K35" s="22"/>
      <c r="L35" s="214">
        <f>+$E$10/$E$13*$E$21+$L$12*10</f>
        <v>1050</v>
      </c>
    </row>
    <row r="36" spans="1:12" x14ac:dyDescent="0.55000000000000004">
      <c r="A36" s="283">
        <f>ROW()</f>
        <v>36</v>
      </c>
      <c r="C36" s="6">
        <v>8</v>
      </c>
      <c r="D36" s="211">
        <f t="shared" si="4"/>
        <v>44758</v>
      </c>
      <c r="E36" s="22">
        <f t="shared" si="1"/>
        <v>40</v>
      </c>
      <c r="H36" s="224" t="s">
        <v>249</v>
      </c>
      <c r="I36" s="22"/>
      <c r="J36" s="22"/>
      <c r="K36" s="22"/>
      <c r="L36" s="214"/>
    </row>
    <row r="37" spans="1:12" x14ac:dyDescent="0.55000000000000004">
      <c r="A37" s="283">
        <f>ROW()</f>
        <v>37</v>
      </c>
      <c r="C37" s="6">
        <v>9</v>
      </c>
      <c r="D37" s="211">
        <f t="shared" si="4"/>
        <v>44942</v>
      </c>
      <c r="E37" s="22">
        <f t="shared" si="1"/>
        <v>40</v>
      </c>
      <c r="H37" s="215"/>
      <c r="I37" s="22"/>
      <c r="J37" s="22"/>
      <c r="K37" s="22"/>
      <c r="L37" s="22"/>
    </row>
    <row r="38" spans="1:12" x14ac:dyDescent="0.55000000000000004">
      <c r="A38" s="283">
        <f>ROW()</f>
        <v>38</v>
      </c>
      <c r="C38" s="6">
        <v>10</v>
      </c>
      <c r="D38" s="211">
        <f t="shared" si="4"/>
        <v>45123</v>
      </c>
      <c r="E38" s="22">
        <f t="shared" si="1"/>
        <v>40</v>
      </c>
      <c r="H38" s="215"/>
      <c r="I38" s="222" t="s">
        <v>259</v>
      </c>
      <c r="J38" s="22"/>
      <c r="K38" s="22"/>
      <c r="L38" s="22"/>
    </row>
    <row r="39" spans="1:12" x14ac:dyDescent="0.55000000000000004">
      <c r="A39" s="283">
        <f>ROW()</f>
        <v>39</v>
      </c>
      <c r="C39" s="6">
        <v>11</v>
      </c>
      <c r="D39" s="211">
        <f t="shared" si="4"/>
        <v>45307</v>
      </c>
      <c r="E39" s="22">
        <f t="shared" si="1"/>
        <v>40</v>
      </c>
      <c r="H39" s="215"/>
      <c r="I39" s="222" t="s">
        <v>260</v>
      </c>
      <c r="J39" s="22"/>
      <c r="K39" s="22"/>
      <c r="L39" s="22"/>
    </row>
    <row r="40" spans="1:12" x14ac:dyDescent="0.55000000000000004">
      <c r="A40" s="283">
        <f>ROW()</f>
        <v>40</v>
      </c>
      <c r="C40" s="6">
        <v>12</v>
      </c>
      <c r="D40" s="211">
        <f>+D38+366</f>
        <v>45489</v>
      </c>
      <c r="E40" s="22">
        <f t="shared" si="1"/>
        <v>40</v>
      </c>
      <c r="H40" s="215"/>
      <c r="I40" s="22"/>
      <c r="J40" s="22"/>
      <c r="K40" s="22"/>
      <c r="L40" s="22"/>
    </row>
    <row r="41" spans="1:12" x14ac:dyDescent="0.55000000000000004">
      <c r="A41" s="283">
        <f>ROW()</f>
        <v>41</v>
      </c>
      <c r="C41" s="6">
        <v>13</v>
      </c>
      <c r="D41" s="211">
        <f>+D39+366</f>
        <v>45673</v>
      </c>
      <c r="E41" s="22">
        <f t="shared" si="1"/>
        <v>40</v>
      </c>
      <c r="H41" s="215"/>
      <c r="I41" s="22"/>
      <c r="J41" s="22"/>
      <c r="K41" s="22"/>
      <c r="L41" s="22"/>
    </row>
    <row r="42" spans="1:12" x14ac:dyDescent="0.55000000000000004">
      <c r="A42" s="283">
        <f>ROW()</f>
        <v>42</v>
      </c>
      <c r="C42" s="6">
        <v>14</v>
      </c>
      <c r="D42" s="211">
        <f>+D40+365</f>
        <v>45854</v>
      </c>
      <c r="E42" s="22">
        <f t="shared" si="1"/>
        <v>40</v>
      </c>
      <c r="H42" s="215"/>
      <c r="I42" s="22"/>
      <c r="J42" s="22"/>
      <c r="K42" s="22"/>
      <c r="L42" s="22"/>
    </row>
    <row r="43" spans="1:12" x14ac:dyDescent="0.55000000000000004">
      <c r="A43" s="283">
        <f>ROW()</f>
        <v>43</v>
      </c>
      <c r="C43" s="6">
        <v>15</v>
      </c>
      <c r="D43" s="211">
        <f>+D41+365</f>
        <v>46038</v>
      </c>
      <c r="E43" s="22">
        <f t="shared" si="1"/>
        <v>40</v>
      </c>
      <c r="H43" s="215"/>
      <c r="I43" s="22"/>
      <c r="J43" s="22"/>
      <c r="K43" s="22"/>
      <c r="L43" s="22"/>
    </row>
    <row r="44" spans="1:12" x14ac:dyDescent="0.55000000000000004">
      <c r="A44" s="283">
        <f>ROW()</f>
        <v>44</v>
      </c>
      <c r="C44" s="6">
        <v>16</v>
      </c>
      <c r="D44" s="211">
        <f>+D42+365</f>
        <v>46219</v>
      </c>
      <c r="E44" s="22">
        <f t="shared" si="1"/>
        <v>40</v>
      </c>
      <c r="H44" s="215"/>
      <c r="I44" s="22"/>
      <c r="J44" s="22"/>
      <c r="K44" s="22"/>
      <c r="L44" s="22"/>
    </row>
    <row r="45" spans="1:12" x14ac:dyDescent="0.55000000000000004">
      <c r="A45" s="283">
        <f>ROW()</f>
        <v>45</v>
      </c>
      <c r="C45" s="6">
        <v>17</v>
      </c>
      <c r="D45" s="211">
        <f>+D43+365</f>
        <v>46403</v>
      </c>
      <c r="E45" s="22">
        <f>+$E$10/$E$13*$E$21+E21</f>
        <v>1040</v>
      </c>
      <c r="H45" s="215"/>
      <c r="I45" s="22"/>
      <c r="J45" s="22"/>
      <c r="K45" s="22"/>
      <c r="L45" s="22"/>
    </row>
    <row r="46" spans="1:12" ht="14.7" thickBot="1" x14ac:dyDescent="0.6">
      <c r="A46" s="283">
        <f>ROW()</f>
        <v>46</v>
      </c>
      <c r="B46" s="200" t="s">
        <v>246</v>
      </c>
      <c r="C46" s="200"/>
      <c r="D46" s="200"/>
      <c r="E46" s="221">
        <f>IRR(E28:E45)*2</f>
        <v>8.2489823097202208E-2</v>
      </c>
      <c r="F46" s="200"/>
      <c r="G46" s="200"/>
      <c r="H46" s="217" t="s">
        <v>245</v>
      </c>
      <c r="I46" s="221">
        <f>IRR(I28:I45)*2</f>
        <v>0.19289340101522834</v>
      </c>
      <c r="J46" s="221">
        <f>IRR(J28:J45)*2</f>
        <v>0.11005892895215652</v>
      </c>
      <c r="K46" s="221">
        <f>IRR(K28:K45)*2</f>
        <v>9.4154738575521257E-2</v>
      </c>
      <c r="L46" s="216">
        <f t="shared" ref="L46" si="5">IRR(L28:L45)*2</f>
        <v>8.7571694349771079E-2</v>
      </c>
    </row>
    <row r="47" spans="1:12" ht="14.7" thickTop="1" x14ac:dyDescent="0.55000000000000004">
      <c r="A47" s="283">
        <f>ROW()</f>
        <v>47</v>
      </c>
      <c r="E47" s="198" t="s">
        <v>250</v>
      </c>
      <c r="I47" s="223" t="s">
        <v>248</v>
      </c>
    </row>
    <row r="48" spans="1:12" ht="5.5" customHeight="1" x14ac:dyDescent="0.55000000000000004">
      <c r="A48" s="286"/>
      <c r="E48" s="198"/>
      <c r="I48" s="222"/>
      <c r="J48" s="223"/>
    </row>
    <row r="49" spans="1:13" x14ac:dyDescent="0.55000000000000004">
      <c r="A49" s="276"/>
      <c r="B49" s="276"/>
      <c r="C49" s="277"/>
      <c r="D49" s="276"/>
      <c r="E49" s="276"/>
      <c r="F49" s="276"/>
      <c r="G49" s="276"/>
      <c r="H49" s="276"/>
      <c r="I49" s="276"/>
      <c r="J49" s="276"/>
      <c r="K49" s="276"/>
      <c r="L49" s="276"/>
      <c r="M49" s="278" t="s">
        <v>280</v>
      </c>
    </row>
  </sheetData>
  <mergeCells count="2">
    <mergeCell ref="D6:E6"/>
    <mergeCell ref="D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4023-C735-4375-A696-7CDED38DC8A0}">
  <dimension ref="B1:H23"/>
  <sheetViews>
    <sheetView showGridLines="0" workbookViewId="0">
      <selection activeCell="K14" sqref="K14"/>
    </sheetView>
  </sheetViews>
  <sheetFormatPr defaultRowHeight="14.4" x14ac:dyDescent="0.55000000000000004"/>
  <cols>
    <col min="2" max="2" width="9.5234375" customWidth="1"/>
    <col min="6" max="6" width="11.734375" customWidth="1"/>
    <col min="7" max="7" width="7.734375" customWidth="1"/>
  </cols>
  <sheetData>
    <row r="1" spans="2:8" ht="22.75" customHeight="1" x14ac:dyDescent="0.55000000000000004">
      <c r="B1" s="341" t="s">
        <v>291</v>
      </c>
      <c r="C1" s="342"/>
      <c r="D1" s="342"/>
      <c r="E1" s="342"/>
      <c r="F1" s="342"/>
      <c r="G1" s="342"/>
      <c r="H1" s="342"/>
    </row>
    <row r="3" spans="2:8" ht="28.8" x14ac:dyDescent="0.55000000000000004">
      <c r="B3" s="249" t="s">
        <v>285</v>
      </c>
      <c r="H3" s="249" t="s">
        <v>286</v>
      </c>
    </row>
    <row r="4" spans="2:8" x14ac:dyDescent="0.55000000000000004">
      <c r="G4" s="339" t="s">
        <v>290</v>
      </c>
      <c r="H4" s="340"/>
    </row>
    <row r="5" spans="2:8" x14ac:dyDescent="0.55000000000000004">
      <c r="F5" s="339" t="s">
        <v>289</v>
      </c>
      <c r="G5" s="344"/>
      <c r="H5" s="189"/>
    </row>
    <row r="6" spans="2:8" x14ac:dyDescent="0.55000000000000004">
      <c r="B6" s="198" t="s">
        <v>284</v>
      </c>
      <c r="F6" s="251"/>
      <c r="G6" s="250"/>
      <c r="H6" s="189"/>
    </row>
    <row r="7" spans="2:8" x14ac:dyDescent="0.55000000000000004">
      <c r="B7" s="198"/>
      <c r="F7" s="250" t="s">
        <v>287</v>
      </c>
      <c r="G7" s="251"/>
      <c r="H7" s="189"/>
    </row>
    <row r="8" spans="2:8" x14ac:dyDescent="0.55000000000000004">
      <c r="B8" s="198"/>
      <c r="F8" s="180"/>
      <c r="G8" s="180"/>
    </row>
    <row r="9" spans="2:8" x14ac:dyDescent="0.55000000000000004">
      <c r="B9" s="198"/>
      <c r="F9" s="180"/>
      <c r="G9" s="180"/>
    </row>
    <row r="10" spans="2:8" ht="14.7" thickBot="1" x14ac:dyDescent="0.6">
      <c r="B10" s="343" t="s">
        <v>282</v>
      </c>
      <c r="C10" s="247"/>
      <c r="D10" s="247"/>
      <c r="E10" s="248" t="s">
        <v>281</v>
      </c>
      <c r="F10" s="252"/>
      <c r="G10" s="252"/>
      <c r="H10" s="247"/>
    </row>
    <row r="11" spans="2:8" x14ac:dyDescent="0.55000000000000004">
      <c r="B11" s="343"/>
      <c r="F11" s="180"/>
      <c r="G11" s="180"/>
    </row>
    <row r="12" spans="2:8" x14ac:dyDescent="0.55000000000000004">
      <c r="B12" s="198"/>
      <c r="F12" s="180"/>
      <c r="G12" s="180"/>
    </row>
    <row r="13" spans="2:8" x14ac:dyDescent="0.55000000000000004">
      <c r="B13" s="198"/>
      <c r="F13" s="180"/>
      <c r="G13" s="180"/>
    </row>
    <row r="14" spans="2:8" x14ac:dyDescent="0.55000000000000004">
      <c r="B14" s="198"/>
      <c r="F14" s="180"/>
      <c r="G14" s="180"/>
    </row>
    <row r="15" spans="2:8" x14ac:dyDescent="0.55000000000000004">
      <c r="B15" s="198" t="s">
        <v>283</v>
      </c>
      <c r="F15" s="250" t="s">
        <v>288</v>
      </c>
      <c r="G15" s="180"/>
    </row>
    <row r="16" spans="2:8" x14ac:dyDescent="0.55000000000000004">
      <c r="B16" s="198"/>
      <c r="F16" s="180"/>
      <c r="G16" s="180"/>
    </row>
    <row r="17" spans="2:8" x14ac:dyDescent="0.55000000000000004">
      <c r="F17" s="339" t="s">
        <v>289</v>
      </c>
      <c r="G17" s="344"/>
    </row>
    <row r="18" spans="2:8" x14ac:dyDescent="0.55000000000000004">
      <c r="G18" s="180"/>
    </row>
    <row r="19" spans="2:8" x14ac:dyDescent="0.55000000000000004">
      <c r="G19" s="180"/>
    </row>
    <row r="20" spans="2:8" x14ac:dyDescent="0.55000000000000004">
      <c r="G20" s="339" t="s">
        <v>290</v>
      </c>
      <c r="H20" s="340"/>
    </row>
    <row r="22" spans="2:8" x14ac:dyDescent="0.55000000000000004">
      <c r="B22" s="198" t="s">
        <v>293</v>
      </c>
    </row>
    <row r="23" spans="2:8" x14ac:dyDescent="0.55000000000000004">
      <c r="H23" s="13" t="s">
        <v>292</v>
      </c>
    </row>
  </sheetData>
  <mergeCells count="6">
    <mergeCell ref="G20:H20"/>
    <mergeCell ref="B1:H1"/>
    <mergeCell ref="B10:B11"/>
    <mergeCell ref="F5:G5"/>
    <mergeCell ref="G4:H4"/>
    <mergeCell ref="F17:G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E1A2-65F2-4053-B1AF-0AD52BFD1121}">
  <dimension ref="A1:AT36"/>
  <sheetViews>
    <sheetView tabSelected="1" zoomScale="78" zoomScaleNormal="78" workbookViewId="0">
      <selection activeCell="E21" sqref="E21"/>
    </sheetView>
  </sheetViews>
  <sheetFormatPr defaultRowHeight="14.4" x14ac:dyDescent="0.55000000000000004"/>
  <cols>
    <col min="1" max="1" width="4.26171875" customWidth="1"/>
    <col min="2" max="2" width="18.26171875" customWidth="1"/>
    <col min="3" max="3" width="15.15625" customWidth="1"/>
    <col min="4" max="4" width="11.47265625" customWidth="1"/>
    <col min="5" max="5" width="12.5234375" customWidth="1"/>
    <col min="6" max="6" width="11.15625" customWidth="1"/>
    <col min="7" max="7" width="12.47265625" customWidth="1"/>
    <col min="8" max="8" width="11.26171875" customWidth="1"/>
    <col min="9" max="9" width="13.26171875" customWidth="1"/>
    <col min="10" max="10" width="17.734375" bestFit="1" customWidth="1"/>
    <col min="11" max="11" width="11.26171875" customWidth="1"/>
    <col min="12" max="12" width="15.89453125" customWidth="1"/>
    <col min="13" max="13" width="17.47265625" customWidth="1"/>
    <col min="14" max="16" width="9.3671875" customWidth="1"/>
    <col min="17" max="24" width="8.62890625" customWidth="1"/>
    <col min="25" max="25" width="10.26171875" customWidth="1"/>
    <col min="26" max="26" width="10" customWidth="1"/>
    <col min="29" max="29" width="12.5234375" customWidth="1"/>
    <col min="30" max="30" width="13.15625" customWidth="1"/>
    <col min="257" max="257" width="4.26171875" customWidth="1"/>
    <col min="258" max="258" width="18.26171875" customWidth="1"/>
    <col min="259" max="259" width="10.26171875" bestFit="1" customWidth="1"/>
    <col min="260" max="260" width="11.47265625" customWidth="1"/>
    <col min="261" max="262" width="12.5234375" customWidth="1"/>
    <col min="263" max="263" width="10.26171875" bestFit="1" customWidth="1"/>
    <col min="264" max="269" width="11.26171875" customWidth="1"/>
    <col min="270" max="270" width="12.15625" customWidth="1"/>
    <col min="271" max="271" width="4.1015625" customWidth="1"/>
    <col min="272" max="272" width="4.7890625" customWidth="1"/>
    <col min="273" max="273" width="11.26171875" customWidth="1"/>
    <col min="274" max="274" width="12" customWidth="1"/>
    <col min="275" max="275" width="12.26171875" customWidth="1"/>
    <col min="276" max="276" width="11" customWidth="1"/>
    <col min="277" max="277" width="10.7890625" customWidth="1"/>
    <col min="278" max="278" width="12" customWidth="1"/>
    <col min="279" max="279" width="14.7890625" customWidth="1"/>
    <col min="280" max="280" width="13.734375" customWidth="1"/>
    <col min="281" max="281" width="13.7890625" customWidth="1"/>
    <col min="285" max="285" width="12.5234375" customWidth="1"/>
    <col min="286" max="286" width="13.15625" customWidth="1"/>
    <col min="513" max="513" width="4.26171875" customWidth="1"/>
    <col min="514" max="514" width="18.26171875" customWidth="1"/>
    <col min="515" max="515" width="10.26171875" bestFit="1" customWidth="1"/>
    <col min="516" max="516" width="11.47265625" customWidth="1"/>
    <col min="517" max="518" width="12.5234375" customWidth="1"/>
    <col min="519" max="519" width="10.26171875" bestFit="1" customWidth="1"/>
    <col min="520" max="525" width="11.26171875" customWidth="1"/>
    <col min="526" max="526" width="12.15625" customWidth="1"/>
    <col min="527" max="527" width="4.1015625" customWidth="1"/>
    <col min="528" max="528" width="4.7890625" customWidth="1"/>
    <col min="529" max="529" width="11.26171875" customWidth="1"/>
    <col min="530" max="530" width="12" customWidth="1"/>
    <col min="531" max="531" width="12.26171875" customWidth="1"/>
    <col min="532" max="532" width="11" customWidth="1"/>
    <col min="533" max="533" width="10.7890625" customWidth="1"/>
    <col min="534" max="534" width="12" customWidth="1"/>
    <col min="535" max="535" width="14.7890625" customWidth="1"/>
    <col min="536" max="536" width="13.734375" customWidth="1"/>
    <col min="537" max="537" width="13.7890625" customWidth="1"/>
    <col min="541" max="541" width="12.5234375" customWidth="1"/>
    <col min="542" max="542" width="13.15625" customWidth="1"/>
    <col min="769" max="769" width="4.26171875" customWidth="1"/>
    <col min="770" max="770" width="18.26171875" customWidth="1"/>
    <col min="771" max="771" width="10.26171875" bestFit="1" customWidth="1"/>
    <col min="772" max="772" width="11.47265625" customWidth="1"/>
    <col min="773" max="774" width="12.5234375" customWidth="1"/>
    <col min="775" max="775" width="10.26171875" bestFit="1" customWidth="1"/>
    <col min="776" max="781" width="11.26171875" customWidth="1"/>
    <col min="782" max="782" width="12.15625" customWidth="1"/>
    <col min="783" max="783" width="4.1015625" customWidth="1"/>
    <col min="784" max="784" width="4.7890625" customWidth="1"/>
    <col min="785" max="785" width="11.26171875" customWidth="1"/>
    <col min="786" max="786" width="12" customWidth="1"/>
    <col min="787" max="787" width="12.26171875" customWidth="1"/>
    <col min="788" max="788" width="11" customWidth="1"/>
    <col min="789" max="789" width="10.7890625" customWidth="1"/>
    <col min="790" max="790" width="12" customWidth="1"/>
    <col min="791" max="791" width="14.7890625" customWidth="1"/>
    <col min="792" max="792" width="13.734375" customWidth="1"/>
    <col min="793" max="793" width="13.7890625" customWidth="1"/>
    <col min="797" max="797" width="12.5234375" customWidth="1"/>
    <col min="798" max="798" width="13.15625" customWidth="1"/>
    <col min="1025" max="1025" width="4.26171875" customWidth="1"/>
    <col min="1026" max="1026" width="18.26171875" customWidth="1"/>
    <col min="1027" max="1027" width="10.26171875" bestFit="1" customWidth="1"/>
    <col min="1028" max="1028" width="11.47265625" customWidth="1"/>
    <col min="1029" max="1030" width="12.5234375" customWidth="1"/>
    <col min="1031" max="1031" width="10.26171875" bestFit="1" customWidth="1"/>
    <col min="1032" max="1037" width="11.26171875" customWidth="1"/>
    <col min="1038" max="1038" width="12.15625" customWidth="1"/>
    <col min="1039" max="1039" width="4.1015625" customWidth="1"/>
    <col min="1040" max="1040" width="4.7890625" customWidth="1"/>
    <col min="1041" max="1041" width="11.26171875" customWidth="1"/>
    <col min="1042" max="1042" width="12" customWidth="1"/>
    <col min="1043" max="1043" width="12.26171875" customWidth="1"/>
    <col min="1044" max="1044" width="11" customWidth="1"/>
    <col min="1045" max="1045" width="10.7890625" customWidth="1"/>
    <col min="1046" max="1046" width="12" customWidth="1"/>
    <col min="1047" max="1047" width="14.7890625" customWidth="1"/>
    <col min="1048" max="1048" width="13.734375" customWidth="1"/>
    <col min="1049" max="1049" width="13.7890625" customWidth="1"/>
    <col min="1053" max="1053" width="12.5234375" customWidth="1"/>
    <col min="1054" max="1054" width="13.15625" customWidth="1"/>
    <col min="1281" max="1281" width="4.26171875" customWidth="1"/>
    <col min="1282" max="1282" width="18.26171875" customWidth="1"/>
    <col min="1283" max="1283" width="10.26171875" bestFit="1" customWidth="1"/>
    <col min="1284" max="1284" width="11.47265625" customWidth="1"/>
    <col min="1285" max="1286" width="12.5234375" customWidth="1"/>
    <col min="1287" max="1287" width="10.26171875" bestFit="1" customWidth="1"/>
    <col min="1288" max="1293" width="11.26171875" customWidth="1"/>
    <col min="1294" max="1294" width="12.15625" customWidth="1"/>
    <col min="1295" max="1295" width="4.1015625" customWidth="1"/>
    <col min="1296" max="1296" width="4.7890625" customWidth="1"/>
    <col min="1297" max="1297" width="11.26171875" customWidth="1"/>
    <col min="1298" max="1298" width="12" customWidth="1"/>
    <col min="1299" max="1299" width="12.26171875" customWidth="1"/>
    <col min="1300" max="1300" width="11" customWidth="1"/>
    <col min="1301" max="1301" width="10.7890625" customWidth="1"/>
    <col min="1302" max="1302" width="12" customWidth="1"/>
    <col min="1303" max="1303" width="14.7890625" customWidth="1"/>
    <col min="1304" max="1304" width="13.734375" customWidth="1"/>
    <col min="1305" max="1305" width="13.7890625" customWidth="1"/>
    <col min="1309" max="1309" width="12.5234375" customWidth="1"/>
    <col min="1310" max="1310" width="13.15625" customWidth="1"/>
    <col min="1537" max="1537" width="4.26171875" customWidth="1"/>
    <col min="1538" max="1538" width="18.26171875" customWidth="1"/>
    <col min="1539" max="1539" width="10.26171875" bestFit="1" customWidth="1"/>
    <col min="1540" max="1540" width="11.47265625" customWidth="1"/>
    <col min="1541" max="1542" width="12.5234375" customWidth="1"/>
    <col min="1543" max="1543" width="10.26171875" bestFit="1" customWidth="1"/>
    <col min="1544" max="1549" width="11.26171875" customWidth="1"/>
    <col min="1550" max="1550" width="12.15625" customWidth="1"/>
    <col min="1551" max="1551" width="4.1015625" customWidth="1"/>
    <col min="1552" max="1552" width="4.7890625" customWidth="1"/>
    <col min="1553" max="1553" width="11.26171875" customWidth="1"/>
    <col min="1554" max="1554" width="12" customWidth="1"/>
    <col min="1555" max="1555" width="12.26171875" customWidth="1"/>
    <col min="1556" max="1556" width="11" customWidth="1"/>
    <col min="1557" max="1557" width="10.7890625" customWidth="1"/>
    <col min="1558" max="1558" width="12" customWidth="1"/>
    <col min="1559" max="1559" width="14.7890625" customWidth="1"/>
    <col min="1560" max="1560" width="13.734375" customWidth="1"/>
    <col min="1561" max="1561" width="13.7890625" customWidth="1"/>
    <col min="1565" max="1565" width="12.5234375" customWidth="1"/>
    <col min="1566" max="1566" width="13.15625" customWidth="1"/>
    <col min="1793" max="1793" width="4.26171875" customWidth="1"/>
    <col min="1794" max="1794" width="18.26171875" customWidth="1"/>
    <col min="1795" max="1795" width="10.26171875" bestFit="1" customWidth="1"/>
    <col min="1796" max="1796" width="11.47265625" customWidth="1"/>
    <col min="1797" max="1798" width="12.5234375" customWidth="1"/>
    <col min="1799" max="1799" width="10.26171875" bestFit="1" customWidth="1"/>
    <col min="1800" max="1805" width="11.26171875" customWidth="1"/>
    <col min="1806" max="1806" width="12.15625" customWidth="1"/>
    <col min="1807" max="1807" width="4.1015625" customWidth="1"/>
    <col min="1808" max="1808" width="4.7890625" customWidth="1"/>
    <col min="1809" max="1809" width="11.26171875" customWidth="1"/>
    <col min="1810" max="1810" width="12" customWidth="1"/>
    <col min="1811" max="1811" width="12.26171875" customWidth="1"/>
    <col min="1812" max="1812" width="11" customWidth="1"/>
    <col min="1813" max="1813" width="10.7890625" customWidth="1"/>
    <col min="1814" max="1814" width="12" customWidth="1"/>
    <col min="1815" max="1815" width="14.7890625" customWidth="1"/>
    <col min="1816" max="1816" width="13.734375" customWidth="1"/>
    <col min="1817" max="1817" width="13.7890625" customWidth="1"/>
    <col min="1821" max="1821" width="12.5234375" customWidth="1"/>
    <col min="1822" max="1822" width="13.15625" customWidth="1"/>
    <col min="2049" max="2049" width="4.26171875" customWidth="1"/>
    <col min="2050" max="2050" width="18.26171875" customWidth="1"/>
    <col min="2051" max="2051" width="10.26171875" bestFit="1" customWidth="1"/>
    <col min="2052" max="2052" width="11.47265625" customWidth="1"/>
    <col min="2053" max="2054" width="12.5234375" customWidth="1"/>
    <col min="2055" max="2055" width="10.26171875" bestFit="1" customWidth="1"/>
    <col min="2056" max="2061" width="11.26171875" customWidth="1"/>
    <col min="2062" max="2062" width="12.15625" customWidth="1"/>
    <col min="2063" max="2063" width="4.1015625" customWidth="1"/>
    <col min="2064" max="2064" width="4.7890625" customWidth="1"/>
    <col min="2065" max="2065" width="11.26171875" customWidth="1"/>
    <col min="2066" max="2066" width="12" customWidth="1"/>
    <col min="2067" max="2067" width="12.26171875" customWidth="1"/>
    <col min="2068" max="2068" width="11" customWidth="1"/>
    <col min="2069" max="2069" width="10.7890625" customWidth="1"/>
    <col min="2070" max="2070" width="12" customWidth="1"/>
    <col min="2071" max="2071" width="14.7890625" customWidth="1"/>
    <col min="2072" max="2072" width="13.734375" customWidth="1"/>
    <col min="2073" max="2073" width="13.7890625" customWidth="1"/>
    <col min="2077" max="2077" width="12.5234375" customWidth="1"/>
    <col min="2078" max="2078" width="13.15625" customWidth="1"/>
    <col min="2305" max="2305" width="4.26171875" customWidth="1"/>
    <col min="2306" max="2306" width="18.26171875" customWidth="1"/>
    <col min="2307" max="2307" width="10.26171875" bestFit="1" customWidth="1"/>
    <col min="2308" max="2308" width="11.47265625" customWidth="1"/>
    <col min="2309" max="2310" width="12.5234375" customWidth="1"/>
    <col min="2311" max="2311" width="10.26171875" bestFit="1" customWidth="1"/>
    <col min="2312" max="2317" width="11.26171875" customWidth="1"/>
    <col min="2318" max="2318" width="12.15625" customWidth="1"/>
    <col min="2319" max="2319" width="4.1015625" customWidth="1"/>
    <col min="2320" max="2320" width="4.7890625" customWidth="1"/>
    <col min="2321" max="2321" width="11.26171875" customWidth="1"/>
    <col min="2322" max="2322" width="12" customWidth="1"/>
    <col min="2323" max="2323" width="12.26171875" customWidth="1"/>
    <col min="2324" max="2324" width="11" customWidth="1"/>
    <col min="2325" max="2325" width="10.7890625" customWidth="1"/>
    <col min="2326" max="2326" width="12" customWidth="1"/>
    <col min="2327" max="2327" width="14.7890625" customWidth="1"/>
    <col min="2328" max="2328" width="13.734375" customWidth="1"/>
    <col min="2329" max="2329" width="13.7890625" customWidth="1"/>
    <col min="2333" max="2333" width="12.5234375" customWidth="1"/>
    <col min="2334" max="2334" width="13.15625" customWidth="1"/>
    <col min="2561" max="2561" width="4.26171875" customWidth="1"/>
    <col min="2562" max="2562" width="18.26171875" customWidth="1"/>
    <col min="2563" max="2563" width="10.26171875" bestFit="1" customWidth="1"/>
    <col min="2564" max="2564" width="11.47265625" customWidth="1"/>
    <col min="2565" max="2566" width="12.5234375" customWidth="1"/>
    <col min="2567" max="2567" width="10.26171875" bestFit="1" customWidth="1"/>
    <col min="2568" max="2573" width="11.26171875" customWidth="1"/>
    <col min="2574" max="2574" width="12.15625" customWidth="1"/>
    <col min="2575" max="2575" width="4.1015625" customWidth="1"/>
    <col min="2576" max="2576" width="4.7890625" customWidth="1"/>
    <col min="2577" max="2577" width="11.26171875" customWidth="1"/>
    <col min="2578" max="2578" width="12" customWidth="1"/>
    <col min="2579" max="2579" width="12.26171875" customWidth="1"/>
    <col min="2580" max="2580" width="11" customWidth="1"/>
    <col min="2581" max="2581" width="10.7890625" customWidth="1"/>
    <col min="2582" max="2582" width="12" customWidth="1"/>
    <col min="2583" max="2583" width="14.7890625" customWidth="1"/>
    <col min="2584" max="2584" width="13.734375" customWidth="1"/>
    <col min="2585" max="2585" width="13.7890625" customWidth="1"/>
    <col min="2589" max="2589" width="12.5234375" customWidth="1"/>
    <col min="2590" max="2590" width="13.15625" customWidth="1"/>
    <col min="2817" max="2817" width="4.26171875" customWidth="1"/>
    <col min="2818" max="2818" width="18.26171875" customWidth="1"/>
    <col min="2819" max="2819" width="10.26171875" bestFit="1" customWidth="1"/>
    <col min="2820" max="2820" width="11.47265625" customWidth="1"/>
    <col min="2821" max="2822" width="12.5234375" customWidth="1"/>
    <col min="2823" max="2823" width="10.26171875" bestFit="1" customWidth="1"/>
    <col min="2824" max="2829" width="11.26171875" customWidth="1"/>
    <col min="2830" max="2830" width="12.15625" customWidth="1"/>
    <col min="2831" max="2831" width="4.1015625" customWidth="1"/>
    <col min="2832" max="2832" width="4.7890625" customWidth="1"/>
    <col min="2833" max="2833" width="11.26171875" customWidth="1"/>
    <col min="2834" max="2834" width="12" customWidth="1"/>
    <col min="2835" max="2835" width="12.26171875" customWidth="1"/>
    <col min="2836" max="2836" width="11" customWidth="1"/>
    <col min="2837" max="2837" width="10.7890625" customWidth="1"/>
    <col min="2838" max="2838" width="12" customWidth="1"/>
    <col min="2839" max="2839" width="14.7890625" customWidth="1"/>
    <col min="2840" max="2840" width="13.734375" customWidth="1"/>
    <col min="2841" max="2841" width="13.7890625" customWidth="1"/>
    <col min="2845" max="2845" width="12.5234375" customWidth="1"/>
    <col min="2846" max="2846" width="13.15625" customWidth="1"/>
    <col min="3073" max="3073" width="4.26171875" customWidth="1"/>
    <col min="3074" max="3074" width="18.26171875" customWidth="1"/>
    <col min="3075" max="3075" width="10.26171875" bestFit="1" customWidth="1"/>
    <col min="3076" max="3076" width="11.47265625" customWidth="1"/>
    <col min="3077" max="3078" width="12.5234375" customWidth="1"/>
    <col min="3079" max="3079" width="10.26171875" bestFit="1" customWidth="1"/>
    <col min="3080" max="3085" width="11.26171875" customWidth="1"/>
    <col min="3086" max="3086" width="12.15625" customWidth="1"/>
    <col min="3087" max="3087" width="4.1015625" customWidth="1"/>
    <col min="3088" max="3088" width="4.7890625" customWidth="1"/>
    <col min="3089" max="3089" width="11.26171875" customWidth="1"/>
    <col min="3090" max="3090" width="12" customWidth="1"/>
    <col min="3091" max="3091" width="12.26171875" customWidth="1"/>
    <col min="3092" max="3092" width="11" customWidth="1"/>
    <col min="3093" max="3093" width="10.7890625" customWidth="1"/>
    <col min="3094" max="3094" width="12" customWidth="1"/>
    <col min="3095" max="3095" width="14.7890625" customWidth="1"/>
    <col min="3096" max="3096" width="13.734375" customWidth="1"/>
    <col min="3097" max="3097" width="13.7890625" customWidth="1"/>
    <col min="3101" max="3101" width="12.5234375" customWidth="1"/>
    <col min="3102" max="3102" width="13.15625" customWidth="1"/>
    <col min="3329" max="3329" width="4.26171875" customWidth="1"/>
    <col min="3330" max="3330" width="18.26171875" customWidth="1"/>
    <col min="3331" max="3331" width="10.26171875" bestFit="1" customWidth="1"/>
    <col min="3332" max="3332" width="11.47265625" customWidth="1"/>
    <col min="3333" max="3334" width="12.5234375" customWidth="1"/>
    <col min="3335" max="3335" width="10.26171875" bestFit="1" customWidth="1"/>
    <col min="3336" max="3341" width="11.26171875" customWidth="1"/>
    <col min="3342" max="3342" width="12.15625" customWidth="1"/>
    <col min="3343" max="3343" width="4.1015625" customWidth="1"/>
    <col min="3344" max="3344" width="4.7890625" customWidth="1"/>
    <col min="3345" max="3345" width="11.26171875" customWidth="1"/>
    <col min="3346" max="3346" width="12" customWidth="1"/>
    <col min="3347" max="3347" width="12.26171875" customWidth="1"/>
    <col min="3348" max="3348" width="11" customWidth="1"/>
    <col min="3349" max="3349" width="10.7890625" customWidth="1"/>
    <col min="3350" max="3350" width="12" customWidth="1"/>
    <col min="3351" max="3351" width="14.7890625" customWidth="1"/>
    <col min="3352" max="3352" width="13.734375" customWidth="1"/>
    <col min="3353" max="3353" width="13.7890625" customWidth="1"/>
    <col min="3357" max="3357" width="12.5234375" customWidth="1"/>
    <col min="3358" max="3358" width="13.15625" customWidth="1"/>
    <col min="3585" max="3585" width="4.26171875" customWidth="1"/>
    <col min="3586" max="3586" width="18.26171875" customWidth="1"/>
    <col min="3587" max="3587" width="10.26171875" bestFit="1" customWidth="1"/>
    <col min="3588" max="3588" width="11.47265625" customWidth="1"/>
    <col min="3589" max="3590" width="12.5234375" customWidth="1"/>
    <col min="3591" max="3591" width="10.26171875" bestFit="1" customWidth="1"/>
    <col min="3592" max="3597" width="11.26171875" customWidth="1"/>
    <col min="3598" max="3598" width="12.15625" customWidth="1"/>
    <col min="3599" max="3599" width="4.1015625" customWidth="1"/>
    <col min="3600" max="3600" width="4.7890625" customWidth="1"/>
    <col min="3601" max="3601" width="11.26171875" customWidth="1"/>
    <col min="3602" max="3602" width="12" customWidth="1"/>
    <col min="3603" max="3603" width="12.26171875" customWidth="1"/>
    <col min="3604" max="3604" width="11" customWidth="1"/>
    <col min="3605" max="3605" width="10.7890625" customWidth="1"/>
    <col min="3606" max="3606" width="12" customWidth="1"/>
    <col min="3607" max="3607" width="14.7890625" customWidth="1"/>
    <col min="3608" max="3608" width="13.734375" customWidth="1"/>
    <col min="3609" max="3609" width="13.7890625" customWidth="1"/>
    <col min="3613" max="3613" width="12.5234375" customWidth="1"/>
    <col min="3614" max="3614" width="13.15625" customWidth="1"/>
    <col min="3841" max="3841" width="4.26171875" customWidth="1"/>
    <col min="3842" max="3842" width="18.26171875" customWidth="1"/>
    <col min="3843" max="3843" width="10.26171875" bestFit="1" customWidth="1"/>
    <col min="3844" max="3844" width="11.47265625" customWidth="1"/>
    <col min="3845" max="3846" width="12.5234375" customWidth="1"/>
    <col min="3847" max="3847" width="10.26171875" bestFit="1" customWidth="1"/>
    <col min="3848" max="3853" width="11.26171875" customWidth="1"/>
    <col min="3854" max="3854" width="12.15625" customWidth="1"/>
    <col min="3855" max="3855" width="4.1015625" customWidth="1"/>
    <col min="3856" max="3856" width="4.7890625" customWidth="1"/>
    <col min="3857" max="3857" width="11.26171875" customWidth="1"/>
    <col min="3858" max="3858" width="12" customWidth="1"/>
    <col min="3859" max="3859" width="12.26171875" customWidth="1"/>
    <col min="3860" max="3860" width="11" customWidth="1"/>
    <col min="3861" max="3861" width="10.7890625" customWidth="1"/>
    <col min="3862" max="3862" width="12" customWidth="1"/>
    <col min="3863" max="3863" width="14.7890625" customWidth="1"/>
    <col min="3864" max="3864" width="13.734375" customWidth="1"/>
    <col min="3865" max="3865" width="13.7890625" customWidth="1"/>
    <col min="3869" max="3869" width="12.5234375" customWidth="1"/>
    <col min="3870" max="3870" width="13.15625" customWidth="1"/>
    <col min="4097" max="4097" width="4.26171875" customWidth="1"/>
    <col min="4098" max="4098" width="18.26171875" customWidth="1"/>
    <col min="4099" max="4099" width="10.26171875" bestFit="1" customWidth="1"/>
    <col min="4100" max="4100" width="11.47265625" customWidth="1"/>
    <col min="4101" max="4102" width="12.5234375" customWidth="1"/>
    <col min="4103" max="4103" width="10.26171875" bestFit="1" customWidth="1"/>
    <col min="4104" max="4109" width="11.26171875" customWidth="1"/>
    <col min="4110" max="4110" width="12.15625" customWidth="1"/>
    <col min="4111" max="4111" width="4.1015625" customWidth="1"/>
    <col min="4112" max="4112" width="4.7890625" customWidth="1"/>
    <col min="4113" max="4113" width="11.26171875" customWidth="1"/>
    <col min="4114" max="4114" width="12" customWidth="1"/>
    <col min="4115" max="4115" width="12.26171875" customWidth="1"/>
    <col min="4116" max="4116" width="11" customWidth="1"/>
    <col min="4117" max="4117" width="10.7890625" customWidth="1"/>
    <col min="4118" max="4118" width="12" customWidth="1"/>
    <col min="4119" max="4119" width="14.7890625" customWidth="1"/>
    <col min="4120" max="4120" width="13.734375" customWidth="1"/>
    <col min="4121" max="4121" width="13.7890625" customWidth="1"/>
    <col min="4125" max="4125" width="12.5234375" customWidth="1"/>
    <col min="4126" max="4126" width="13.15625" customWidth="1"/>
    <col min="4353" max="4353" width="4.26171875" customWidth="1"/>
    <col min="4354" max="4354" width="18.26171875" customWidth="1"/>
    <col min="4355" max="4355" width="10.26171875" bestFit="1" customWidth="1"/>
    <col min="4356" max="4356" width="11.47265625" customWidth="1"/>
    <col min="4357" max="4358" width="12.5234375" customWidth="1"/>
    <col min="4359" max="4359" width="10.26171875" bestFit="1" customWidth="1"/>
    <col min="4360" max="4365" width="11.26171875" customWidth="1"/>
    <col min="4366" max="4366" width="12.15625" customWidth="1"/>
    <col min="4367" max="4367" width="4.1015625" customWidth="1"/>
    <col min="4368" max="4368" width="4.7890625" customWidth="1"/>
    <col min="4369" max="4369" width="11.26171875" customWidth="1"/>
    <col min="4370" max="4370" width="12" customWidth="1"/>
    <col min="4371" max="4371" width="12.26171875" customWidth="1"/>
    <col min="4372" max="4372" width="11" customWidth="1"/>
    <col min="4373" max="4373" width="10.7890625" customWidth="1"/>
    <col min="4374" max="4374" width="12" customWidth="1"/>
    <col min="4375" max="4375" width="14.7890625" customWidth="1"/>
    <col min="4376" max="4376" width="13.734375" customWidth="1"/>
    <col min="4377" max="4377" width="13.7890625" customWidth="1"/>
    <col min="4381" max="4381" width="12.5234375" customWidth="1"/>
    <col min="4382" max="4382" width="13.15625" customWidth="1"/>
    <col min="4609" max="4609" width="4.26171875" customWidth="1"/>
    <col min="4610" max="4610" width="18.26171875" customWidth="1"/>
    <col min="4611" max="4611" width="10.26171875" bestFit="1" customWidth="1"/>
    <col min="4612" max="4612" width="11.47265625" customWidth="1"/>
    <col min="4613" max="4614" width="12.5234375" customWidth="1"/>
    <col min="4615" max="4615" width="10.26171875" bestFit="1" customWidth="1"/>
    <col min="4616" max="4621" width="11.26171875" customWidth="1"/>
    <col min="4622" max="4622" width="12.15625" customWidth="1"/>
    <col min="4623" max="4623" width="4.1015625" customWidth="1"/>
    <col min="4624" max="4624" width="4.7890625" customWidth="1"/>
    <col min="4625" max="4625" width="11.26171875" customWidth="1"/>
    <col min="4626" max="4626" width="12" customWidth="1"/>
    <col min="4627" max="4627" width="12.26171875" customWidth="1"/>
    <col min="4628" max="4628" width="11" customWidth="1"/>
    <col min="4629" max="4629" width="10.7890625" customWidth="1"/>
    <col min="4630" max="4630" width="12" customWidth="1"/>
    <col min="4631" max="4631" width="14.7890625" customWidth="1"/>
    <col min="4632" max="4632" width="13.734375" customWidth="1"/>
    <col min="4633" max="4633" width="13.7890625" customWidth="1"/>
    <col min="4637" max="4637" width="12.5234375" customWidth="1"/>
    <col min="4638" max="4638" width="13.15625" customWidth="1"/>
    <col min="4865" max="4865" width="4.26171875" customWidth="1"/>
    <col min="4866" max="4866" width="18.26171875" customWidth="1"/>
    <col min="4867" max="4867" width="10.26171875" bestFit="1" customWidth="1"/>
    <col min="4868" max="4868" width="11.47265625" customWidth="1"/>
    <col min="4869" max="4870" width="12.5234375" customWidth="1"/>
    <col min="4871" max="4871" width="10.26171875" bestFit="1" customWidth="1"/>
    <col min="4872" max="4877" width="11.26171875" customWidth="1"/>
    <col min="4878" max="4878" width="12.15625" customWidth="1"/>
    <col min="4879" max="4879" width="4.1015625" customWidth="1"/>
    <col min="4880" max="4880" width="4.7890625" customWidth="1"/>
    <col min="4881" max="4881" width="11.26171875" customWidth="1"/>
    <col min="4882" max="4882" width="12" customWidth="1"/>
    <col min="4883" max="4883" width="12.26171875" customWidth="1"/>
    <col min="4884" max="4884" width="11" customWidth="1"/>
    <col min="4885" max="4885" width="10.7890625" customWidth="1"/>
    <col min="4886" max="4886" width="12" customWidth="1"/>
    <col min="4887" max="4887" width="14.7890625" customWidth="1"/>
    <col min="4888" max="4888" width="13.734375" customWidth="1"/>
    <col min="4889" max="4889" width="13.7890625" customWidth="1"/>
    <col min="4893" max="4893" width="12.5234375" customWidth="1"/>
    <col min="4894" max="4894" width="13.15625" customWidth="1"/>
    <col min="5121" max="5121" width="4.26171875" customWidth="1"/>
    <col min="5122" max="5122" width="18.26171875" customWidth="1"/>
    <col min="5123" max="5123" width="10.26171875" bestFit="1" customWidth="1"/>
    <col min="5124" max="5124" width="11.47265625" customWidth="1"/>
    <col min="5125" max="5126" width="12.5234375" customWidth="1"/>
    <col min="5127" max="5127" width="10.26171875" bestFit="1" customWidth="1"/>
    <col min="5128" max="5133" width="11.26171875" customWidth="1"/>
    <col min="5134" max="5134" width="12.15625" customWidth="1"/>
    <col min="5135" max="5135" width="4.1015625" customWidth="1"/>
    <col min="5136" max="5136" width="4.7890625" customWidth="1"/>
    <col min="5137" max="5137" width="11.26171875" customWidth="1"/>
    <col min="5138" max="5138" width="12" customWidth="1"/>
    <col min="5139" max="5139" width="12.26171875" customWidth="1"/>
    <col min="5140" max="5140" width="11" customWidth="1"/>
    <col min="5141" max="5141" width="10.7890625" customWidth="1"/>
    <col min="5142" max="5142" width="12" customWidth="1"/>
    <col min="5143" max="5143" width="14.7890625" customWidth="1"/>
    <col min="5144" max="5144" width="13.734375" customWidth="1"/>
    <col min="5145" max="5145" width="13.7890625" customWidth="1"/>
    <col min="5149" max="5149" width="12.5234375" customWidth="1"/>
    <col min="5150" max="5150" width="13.15625" customWidth="1"/>
    <col min="5377" max="5377" width="4.26171875" customWidth="1"/>
    <col min="5378" max="5378" width="18.26171875" customWidth="1"/>
    <col min="5379" max="5379" width="10.26171875" bestFit="1" customWidth="1"/>
    <col min="5380" max="5380" width="11.47265625" customWidth="1"/>
    <col min="5381" max="5382" width="12.5234375" customWidth="1"/>
    <col min="5383" max="5383" width="10.26171875" bestFit="1" customWidth="1"/>
    <col min="5384" max="5389" width="11.26171875" customWidth="1"/>
    <col min="5390" max="5390" width="12.15625" customWidth="1"/>
    <col min="5391" max="5391" width="4.1015625" customWidth="1"/>
    <col min="5392" max="5392" width="4.7890625" customWidth="1"/>
    <col min="5393" max="5393" width="11.26171875" customWidth="1"/>
    <col min="5394" max="5394" width="12" customWidth="1"/>
    <col min="5395" max="5395" width="12.26171875" customWidth="1"/>
    <col min="5396" max="5396" width="11" customWidth="1"/>
    <col min="5397" max="5397" width="10.7890625" customWidth="1"/>
    <col min="5398" max="5398" width="12" customWidth="1"/>
    <col min="5399" max="5399" width="14.7890625" customWidth="1"/>
    <col min="5400" max="5400" width="13.734375" customWidth="1"/>
    <col min="5401" max="5401" width="13.7890625" customWidth="1"/>
    <col min="5405" max="5405" width="12.5234375" customWidth="1"/>
    <col min="5406" max="5406" width="13.15625" customWidth="1"/>
    <col min="5633" max="5633" width="4.26171875" customWidth="1"/>
    <col min="5634" max="5634" width="18.26171875" customWidth="1"/>
    <col min="5635" max="5635" width="10.26171875" bestFit="1" customWidth="1"/>
    <col min="5636" max="5636" width="11.47265625" customWidth="1"/>
    <col min="5637" max="5638" width="12.5234375" customWidth="1"/>
    <col min="5639" max="5639" width="10.26171875" bestFit="1" customWidth="1"/>
    <col min="5640" max="5645" width="11.26171875" customWidth="1"/>
    <col min="5646" max="5646" width="12.15625" customWidth="1"/>
    <col min="5647" max="5647" width="4.1015625" customWidth="1"/>
    <col min="5648" max="5648" width="4.7890625" customWidth="1"/>
    <col min="5649" max="5649" width="11.26171875" customWidth="1"/>
    <col min="5650" max="5650" width="12" customWidth="1"/>
    <col min="5651" max="5651" width="12.26171875" customWidth="1"/>
    <col min="5652" max="5652" width="11" customWidth="1"/>
    <col min="5653" max="5653" width="10.7890625" customWidth="1"/>
    <col min="5654" max="5654" width="12" customWidth="1"/>
    <col min="5655" max="5655" width="14.7890625" customWidth="1"/>
    <col min="5656" max="5656" width="13.734375" customWidth="1"/>
    <col min="5657" max="5657" width="13.7890625" customWidth="1"/>
    <col min="5661" max="5661" width="12.5234375" customWidth="1"/>
    <col min="5662" max="5662" width="13.15625" customWidth="1"/>
    <col min="5889" max="5889" width="4.26171875" customWidth="1"/>
    <col min="5890" max="5890" width="18.26171875" customWidth="1"/>
    <col min="5891" max="5891" width="10.26171875" bestFit="1" customWidth="1"/>
    <col min="5892" max="5892" width="11.47265625" customWidth="1"/>
    <col min="5893" max="5894" width="12.5234375" customWidth="1"/>
    <col min="5895" max="5895" width="10.26171875" bestFit="1" customWidth="1"/>
    <col min="5896" max="5901" width="11.26171875" customWidth="1"/>
    <col min="5902" max="5902" width="12.15625" customWidth="1"/>
    <col min="5903" max="5903" width="4.1015625" customWidth="1"/>
    <col min="5904" max="5904" width="4.7890625" customWidth="1"/>
    <col min="5905" max="5905" width="11.26171875" customWidth="1"/>
    <col min="5906" max="5906" width="12" customWidth="1"/>
    <col min="5907" max="5907" width="12.26171875" customWidth="1"/>
    <col min="5908" max="5908" width="11" customWidth="1"/>
    <col min="5909" max="5909" width="10.7890625" customWidth="1"/>
    <col min="5910" max="5910" width="12" customWidth="1"/>
    <col min="5911" max="5911" width="14.7890625" customWidth="1"/>
    <col min="5912" max="5912" width="13.734375" customWidth="1"/>
    <col min="5913" max="5913" width="13.7890625" customWidth="1"/>
    <col min="5917" max="5917" width="12.5234375" customWidth="1"/>
    <col min="5918" max="5918" width="13.15625" customWidth="1"/>
    <col min="6145" max="6145" width="4.26171875" customWidth="1"/>
    <col min="6146" max="6146" width="18.26171875" customWidth="1"/>
    <col min="6147" max="6147" width="10.26171875" bestFit="1" customWidth="1"/>
    <col min="6148" max="6148" width="11.47265625" customWidth="1"/>
    <col min="6149" max="6150" width="12.5234375" customWidth="1"/>
    <col min="6151" max="6151" width="10.26171875" bestFit="1" customWidth="1"/>
    <col min="6152" max="6157" width="11.26171875" customWidth="1"/>
    <col min="6158" max="6158" width="12.15625" customWidth="1"/>
    <col min="6159" max="6159" width="4.1015625" customWidth="1"/>
    <col min="6160" max="6160" width="4.7890625" customWidth="1"/>
    <col min="6161" max="6161" width="11.26171875" customWidth="1"/>
    <col min="6162" max="6162" width="12" customWidth="1"/>
    <col min="6163" max="6163" width="12.26171875" customWidth="1"/>
    <col min="6164" max="6164" width="11" customWidth="1"/>
    <col min="6165" max="6165" width="10.7890625" customWidth="1"/>
    <col min="6166" max="6166" width="12" customWidth="1"/>
    <col min="6167" max="6167" width="14.7890625" customWidth="1"/>
    <col min="6168" max="6168" width="13.734375" customWidth="1"/>
    <col min="6169" max="6169" width="13.7890625" customWidth="1"/>
    <col min="6173" max="6173" width="12.5234375" customWidth="1"/>
    <col min="6174" max="6174" width="13.15625" customWidth="1"/>
    <col min="6401" max="6401" width="4.26171875" customWidth="1"/>
    <col min="6402" max="6402" width="18.26171875" customWidth="1"/>
    <col min="6403" max="6403" width="10.26171875" bestFit="1" customWidth="1"/>
    <col min="6404" max="6404" width="11.47265625" customWidth="1"/>
    <col min="6405" max="6406" width="12.5234375" customWidth="1"/>
    <col min="6407" max="6407" width="10.26171875" bestFit="1" customWidth="1"/>
    <col min="6408" max="6413" width="11.26171875" customWidth="1"/>
    <col min="6414" max="6414" width="12.15625" customWidth="1"/>
    <col min="6415" max="6415" width="4.1015625" customWidth="1"/>
    <col min="6416" max="6416" width="4.7890625" customWidth="1"/>
    <col min="6417" max="6417" width="11.26171875" customWidth="1"/>
    <col min="6418" max="6418" width="12" customWidth="1"/>
    <col min="6419" max="6419" width="12.26171875" customWidth="1"/>
    <col min="6420" max="6420" width="11" customWidth="1"/>
    <col min="6421" max="6421" width="10.7890625" customWidth="1"/>
    <col min="6422" max="6422" width="12" customWidth="1"/>
    <col min="6423" max="6423" width="14.7890625" customWidth="1"/>
    <col min="6424" max="6424" width="13.734375" customWidth="1"/>
    <col min="6425" max="6425" width="13.7890625" customWidth="1"/>
    <col min="6429" max="6429" width="12.5234375" customWidth="1"/>
    <col min="6430" max="6430" width="13.15625" customWidth="1"/>
    <col min="6657" max="6657" width="4.26171875" customWidth="1"/>
    <col min="6658" max="6658" width="18.26171875" customWidth="1"/>
    <col min="6659" max="6659" width="10.26171875" bestFit="1" customWidth="1"/>
    <col min="6660" max="6660" width="11.47265625" customWidth="1"/>
    <col min="6661" max="6662" width="12.5234375" customWidth="1"/>
    <col min="6663" max="6663" width="10.26171875" bestFit="1" customWidth="1"/>
    <col min="6664" max="6669" width="11.26171875" customWidth="1"/>
    <col min="6670" max="6670" width="12.15625" customWidth="1"/>
    <col min="6671" max="6671" width="4.1015625" customWidth="1"/>
    <col min="6672" max="6672" width="4.7890625" customWidth="1"/>
    <col min="6673" max="6673" width="11.26171875" customWidth="1"/>
    <col min="6674" max="6674" width="12" customWidth="1"/>
    <col min="6675" max="6675" width="12.26171875" customWidth="1"/>
    <col min="6676" max="6676" width="11" customWidth="1"/>
    <col min="6677" max="6677" width="10.7890625" customWidth="1"/>
    <col min="6678" max="6678" width="12" customWidth="1"/>
    <col min="6679" max="6679" width="14.7890625" customWidth="1"/>
    <col min="6680" max="6680" width="13.734375" customWidth="1"/>
    <col min="6681" max="6681" width="13.7890625" customWidth="1"/>
    <col min="6685" max="6685" width="12.5234375" customWidth="1"/>
    <col min="6686" max="6686" width="13.15625" customWidth="1"/>
    <col min="6913" max="6913" width="4.26171875" customWidth="1"/>
    <col min="6914" max="6914" width="18.26171875" customWidth="1"/>
    <col min="6915" max="6915" width="10.26171875" bestFit="1" customWidth="1"/>
    <col min="6916" max="6916" width="11.47265625" customWidth="1"/>
    <col min="6917" max="6918" width="12.5234375" customWidth="1"/>
    <col min="6919" max="6919" width="10.26171875" bestFit="1" customWidth="1"/>
    <col min="6920" max="6925" width="11.26171875" customWidth="1"/>
    <col min="6926" max="6926" width="12.15625" customWidth="1"/>
    <col min="6927" max="6927" width="4.1015625" customWidth="1"/>
    <col min="6928" max="6928" width="4.7890625" customWidth="1"/>
    <col min="6929" max="6929" width="11.26171875" customWidth="1"/>
    <col min="6930" max="6930" width="12" customWidth="1"/>
    <col min="6931" max="6931" width="12.26171875" customWidth="1"/>
    <col min="6932" max="6932" width="11" customWidth="1"/>
    <col min="6933" max="6933" width="10.7890625" customWidth="1"/>
    <col min="6934" max="6934" width="12" customWidth="1"/>
    <col min="6935" max="6935" width="14.7890625" customWidth="1"/>
    <col min="6936" max="6936" width="13.734375" customWidth="1"/>
    <col min="6937" max="6937" width="13.7890625" customWidth="1"/>
    <col min="6941" max="6941" width="12.5234375" customWidth="1"/>
    <col min="6942" max="6942" width="13.15625" customWidth="1"/>
    <col min="7169" max="7169" width="4.26171875" customWidth="1"/>
    <col min="7170" max="7170" width="18.26171875" customWidth="1"/>
    <col min="7171" max="7171" width="10.26171875" bestFit="1" customWidth="1"/>
    <col min="7172" max="7172" width="11.47265625" customWidth="1"/>
    <col min="7173" max="7174" width="12.5234375" customWidth="1"/>
    <col min="7175" max="7175" width="10.26171875" bestFit="1" customWidth="1"/>
    <col min="7176" max="7181" width="11.26171875" customWidth="1"/>
    <col min="7182" max="7182" width="12.15625" customWidth="1"/>
    <col min="7183" max="7183" width="4.1015625" customWidth="1"/>
    <col min="7184" max="7184" width="4.7890625" customWidth="1"/>
    <col min="7185" max="7185" width="11.26171875" customWidth="1"/>
    <col min="7186" max="7186" width="12" customWidth="1"/>
    <col min="7187" max="7187" width="12.26171875" customWidth="1"/>
    <col min="7188" max="7188" width="11" customWidth="1"/>
    <col min="7189" max="7189" width="10.7890625" customWidth="1"/>
    <col min="7190" max="7190" width="12" customWidth="1"/>
    <col min="7191" max="7191" width="14.7890625" customWidth="1"/>
    <col min="7192" max="7192" width="13.734375" customWidth="1"/>
    <col min="7193" max="7193" width="13.7890625" customWidth="1"/>
    <col min="7197" max="7197" width="12.5234375" customWidth="1"/>
    <col min="7198" max="7198" width="13.15625" customWidth="1"/>
    <col min="7425" max="7425" width="4.26171875" customWidth="1"/>
    <col min="7426" max="7426" width="18.26171875" customWidth="1"/>
    <col min="7427" max="7427" width="10.26171875" bestFit="1" customWidth="1"/>
    <col min="7428" max="7428" width="11.47265625" customWidth="1"/>
    <col min="7429" max="7430" width="12.5234375" customWidth="1"/>
    <col min="7431" max="7431" width="10.26171875" bestFit="1" customWidth="1"/>
    <col min="7432" max="7437" width="11.26171875" customWidth="1"/>
    <col min="7438" max="7438" width="12.15625" customWidth="1"/>
    <col min="7439" max="7439" width="4.1015625" customWidth="1"/>
    <col min="7440" max="7440" width="4.7890625" customWidth="1"/>
    <col min="7441" max="7441" width="11.26171875" customWidth="1"/>
    <col min="7442" max="7442" width="12" customWidth="1"/>
    <col min="7443" max="7443" width="12.26171875" customWidth="1"/>
    <col min="7444" max="7444" width="11" customWidth="1"/>
    <col min="7445" max="7445" width="10.7890625" customWidth="1"/>
    <col min="7446" max="7446" width="12" customWidth="1"/>
    <col min="7447" max="7447" width="14.7890625" customWidth="1"/>
    <col min="7448" max="7448" width="13.734375" customWidth="1"/>
    <col min="7449" max="7449" width="13.7890625" customWidth="1"/>
    <col min="7453" max="7453" width="12.5234375" customWidth="1"/>
    <col min="7454" max="7454" width="13.15625" customWidth="1"/>
    <col min="7681" max="7681" width="4.26171875" customWidth="1"/>
    <col min="7682" max="7682" width="18.26171875" customWidth="1"/>
    <col min="7683" max="7683" width="10.26171875" bestFit="1" customWidth="1"/>
    <col min="7684" max="7684" width="11.47265625" customWidth="1"/>
    <col min="7685" max="7686" width="12.5234375" customWidth="1"/>
    <col min="7687" max="7687" width="10.26171875" bestFit="1" customWidth="1"/>
    <col min="7688" max="7693" width="11.26171875" customWidth="1"/>
    <col min="7694" max="7694" width="12.15625" customWidth="1"/>
    <col min="7695" max="7695" width="4.1015625" customWidth="1"/>
    <col min="7696" max="7696" width="4.7890625" customWidth="1"/>
    <col min="7697" max="7697" width="11.26171875" customWidth="1"/>
    <col min="7698" max="7698" width="12" customWidth="1"/>
    <col min="7699" max="7699" width="12.26171875" customWidth="1"/>
    <col min="7700" max="7700" width="11" customWidth="1"/>
    <col min="7701" max="7701" width="10.7890625" customWidth="1"/>
    <col min="7702" max="7702" width="12" customWidth="1"/>
    <col min="7703" max="7703" width="14.7890625" customWidth="1"/>
    <col min="7704" max="7704" width="13.734375" customWidth="1"/>
    <col min="7705" max="7705" width="13.7890625" customWidth="1"/>
    <col min="7709" max="7709" width="12.5234375" customWidth="1"/>
    <col min="7710" max="7710" width="13.15625" customWidth="1"/>
    <col min="7937" max="7937" width="4.26171875" customWidth="1"/>
    <col min="7938" max="7938" width="18.26171875" customWidth="1"/>
    <col min="7939" max="7939" width="10.26171875" bestFit="1" customWidth="1"/>
    <col min="7940" max="7940" width="11.47265625" customWidth="1"/>
    <col min="7941" max="7942" width="12.5234375" customWidth="1"/>
    <col min="7943" max="7943" width="10.26171875" bestFit="1" customWidth="1"/>
    <col min="7944" max="7949" width="11.26171875" customWidth="1"/>
    <col min="7950" max="7950" width="12.15625" customWidth="1"/>
    <col min="7951" max="7951" width="4.1015625" customWidth="1"/>
    <col min="7952" max="7952" width="4.7890625" customWidth="1"/>
    <col min="7953" max="7953" width="11.26171875" customWidth="1"/>
    <col min="7954" max="7954" width="12" customWidth="1"/>
    <col min="7955" max="7955" width="12.26171875" customWidth="1"/>
    <col min="7956" max="7956" width="11" customWidth="1"/>
    <col min="7957" max="7957" width="10.7890625" customWidth="1"/>
    <col min="7958" max="7958" width="12" customWidth="1"/>
    <col min="7959" max="7959" width="14.7890625" customWidth="1"/>
    <col min="7960" max="7960" width="13.734375" customWidth="1"/>
    <col min="7961" max="7961" width="13.7890625" customWidth="1"/>
    <col min="7965" max="7965" width="12.5234375" customWidth="1"/>
    <col min="7966" max="7966" width="13.15625" customWidth="1"/>
    <col min="8193" max="8193" width="4.26171875" customWidth="1"/>
    <col min="8194" max="8194" width="18.26171875" customWidth="1"/>
    <col min="8195" max="8195" width="10.26171875" bestFit="1" customWidth="1"/>
    <col min="8196" max="8196" width="11.47265625" customWidth="1"/>
    <col min="8197" max="8198" width="12.5234375" customWidth="1"/>
    <col min="8199" max="8199" width="10.26171875" bestFit="1" customWidth="1"/>
    <col min="8200" max="8205" width="11.26171875" customWidth="1"/>
    <col min="8206" max="8206" width="12.15625" customWidth="1"/>
    <col min="8207" max="8207" width="4.1015625" customWidth="1"/>
    <col min="8208" max="8208" width="4.7890625" customWidth="1"/>
    <col min="8209" max="8209" width="11.26171875" customWidth="1"/>
    <col min="8210" max="8210" width="12" customWidth="1"/>
    <col min="8211" max="8211" width="12.26171875" customWidth="1"/>
    <col min="8212" max="8212" width="11" customWidth="1"/>
    <col min="8213" max="8213" width="10.7890625" customWidth="1"/>
    <col min="8214" max="8214" width="12" customWidth="1"/>
    <col min="8215" max="8215" width="14.7890625" customWidth="1"/>
    <col min="8216" max="8216" width="13.734375" customWidth="1"/>
    <col min="8217" max="8217" width="13.7890625" customWidth="1"/>
    <col min="8221" max="8221" width="12.5234375" customWidth="1"/>
    <col min="8222" max="8222" width="13.15625" customWidth="1"/>
    <col min="8449" max="8449" width="4.26171875" customWidth="1"/>
    <col min="8450" max="8450" width="18.26171875" customWidth="1"/>
    <col min="8451" max="8451" width="10.26171875" bestFit="1" customWidth="1"/>
    <col min="8452" max="8452" width="11.47265625" customWidth="1"/>
    <col min="8453" max="8454" width="12.5234375" customWidth="1"/>
    <col min="8455" max="8455" width="10.26171875" bestFit="1" customWidth="1"/>
    <col min="8456" max="8461" width="11.26171875" customWidth="1"/>
    <col min="8462" max="8462" width="12.15625" customWidth="1"/>
    <col min="8463" max="8463" width="4.1015625" customWidth="1"/>
    <col min="8464" max="8464" width="4.7890625" customWidth="1"/>
    <col min="8465" max="8465" width="11.26171875" customWidth="1"/>
    <col min="8466" max="8466" width="12" customWidth="1"/>
    <col min="8467" max="8467" width="12.26171875" customWidth="1"/>
    <col min="8468" max="8468" width="11" customWidth="1"/>
    <col min="8469" max="8469" width="10.7890625" customWidth="1"/>
    <col min="8470" max="8470" width="12" customWidth="1"/>
    <col min="8471" max="8471" width="14.7890625" customWidth="1"/>
    <col min="8472" max="8472" width="13.734375" customWidth="1"/>
    <col min="8473" max="8473" width="13.7890625" customWidth="1"/>
    <col min="8477" max="8477" width="12.5234375" customWidth="1"/>
    <col min="8478" max="8478" width="13.15625" customWidth="1"/>
    <col min="8705" max="8705" width="4.26171875" customWidth="1"/>
    <col min="8706" max="8706" width="18.26171875" customWidth="1"/>
    <col min="8707" max="8707" width="10.26171875" bestFit="1" customWidth="1"/>
    <col min="8708" max="8708" width="11.47265625" customWidth="1"/>
    <col min="8709" max="8710" width="12.5234375" customWidth="1"/>
    <col min="8711" max="8711" width="10.26171875" bestFit="1" customWidth="1"/>
    <col min="8712" max="8717" width="11.26171875" customWidth="1"/>
    <col min="8718" max="8718" width="12.15625" customWidth="1"/>
    <col min="8719" max="8719" width="4.1015625" customWidth="1"/>
    <col min="8720" max="8720" width="4.7890625" customWidth="1"/>
    <col min="8721" max="8721" width="11.26171875" customWidth="1"/>
    <col min="8722" max="8722" width="12" customWidth="1"/>
    <col min="8723" max="8723" width="12.26171875" customWidth="1"/>
    <col min="8724" max="8724" width="11" customWidth="1"/>
    <col min="8725" max="8725" width="10.7890625" customWidth="1"/>
    <col min="8726" max="8726" width="12" customWidth="1"/>
    <col min="8727" max="8727" width="14.7890625" customWidth="1"/>
    <col min="8728" max="8728" width="13.734375" customWidth="1"/>
    <col min="8729" max="8729" width="13.7890625" customWidth="1"/>
    <col min="8733" max="8733" width="12.5234375" customWidth="1"/>
    <col min="8734" max="8734" width="13.15625" customWidth="1"/>
    <col min="8961" max="8961" width="4.26171875" customWidth="1"/>
    <col min="8962" max="8962" width="18.26171875" customWidth="1"/>
    <col min="8963" max="8963" width="10.26171875" bestFit="1" customWidth="1"/>
    <col min="8964" max="8964" width="11.47265625" customWidth="1"/>
    <col min="8965" max="8966" width="12.5234375" customWidth="1"/>
    <col min="8967" max="8967" width="10.26171875" bestFit="1" customWidth="1"/>
    <col min="8968" max="8973" width="11.26171875" customWidth="1"/>
    <col min="8974" max="8974" width="12.15625" customWidth="1"/>
    <col min="8975" max="8975" width="4.1015625" customWidth="1"/>
    <col min="8976" max="8976" width="4.7890625" customWidth="1"/>
    <col min="8977" max="8977" width="11.26171875" customWidth="1"/>
    <col min="8978" max="8978" width="12" customWidth="1"/>
    <col min="8979" max="8979" width="12.26171875" customWidth="1"/>
    <col min="8980" max="8980" width="11" customWidth="1"/>
    <col min="8981" max="8981" width="10.7890625" customWidth="1"/>
    <col min="8982" max="8982" width="12" customWidth="1"/>
    <col min="8983" max="8983" width="14.7890625" customWidth="1"/>
    <col min="8984" max="8984" width="13.734375" customWidth="1"/>
    <col min="8985" max="8985" width="13.7890625" customWidth="1"/>
    <col min="8989" max="8989" width="12.5234375" customWidth="1"/>
    <col min="8990" max="8990" width="13.15625" customWidth="1"/>
    <col min="9217" max="9217" width="4.26171875" customWidth="1"/>
    <col min="9218" max="9218" width="18.26171875" customWidth="1"/>
    <col min="9219" max="9219" width="10.26171875" bestFit="1" customWidth="1"/>
    <col min="9220" max="9220" width="11.47265625" customWidth="1"/>
    <col min="9221" max="9222" width="12.5234375" customWidth="1"/>
    <col min="9223" max="9223" width="10.26171875" bestFit="1" customWidth="1"/>
    <col min="9224" max="9229" width="11.26171875" customWidth="1"/>
    <col min="9230" max="9230" width="12.15625" customWidth="1"/>
    <col min="9231" max="9231" width="4.1015625" customWidth="1"/>
    <col min="9232" max="9232" width="4.7890625" customWidth="1"/>
    <col min="9233" max="9233" width="11.26171875" customWidth="1"/>
    <col min="9234" max="9234" width="12" customWidth="1"/>
    <col min="9235" max="9235" width="12.26171875" customWidth="1"/>
    <col min="9236" max="9236" width="11" customWidth="1"/>
    <col min="9237" max="9237" width="10.7890625" customWidth="1"/>
    <col min="9238" max="9238" width="12" customWidth="1"/>
    <col min="9239" max="9239" width="14.7890625" customWidth="1"/>
    <col min="9240" max="9240" width="13.734375" customWidth="1"/>
    <col min="9241" max="9241" width="13.7890625" customWidth="1"/>
    <col min="9245" max="9245" width="12.5234375" customWidth="1"/>
    <col min="9246" max="9246" width="13.15625" customWidth="1"/>
    <col min="9473" max="9473" width="4.26171875" customWidth="1"/>
    <col min="9474" max="9474" width="18.26171875" customWidth="1"/>
    <col min="9475" max="9475" width="10.26171875" bestFit="1" customWidth="1"/>
    <col min="9476" max="9476" width="11.47265625" customWidth="1"/>
    <col min="9477" max="9478" width="12.5234375" customWidth="1"/>
    <col min="9479" max="9479" width="10.26171875" bestFit="1" customWidth="1"/>
    <col min="9480" max="9485" width="11.26171875" customWidth="1"/>
    <col min="9486" max="9486" width="12.15625" customWidth="1"/>
    <col min="9487" max="9487" width="4.1015625" customWidth="1"/>
    <col min="9488" max="9488" width="4.7890625" customWidth="1"/>
    <col min="9489" max="9489" width="11.26171875" customWidth="1"/>
    <col min="9490" max="9490" width="12" customWidth="1"/>
    <col min="9491" max="9491" width="12.26171875" customWidth="1"/>
    <col min="9492" max="9492" width="11" customWidth="1"/>
    <col min="9493" max="9493" width="10.7890625" customWidth="1"/>
    <col min="9494" max="9494" width="12" customWidth="1"/>
    <col min="9495" max="9495" width="14.7890625" customWidth="1"/>
    <col min="9496" max="9496" width="13.734375" customWidth="1"/>
    <col min="9497" max="9497" width="13.7890625" customWidth="1"/>
    <col min="9501" max="9501" width="12.5234375" customWidth="1"/>
    <col min="9502" max="9502" width="13.15625" customWidth="1"/>
    <col min="9729" max="9729" width="4.26171875" customWidth="1"/>
    <col min="9730" max="9730" width="18.26171875" customWidth="1"/>
    <col min="9731" max="9731" width="10.26171875" bestFit="1" customWidth="1"/>
    <col min="9732" max="9732" width="11.47265625" customWidth="1"/>
    <col min="9733" max="9734" width="12.5234375" customWidth="1"/>
    <col min="9735" max="9735" width="10.26171875" bestFit="1" customWidth="1"/>
    <col min="9736" max="9741" width="11.26171875" customWidth="1"/>
    <col min="9742" max="9742" width="12.15625" customWidth="1"/>
    <col min="9743" max="9743" width="4.1015625" customWidth="1"/>
    <col min="9744" max="9744" width="4.7890625" customWidth="1"/>
    <col min="9745" max="9745" width="11.26171875" customWidth="1"/>
    <col min="9746" max="9746" width="12" customWidth="1"/>
    <col min="9747" max="9747" width="12.26171875" customWidth="1"/>
    <col min="9748" max="9748" width="11" customWidth="1"/>
    <col min="9749" max="9749" width="10.7890625" customWidth="1"/>
    <col min="9750" max="9750" width="12" customWidth="1"/>
    <col min="9751" max="9751" width="14.7890625" customWidth="1"/>
    <col min="9752" max="9752" width="13.734375" customWidth="1"/>
    <col min="9753" max="9753" width="13.7890625" customWidth="1"/>
    <col min="9757" max="9757" width="12.5234375" customWidth="1"/>
    <col min="9758" max="9758" width="13.15625" customWidth="1"/>
    <col min="9985" max="9985" width="4.26171875" customWidth="1"/>
    <col min="9986" max="9986" width="18.26171875" customWidth="1"/>
    <col min="9987" max="9987" width="10.26171875" bestFit="1" customWidth="1"/>
    <col min="9988" max="9988" width="11.47265625" customWidth="1"/>
    <col min="9989" max="9990" width="12.5234375" customWidth="1"/>
    <col min="9991" max="9991" width="10.26171875" bestFit="1" customWidth="1"/>
    <col min="9992" max="9997" width="11.26171875" customWidth="1"/>
    <col min="9998" max="9998" width="12.15625" customWidth="1"/>
    <col min="9999" max="9999" width="4.1015625" customWidth="1"/>
    <col min="10000" max="10000" width="4.7890625" customWidth="1"/>
    <col min="10001" max="10001" width="11.26171875" customWidth="1"/>
    <col min="10002" max="10002" width="12" customWidth="1"/>
    <col min="10003" max="10003" width="12.26171875" customWidth="1"/>
    <col min="10004" max="10004" width="11" customWidth="1"/>
    <col min="10005" max="10005" width="10.7890625" customWidth="1"/>
    <col min="10006" max="10006" width="12" customWidth="1"/>
    <col min="10007" max="10007" width="14.7890625" customWidth="1"/>
    <col min="10008" max="10008" width="13.734375" customWidth="1"/>
    <col min="10009" max="10009" width="13.7890625" customWidth="1"/>
    <col min="10013" max="10013" width="12.5234375" customWidth="1"/>
    <col min="10014" max="10014" width="13.15625" customWidth="1"/>
    <col min="10241" max="10241" width="4.26171875" customWidth="1"/>
    <col min="10242" max="10242" width="18.26171875" customWidth="1"/>
    <col min="10243" max="10243" width="10.26171875" bestFit="1" customWidth="1"/>
    <col min="10244" max="10244" width="11.47265625" customWidth="1"/>
    <col min="10245" max="10246" width="12.5234375" customWidth="1"/>
    <col min="10247" max="10247" width="10.26171875" bestFit="1" customWidth="1"/>
    <col min="10248" max="10253" width="11.26171875" customWidth="1"/>
    <col min="10254" max="10254" width="12.15625" customWidth="1"/>
    <col min="10255" max="10255" width="4.1015625" customWidth="1"/>
    <col min="10256" max="10256" width="4.7890625" customWidth="1"/>
    <col min="10257" max="10257" width="11.26171875" customWidth="1"/>
    <col min="10258" max="10258" width="12" customWidth="1"/>
    <col min="10259" max="10259" width="12.26171875" customWidth="1"/>
    <col min="10260" max="10260" width="11" customWidth="1"/>
    <col min="10261" max="10261" width="10.7890625" customWidth="1"/>
    <col min="10262" max="10262" width="12" customWidth="1"/>
    <col min="10263" max="10263" width="14.7890625" customWidth="1"/>
    <col min="10264" max="10264" width="13.734375" customWidth="1"/>
    <col min="10265" max="10265" width="13.7890625" customWidth="1"/>
    <col min="10269" max="10269" width="12.5234375" customWidth="1"/>
    <col min="10270" max="10270" width="13.15625" customWidth="1"/>
    <col min="10497" max="10497" width="4.26171875" customWidth="1"/>
    <col min="10498" max="10498" width="18.26171875" customWidth="1"/>
    <col min="10499" max="10499" width="10.26171875" bestFit="1" customWidth="1"/>
    <col min="10500" max="10500" width="11.47265625" customWidth="1"/>
    <col min="10501" max="10502" width="12.5234375" customWidth="1"/>
    <col min="10503" max="10503" width="10.26171875" bestFit="1" customWidth="1"/>
    <col min="10504" max="10509" width="11.26171875" customWidth="1"/>
    <col min="10510" max="10510" width="12.15625" customWidth="1"/>
    <col min="10511" max="10511" width="4.1015625" customWidth="1"/>
    <col min="10512" max="10512" width="4.7890625" customWidth="1"/>
    <col min="10513" max="10513" width="11.26171875" customWidth="1"/>
    <col min="10514" max="10514" width="12" customWidth="1"/>
    <col min="10515" max="10515" width="12.26171875" customWidth="1"/>
    <col min="10516" max="10516" width="11" customWidth="1"/>
    <col min="10517" max="10517" width="10.7890625" customWidth="1"/>
    <col min="10518" max="10518" width="12" customWidth="1"/>
    <col min="10519" max="10519" width="14.7890625" customWidth="1"/>
    <col min="10520" max="10520" width="13.734375" customWidth="1"/>
    <col min="10521" max="10521" width="13.7890625" customWidth="1"/>
    <col min="10525" max="10525" width="12.5234375" customWidth="1"/>
    <col min="10526" max="10526" width="13.15625" customWidth="1"/>
    <col min="10753" max="10753" width="4.26171875" customWidth="1"/>
    <col min="10754" max="10754" width="18.26171875" customWidth="1"/>
    <col min="10755" max="10755" width="10.26171875" bestFit="1" customWidth="1"/>
    <col min="10756" max="10756" width="11.47265625" customWidth="1"/>
    <col min="10757" max="10758" width="12.5234375" customWidth="1"/>
    <col min="10759" max="10759" width="10.26171875" bestFit="1" customWidth="1"/>
    <col min="10760" max="10765" width="11.26171875" customWidth="1"/>
    <col min="10766" max="10766" width="12.15625" customWidth="1"/>
    <col min="10767" max="10767" width="4.1015625" customWidth="1"/>
    <col min="10768" max="10768" width="4.7890625" customWidth="1"/>
    <col min="10769" max="10769" width="11.26171875" customWidth="1"/>
    <col min="10770" max="10770" width="12" customWidth="1"/>
    <col min="10771" max="10771" width="12.26171875" customWidth="1"/>
    <col min="10772" max="10772" width="11" customWidth="1"/>
    <col min="10773" max="10773" width="10.7890625" customWidth="1"/>
    <col min="10774" max="10774" width="12" customWidth="1"/>
    <col min="10775" max="10775" width="14.7890625" customWidth="1"/>
    <col min="10776" max="10776" width="13.734375" customWidth="1"/>
    <col min="10777" max="10777" width="13.7890625" customWidth="1"/>
    <col min="10781" max="10781" width="12.5234375" customWidth="1"/>
    <col min="10782" max="10782" width="13.15625" customWidth="1"/>
    <col min="11009" max="11009" width="4.26171875" customWidth="1"/>
    <col min="11010" max="11010" width="18.26171875" customWidth="1"/>
    <col min="11011" max="11011" width="10.26171875" bestFit="1" customWidth="1"/>
    <col min="11012" max="11012" width="11.47265625" customWidth="1"/>
    <col min="11013" max="11014" width="12.5234375" customWidth="1"/>
    <col min="11015" max="11015" width="10.26171875" bestFit="1" customWidth="1"/>
    <col min="11016" max="11021" width="11.26171875" customWidth="1"/>
    <col min="11022" max="11022" width="12.15625" customWidth="1"/>
    <col min="11023" max="11023" width="4.1015625" customWidth="1"/>
    <col min="11024" max="11024" width="4.7890625" customWidth="1"/>
    <col min="11025" max="11025" width="11.26171875" customWidth="1"/>
    <col min="11026" max="11026" width="12" customWidth="1"/>
    <col min="11027" max="11027" width="12.26171875" customWidth="1"/>
    <col min="11028" max="11028" width="11" customWidth="1"/>
    <col min="11029" max="11029" width="10.7890625" customWidth="1"/>
    <col min="11030" max="11030" width="12" customWidth="1"/>
    <col min="11031" max="11031" width="14.7890625" customWidth="1"/>
    <col min="11032" max="11032" width="13.734375" customWidth="1"/>
    <col min="11033" max="11033" width="13.7890625" customWidth="1"/>
    <col min="11037" max="11037" width="12.5234375" customWidth="1"/>
    <col min="11038" max="11038" width="13.15625" customWidth="1"/>
    <col min="11265" max="11265" width="4.26171875" customWidth="1"/>
    <col min="11266" max="11266" width="18.26171875" customWidth="1"/>
    <col min="11267" max="11267" width="10.26171875" bestFit="1" customWidth="1"/>
    <col min="11268" max="11268" width="11.47265625" customWidth="1"/>
    <col min="11269" max="11270" width="12.5234375" customWidth="1"/>
    <col min="11271" max="11271" width="10.26171875" bestFit="1" customWidth="1"/>
    <col min="11272" max="11277" width="11.26171875" customWidth="1"/>
    <col min="11278" max="11278" width="12.15625" customWidth="1"/>
    <col min="11279" max="11279" width="4.1015625" customWidth="1"/>
    <col min="11280" max="11280" width="4.7890625" customWidth="1"/>
    <col min="11281" max="11281" width="11.26171875" customWidth="1"/>
    <col min="11282" max="11282" width="12" customWidth="1"/>
    <col min="11283" max="11283" width="12.26171875" customWidth="1"/>
    <col min="11284" max="11284" width="11" customWidth="1"/>
    <col min="11285" max="11285" width="10.7890625" customWidth="1"/>
    <col min="11286" max="11286" width="12" customWidth="1"/>
    <col min="11287" max="11287" width="14.7890625" customWidth="1"/>
    <col min="11288" max="11288" width="13.734375" customWidth="1"/>
    <col min="11289" max="11289" width="13.7890625" customWidth="1"/>
    <col min="11293" max="11293" width="12.5234375" customWidth="1"/>
    <col min="11294" max="11294" width="13.15625" customWidth="1"/>
    <col min="11521" max="11521" width="4.26171875" customWidth="1"/>
    <col min="11522" max="11522" width="18.26171875" customWidth="1"/>
    <col min="11523" max="11523" width="10.26171875" bestFit="1" customWidth="1"/>
    <col min="11524" max="11524" width="11.47265625" customWidth="1"/>
    <col min="11525" max="11526" width="12.5234375" customWidth="1"/>
    <col min="11527" max="11527" width="10.26171875" bestFit="1" customWidth="1"/>
    <col min="11528" max="11533" width="11.26171875" customWidth="1"/>
    <col min="11534" max="11534" width="12.15625" customWidth="1"/>
    <col min="11535" max="11535" width="4.1015625" customWidth="1"/>
    <col min="11536" max="11536" width="4.7890625" customWidth="1"/>
    <col min="11537" max="11537" width="11.26171875" customWidth="1"/>
    <col min="11538" max="11538" width="12" customWidth="1"/>
    <col min="11539" max="11539" width="12.26171875" customWidth="1"/>
    <col min="11540" max="11540" width="11" customWidth="1"/>
    <col min="11541" max="11541" width="10.7890625" customWidth="1"/>
    <col min="11542" max="11542" width="12" customWidth="1"/>
    <col min="11543" max="11543" width="14.7890625" customWidth="1"/>
    <col min="11544" max="11544" width="13.734375" customWidth="1"/>
    <col min="11545" max="11545" width="13.7890625" customWidth="1"/>
    <col min="11549" max="11549" width="12.5234375" customWidth="1"/>
    <col min="11550" max="11550" width="13.15625" customWidth="1"/>
    <col min="11777" max="11777" width="4.26171875" customWidth="1"/>
    <col min="11778" max="11778" width="18.26171875" customWidth="1"/>
    <col min="11779" max="11779" width="10.26171875" bestFit="1" customWidth="1"/>
    <col min="11780" max="11780" width="11.47265625" customWidth="1"/>
    <col min="11781" max="11782" width="12.5234375" customWidth="1"/>
    <col min="11783" max="11783" width="10.26171875" bestFit="1" customWidth="1"/>
    <col min="11784" max="11789" width="11.26171875" customWidth="1"/>
    <col min="11790" max="11790" width="12.15625" customWidth="1"/>
    <col min="11791" max="11791" width="4.1015625" customWidth="1"/>
    <col min="11792" max="11792" width="4.7890625" customWidth="1"/>
    <col min="11793" max="11793" width="11.26171875" customWidth="1"/>
    <col min="11794" max="11794" width="12" customWidth="1"/>
    <col min="11795" max="11795" width="12.26171875" customWidth="1"/>
    <col min="11796" max="11796" width="11" customWidth="1"/>
    <col min="11797" max="11797" width="10.7890625" customWidth="1"/>
    <col min="11798" max="11798" width="12" customWidth="1"/>
    <col min="11799" max="11799" width="14.7890625" customWidth="1"/>
    <col min="11800" max="11800" width="13.734375" customWidth="1"/>
    <col min="11801" max="11801" width="13.7890625" customWidth="1"/>
    <col min="11805" max="11805" width="12.5234375" customWidth="1"/>
    <col min="11806" max="11806" width="13.15625" customWidth="1"/>
    <col min="12033" max="12033" width="4.26171875" customWidth="1"/>
    <col min="12034" max="12034" width="18.26171875" customWidth="1"/>
    <col min="12035" max="12035" width="10.26171875" bestFit="1" customWidth="1"/>
    <col min="12036" max="12036" width="11.47265625" customWidth="1"/>
    <col min="12037" max="12038" width="12.5234375" customWidth="1"/>
    <col min="12039" max="12039" width="10.26171875" bestFit="1" customWidth="1"/>
    <col min="12040" max="12045" width="11.26171875" customWidth="1"/>
    <col min="12046" max="12046" width="12.15625" customWidth="1"/>
    <col min="12047" max="12047" width="4.1015625" customWidth="1"/>
    <col min="12048" max="12048" width="4.7890625" customWidth="1"/>
    <col min="12049" max="12049" width="11.26171875" customWidth="1"/>
    <col min="12050" max="12050" width="12" customWidth="1"/>
    <col min="12051" max="12051" width="12.26171875" customWidth="1"/>
    <col min="12052" max="12052" width="11" customWidth="1"/>
    <col min="12053" max="12053" width="10.7890625" customWidth="1"/>
    <col min="12054" max="12054" width="12" customWidth="1"/>
    <col min="12055" max="12055" width="14.7890625" customWidth="1"/>
    <col min="12056" max="12056" width="13.734375" customWidth="1"/>
    <col min="12057" max="12057" width="13.7890625" customWidth="1"/>
    <col min="12061" max="12061" width="12.5234375" customWidth="1"/>
    <col min="12062" max="12062" width="13.15625" customWidth="1"/>
    <col min="12289" max="12289" width="4.26171875" customWidth="1"/>
    <col min="12290" max="12290" width="18.26171875" customWidth="1"/>
    <col min="12291" max="12291" width="10.26171875" bestFit="1" customWidth="1"/>
    <col min="12292" max="12292" width="11.47265625" customWidth="1"/>
    <col min="12293" max="12294" width="12.5234375" customWidth="1"/>
    <col min="12295" max="12295" width="10.26171875" bestFit="1" customWidth="1"/>
    <col min="12296" max="12301" width="11.26171875" customWidth="1"/>
    <col min="12302" max="12302" width="12.15625" customWidth="1"/>
    <col min="12303" max="12303" width="4.1015625" customWidth="1"/>
    <col min="12304" max="12304" width="4.7890625" customWidth="1"/>
    <col min="12305" max="12305" width="11.26171875" customWidth="1"/>
    <col min="12306" max="12306" width="12" customWidth="1"/>
    <col min="12307" max="12307" width="12.26171875" customWidth="1"/>
    <col min="12308" max="12308" width="11" customWidth="1"/>
    <col min="12309" max="12309" width="10.7890625" customWidth="1"/>
    <col min="12310" max="12310" width="12" customWidth="1"/>
    <col min="12311" max="12311" width="14.7890625" customWidth="1"/>
    <col min="12312" max="12312" width="13.734375" customWidth="1"/>
    <col min="12313" max="12313" width="13.7890625" customWidth="1"/>
    <col min="12317" max="12317" width="12.5234375" customWidth="1"/>
    <col min="12318" max="12318" width="13.15625" customWidth="1"/>
    <col min="12545" max="12545" width="4.26171875" customWidth="1"/>
    <col min="12546" max="12546" width="18.26171875" customWidth="1"/>
    <col min="12547" max="12547" width="10.26171875" bestFit="1" customWidth="1"/>
    <col min="12548" max="12548" width="11.47265625" customWidth="1"/>
    <col min="12549" max="12550" width="12.5234375" customWidth="1"/>
    <col min="12551" max="12551" width="10.26171875" bestFit="1" customWidth="1"/>
    <col min="12552" max="12557" width="11.26171875" customWidth="1"/>
    <col min="12558" max="12558" width="12.15625" customWidth="1"/>
    <col min="12559" max="12559" width="4.1015625" customWidth="1"/>
    <col min="12560" max="12560" width="4.7890625" customWidth="1"/>
    <col min="12561" max="12561" width="11.26171875" customWidth="1"/>
    <col min="12562" max="12562" width="12" customWidth="1"/>
    <col min="12563" max="12563" width="12.26171875" customWidth="1"/>
    <col min="12564" max="12564" width="11" customWidth="1"/>
    <col min="12565" max="12565" width="10.7890625" customWidth="1"/>
    <col min="12566" max="12566" width="12" customWidth="1"/>
    <col min="12567" max="12567" width="14.7890625" customWidth="1"/>
    <col min="12568" max="12568" width="13.734375" customWidth="1"/>
    <col min="12569" max="12569" width="13.7890625" customWidth="1"/>
    <col min="12573" max="12573" width="12.5234375" customWidth="1"/>
    <col min="12574" max="12574" width="13.15625" customWidth="1"/>
    <col min="12801" max="12801" width="4.26171875" customWidth="1"/>
    <col min="12802" max="12802" width="18.26171875" customWidth="1"/>
    <col min="12803" max="12803" width="10.26171875" bestFit="1" customWidth="1"/>
    <col min="12804" max="12804" width="11.47265625" customWidth="1"/>
    <col min="12805" max="12806" width="12.5234375" customWidth="1"/>
    <col min="12807" max="12807" width="10.26171875" bestFit="1" customWidth="1"/>
    <col min="12808" max="12813" width="11.26171875" customWidth="1"/>
    <col min="12814" max="12814" width="12.15625" customWidth="1"/>
    <col min="12815" max="12815" width="4.1015625" customWidth="1"/>
    <col min="12816" max="12816" width="4.7890625" customWidth="1"/>
    <col min="12817" max="12817" width="11.26171875" customWidth="1"/>
    <col min="12818" max="12818" width="12" customWidth="1"/>
    <col min="12819" max="12819" width="12.26171875" customWidth="1"/>
    <col min="12820" max="12820" width="11" customWidth="1"/>
    <col min="12821" max="12821" width="10.7890625" customWidth="1"/>
    <col min="12822" max="12822" width="12" customWidth="1"/>
    <col min="12823" max="12823" width="14.7890625" customWidth="1"/>
    <col min="12824" max="12824" width="13.734375" customWidth="1"/>
    <col min="12825" max="12825" width="13.7890625" customWidth="1"/>
    <col min="12829" max="12829" width="12.5234375" customWidth="1"/>
    <col min="12830" max="12830" width="13.15625" customWidth="1"/>
    <col min="13057" max="13057" width="4.26171875" customWidth="1"/>
    <col min="13058" max="13058" width="18.26171875" customWidth="1"/>
    <col min="13059" max="13059" width="10.26171875" bestFit="1" customWidth="1"/>
    <col min="13060" max="13060" width="11.47265625" customWidth="1"/>
    <col min="13061" max="13062" width="12.5234375" customWidth="1"/>
    <col min="13063" max="13063" width="10.26171875" bestFit="1" customWidth="1"/>
    <col min="13064" max="13069" width="11.26171875" customWidth="1"/>
    <col min="13070" max="13070" width="12.15625" customWidth="1"/>
    <col min="13071" max="13071" width="4.1015625" customWidth="1"/>
    <col min="13072" max="13072" width="4.7890625" customWidth="1"/>
    <col min="13073" max="13073" width="11.26171875" customWidth="1"/>
    <col min="13074" max="13074" width="12" customWidth="1"/>
    <col min="13075" max="13075" width="12.26171875" customWidth="1"/>
    <col min="13076" max="13076" width="11" customWidth="1"/>
    <col min="13077" max="13077" width="10.7890625" customWidth="1"/>
    <col min="13078" max="13078" width="12" customWidth="1"/>
    <col min="13079" max="13079" width="14.7890625" customWidth="1"/>
    <col min="13080" max="13080" width="13.734375" customWidth="1"/>
    <col min="13081" max="13081" width="13.7890625" customWidth="1"/>
    <col min="13085" max="13085" width="12.5234375" customWidth="1"/>
    <col min="13086" max="13086" width="13.15625" customWidth="1"/>
    <col min="13313" max="13313" width="4.26171875" customWidth="1"/>
    <col min="13314" max="13314" width="18.26171875" customWidth="1"/>
    <col min="13315" max="13315" width="10.26171875" bestFit="1" customWidth="1"/>
    <col min="13316" max="13316" width="11.47265625" customWidth="1"/>
    <col min="13317" max="13318" width="12.5234375" customWidth="1"/>
    <col min="13319" max="13319" width="10.26171875" bestFit="1" customWidth="1"/>
    <col min="13320" max="13325" width="11.26171875" customWidth="1"/>
    <col min="13326" max="13326" width="12.15625" customWidth="1"/>
    <col min="13327" max="13327" width="4.1015625" customWidth="1"/>
    <col min="13328" max="13328" width="4.7890625" customWidth="1"/>
    <col min="13329" max="13329" width="11.26171875" customWidth="1"/>
    <col min="13330" max="13330" width="12" customWidth="1"/>
    <col min="13331" max="13331" width="12.26171875" customWidth="1"/>
    <col min="13332" max="13332" width="11" customWidth="1"/>
    <col min="13333" max="13333" width="10.7890625" customWidth="1"/>
    <col min="13334" max="13334" width="12" customWidth="1"/>
    <col min="13335" max="13335" width="14.7890625" customWidth="1"/>
    <col min="13336" max="13336" width="13.734375" customWidth="1"/>
    <col min="13337" max="13337" width="13.7890625" customWidth="1"/>
    <col min="13341" max="13341" width="12.5234375" customWidth="1"/>
    <col min="13342" max="13342" width="13.15625" customWidth="1"/>
    <col min="13569" max="13569" width="4.26171875" customWidth="1"/>
    <col min="13570" max="13570" width="18.26171875" customWidth="1"/>
    <col min="13571" max="13571" width="10.26171875" bestFit="1" customWidth="1"/>
    <col min="13572" max="13572" width="11.47265625" customWidth="1"/>
    <col min="13573" max="13574" width="12.5234375" customWidth="1"/>
    <col min="13575" max="13575" width="10.26171875" bestFit="1" customWidth="1"/>
    <col min="13576" max="13581" width="11.26171875" customWidth="1"/>
    <col min="13582" max="13582" width="12.15625" customWidth="1"/>
    <col min="13583" max="13583" width="4.1015625" customWidth="1"/>
    <col min="13584" max="13584" width="4.7890625" customWidth="1"/>
    <col min="13585" max="13585" width="11.26171875" customWidth="1"/>
    <col min="13586" max="13586" width="12" customWidth="1"/>
    <col min="13587" max="13587" width="12.26171875" customWidth="1"/>
    <col min="13588" max="13588" width="11" customWidth="1"/>
    <col min="13589" max="13589" width="10.7890625" customWidth="1"/>
    <col min="13590" max="13590" width="12" customWidth="1"/>
    <col min="13591" max="13591" width="14.7890625" customWidth="1"/>
    <col min="13592" max="13592" width="13.734375" customWidth="1"/>
    <col min="13593" max="13593" width="13.7890625" customWidth="1"/>
    <col min="13597" max="13597" width="12.5234375" customWidth="1"/>
    <col min="13598" max="13598" width="13.15625" customWidth="1"/>
    <col min="13825" max="13825" width="4.26171875" customWidth="1"/>
    <col min="13826" max="13826" width="18.26171875" customWidth="1"/>
    <col min="13827" max="13827" width="10.26171875" bestFit="1" customWidth="1"/>
    <col min="13828" max="13828" width="11.47265625" customWidth="1"/>
    <col min="13829" max="13830" width="12.5234375" customWidth="1"/>
    <col min="13831" max="13831" width="10.26171875" bestFit="1" customWidth="1"/>
    <col min="13832" max="13837" width="11.26171875" customWidth="1"/>
    <col min="13838" max="13838" width="12.15625" customWidth="1"/>
    <col min="13839" max="13839" width="4.1015625" customWidth="1"/>
    <col min="13840" max="13840" width="4.7890625" customWidth="1"/>
    <col min="13841" max="13841" width="11.26171875" customWidth="1"/>
    <col min="13842" max="13842" width="12" customWidth="1"/>
    <col min="13843" max="13843" width="12.26171875" customWidth="1"/>
    <col min="13844" max="13844" width="11" customWidth="1"/>
    <col min="13845" max="13845" width="10.7890625" customWidth="1"/>
    <col min="13846" max="13846" width="12" customWidth="1"/>
    <col min="13847" max="13847" width="14.7890625" customWidth="1"/>
    <col min="13848" max="13848" width="13.734375" customWidth="1"/>
    <col min="13849" max="13849" width="13.7890625" customWidth="1"/>
    <col min="13853" max="13853" width="12.5234375" customWidth="1"/>
    <col min="13854" max="13854" width="13.15625" customWidth="1"/>
    <col min="14081" max="14081" width="4.26171875" customWidth="1"/>
    <col min="14082" max="14082" width="18.26171875" customWidth="1"/>
    <col min="14083" max="14083" width="10.26171875" bestFit="1" customWidth="1"/>
    <col min="14084" max="14084" width="11.47265625" customWidth="1"/>
    <col min="14085" max="14086" width="12.5234375" customWidth="1"/>
    <col min="14087" max="14087" width="10.26171875" bestFit="1" customWidth="1"/>
    <col min="14088" max="14093" width="11.26171875" customWidth="1"/>
    <col min="14094" max="14094" width="12.15625" customWidth="1"/>
    <col min="14095" max="14095" width="4.1015625" customWidth="1"/>
    <col min="14096" max="14096" width="4.7890625" customWidth="1"/>
    <col min="14097" max="14097" width="11.26171875" customWidth="1"/>
    <col min="14098" max="14098" width="12" customWidth="1"/>
    <col min="14099" max="14099" width="12.26171875" customWidth="1"/>
    <col min="14100" max="14100" width="11" customWidth="1"/>
    <col min="14101" max="14101" width="10.7890625" customWidth="1"/>
    <col min="14102" max="14102" width="12" customWidth="1"/>
    <col min="14103" max="14103" width="14.7890625" customWidth="1"/>
    <col min="14104" max="14104" width="13.734375" customWidth="1"/>
    <col min="14105" max="14105" width="13.7890625" customWidth="1"/>
    <col min="14109" max="14109" width="12.5234375" customWidth="1"/>
    <col min="14110" max="14110" width="13.15625" customWidth="1"/>
    <col min="14337" max="14337" width="4.26171875" customWidth="1"/>
    <col min="14338" max="14338" width="18.26171875" customWidth="1"/>
    <col min="14339" max="14339" width="10.26171875" bestFit="1" customWidth="1"/>
    <col min="14340" max="14340" width="11.47265625" customWidth="1"/>
    <col min="14341" max="14342" width="12.5234375" customWidth="1"/>
    <col min="14343" max="14343" width="10.26171875" bestFit="1" customWidth="1"/>
    <col min="14344" max="14349" width="11.26171875" customWidth="1"/>
    <col min="14350" max="14350" width="12.15625" customWidth="1"/>
    <col min="14351" max="14351" width="4.1015625" customWidth="1"/>
    <col min="14352" max="14352" width="4.7890625" customWidth="1"/>
    <col min="14353" max="14353" width="11.26171875" customWidth="1"/>
    <col min="14354" max="14354" width="12" customWidth="1"/>
    <col min="14355" max="14355" width="12.26171875" customWidth="1"/>
    <col min="14356" max="14356" width="11" customWidth="1"/>
    <col min="14357" max="14357" width="10.7890625" customWidth="1"/>
    <col min="14358" max="14358" width="12" customWidth="1"/>
    <col min="14359" max="14359" width="14.7890625" customWidth="1"/>
    <col min="14360" max="14360" width="13.734375" customWidth="1"/>
    <col min="14361" max="14361" width="13.7890625" customWidth="1"/>
    <col min="14365" max="14365" width="12.5234375" customWidth="1"/>
    <col min="14366" max="14366" width="13.15625" customWidth="1"/>
    <col min="14593" max="14593" width="4.26171875" customWidth="1"/>
    <col min="14594" max="14594" width="18.26171875" customWidth="1"/>
    <col min="14595" max="14595" width="10.26171875" bestFit="1" customWidth="1"/>
    <col min="14596" max="14596" width="11.47265625" customWidth="1"/>
    <col min="14597" max="14598" width="12.5234375" customWidth="1"/>
    <col min="14599" max="14599" width="10.26171875" bestFit="1" customWidth="1"/>
    <col min="14600" max="14605" width="11.26171875" customWidth="1"/>
    <col min="14606" max="14606" width="12.15625" customWidth="1"/>
    <col min="14607" max="14607" width="4.1015625" customWidth="1"/>
    <col min="14608" max="14608" width="4.7890625" customWidth="1"/>
    <col min="14609" max="14609" width="11.26171875" customWidth="1"/>
    <col min="14610" max="14610" width="12" customWidth="1"/>
    <col min="14611" max="14611" width="12.26171875" customWidth="1"/>
    <col min="14612" max="14612" width="11" customWidth="1"/>
    <col min="14613" max="14613" width="10.7890625" customWidth="1"/>
    <col min="14614" max="14614" width="12" customWidth="1"/>
    <col min="14615" max="14615" width="14.7890625" customWidth="1"/>
    <col min="14616" max="14616" width="13.734375" customWidth="1"/>
    <col min="14617" max="14617" width="13.7890625" customWidth="1"/>
    <col min="14621" max="14621" width="12.5234375" customWidth="1"/>
    <col min="14622" max="14622" width="13.15625" customWidth="1"/>
    <col min="14849" max="14849" width="4.26171875" customWidth="1"/>
    <col min="14850" max="14850" width="18.26171875" customWidth="1"/>
    <col min="14851" max="14851" width="10.26171875" bestFit="1" customWidth="1"/>
    <col min="14852" max="14852" width="11.47265625" customWidth="1"/>
    <col min="14853" max="14854" width="12.5234375" customWidth="1"/>
    <col min="14855" max="14855" width="10.26171875" bestFit="1" customWidth="1"/>
    <col min="14856" max="14861" width="11.26171875" customWidth="1"/>
    <col min="14862" max="14862" width="12.15625" customWidth="1"/>
    <col min="14863" max="14863" width="4.1015625" customWidth="1"/>
    <col min="14864" max="14864" width="4.7890625" customWidth="1"/>
    <col min="14865" max="14865" width="11.26171875" customWidth="1"/>
    <col min="14866" max="14866" width="12" customWidth="1"/>
    <col min="14867" max="14867" width="12.26171875" customWidth="1"/>
    <col min="14868" max="14868" width="11" customWidth="1"/>
    <col min="14869" max="14869" width="10.7890625" customWidth="1"/>
    <col min="14870" max="14870" width="12" customWidth="1"/>
    <col min="14871" max="14871" width="14.7890625" customWidth="1"/>
    <col min="14872" max="14872" width="13.734375" customWidth="1"/>
    <col min="14873" max="14873" width="13.7890625" customWidth="1"/>
    <col min="14877" max="14877" width="12.5234375" customWidth="1"/>
    <col min="14878" max="14878" width="13.15625" customWidth="1"/>
    <col min="15105" max="15105" width="4.26171875" customWidth="1"/>
    <col min="15106" max="15106" width="18.26171875" customWidth="1"/>
    <col min="15107" max="15107" width="10.26171875" bestFit="1" customWidth="1"/>
    <col min="15108" max="15108" width="11.47265625" customWidth="1"/>
    <col min="15109" max="15110" width="12.5234375" customWidth="1"/>
    <col min="15111" max="15111" width="10.26171875" bestFit="1" customWidth="1"/>
    <col min="15112" max="15117" width="11.26171875" customWidth="1"/>
    <col min="15118" max="15118" width="12.15625" customWidth="1"/>
    <col min="15119" max="15119" width="4.1015625" customWidth="1"/>
    <col min="15120" max="15120" width="4.7890625" customWidth="1"/>
    <col min="15121" max="15121" width="11.26171875" customWidth="1"/>
    <col min="15122" max="15122" width="12" customWidth="1"/>
    <col min="15123" max="15123" width="12.26171875" customWidth="1"/>
    <col min="15124" max="15124" width="11" customWidth="1"/>
    <col min="15125" max="15125" width="10.7890625" customWidth="1"/>
    <col min="15126" max="15126" width="12" customWidth="1"/>
    <col min="15127" max="15127" width="14.7890625" customWidth="1"/>
    <col min="15128" max="15128" width="13.734375" customWidth="1"/>
    <col min="15129" max="15129" width="13.7890625" customWidth="1"/>
    <col min="15133" max="15133" width="12.5234375" customWidth="1"/>
    <col min="15134" max="15134" width="13.15625" customWidth="1"/>
    <col min="15361" max="15361" width="4.26171875" customWidth="1"/>
    <col min="15362" max="15362" width="18.26171875" customWidth="1"/>
    <col min="15363" max="15363" width="10.26171875" bestFit="1" customWidth="1"/>
    <col min="15364" max="15364" width="11.47265625" customWidth="1"/>
    <col min="15365" max="15366" width="12.5234375" customWidth="1"/>
    <col min="15367" max="15367" width="10.26171875" bestFit="1" customWidth="1"/>
    <col min="15368" max="15373" width="11.26171875" customWidth="1"/>
    <col min="15374" max="15374" width="12.15625" customWidth="1"/>
    <col min="15375" max="15375" width="4.1015625" customWidth="1"/>
    <col min="15376" max="15376" width="4.7890625" customWidth="1"/>
    <col min="15377" max="15377" width="11.26171875" customWidth="1"/>
    <col min="15378" max="15378" width="12" customWidth="1"/>
    <col min="15379" max="15379" width="12.26171875" customWidth="1"/>
    <col min="15380" max="15380" width="11" customWidth="1"/>
    <col min="15381" max="15381" width="10.7890625" customWidth="1"/>
    <col min="15382" max="15382" width="12" customWidth="1"/>
    <col min="15383" max="15383" width="14.7890625" customWidth="1"/>
    <col min="15384" max="15384" width="13.734375" customWidth="1"/>
    <col min="15385" max="15385" width="13.7890625" customWidth="1"/>
    <col min="15389" max="15389" width="12.5234375" customWidth="1"/>
    <col min="15390" max="15390" width="13.15625" customWidth="1"/>
    <col min="15617" max="15617" width="4.26171875" customWidth="1"/>
    <col min="15618" max="15618" width="18.26171875" customWidth="1"/>
    <col min="15619" max="15619" width="10.26171875" bestFit="1" customWidth="1"/>
    <col min="15620" max="15620" width="11.47265625" customWidth="1"/>
    <col min="15621" max="15622" width="12.5234375" customWidth="1"/>
    <col min="15623" max="15623" width="10.26171875" bestFit="1" customWidth="1"/>
    <col min="15624" max="15629" width="11.26171875" customWidth="1"/>
    <col min="15630" max="15630" width="12.15625" customWidth="1"/>
    <col min="15631" max="15631" width="4.1015625" customWidth="1"/>
    <col min="15632" max="15632" width="4.7890625" customWidth="1"/>
    <col min="15633" max="15633" width="11.26171875" customWidth="1"/>
    <col min="15634" max="15634" width="12" customWidth="1"/>
    <col min="15635" max="15635" width="12.26171875" customWidth="1"/>
    <col min="15636" max="15636" width="11" customWidth="1"/>
    <col min="15637" max="15637" width="10.7890625" customWidth="1"/>
    <col min="15638" max="15638" width="12" customWidth="1"/>
    <col min="15639" max="15639" width="14.7890625" customWidth="1"/>
    <col min="15640" max="15640" width="13.734375" customWidth="1"/>
    <col min="15641" max="15641" width="13.7890625" customWidth="1"/>
    <col min="15645" max="15645" width="12.5234375" customWidth="1"/>
    <col min="15646" max="15646" width="13.15625" customWidth="1"/>
    <col min="15873" max="15873" width="4.26171875" customWidth="1"/>
    <col min="15874" max="15874" width="18.26171875" customWidth="1"/>
    <col min="15875" max="15875" width="10.26171875" bestFit="1" customWidth="1"/>
    <col min="15876" max="15876" width="11.47265625" customWidth="1"/>
    <col min="15877" max="15878" width="12.5234375" customWidth="1"/>
    <col min="15879" max="15879" width="10.26171875" bestFit="1" customWidth="1"/>
    <col min="15880" max="15885" width="11.26171875" customWidth="1"/>
    <col min="15886" max="15886" width="12.15625" customWidth="1"/>
    <col min="15887" max="15887" width="4.1015625" customWidth="1"/>
    <col min="15888" max="15888" width="4.7890625" customWidth="1"/>
    <col min="15889" max="15889" width="11.26171875" customWidth="1"/>
    <col min="15890" max="15890" width="12" customWidth="1"/>
    <col min="15891" max="15891" width="12.26171875" customWidth="1"/>
    <col min="15892" max="15892" width="11" customWidth="1"/>
    <col min="15893" max="15893" width="10.7890625" customWidth="1"/>
    <col min="15894" max="15894" width="12" customWidth="1"/>
    <col min="15895" max="15895" width="14.7890625" customWidth="1"/>
    <col min="15896" max="15896" width="13.734375" customWidth="1"/>
    <col min="15897" max="15897" width="13.7890625" customWidth="1"/>
    <col min="15901" max="15901" width="12.5234375" customWidth="1"/>
    <col min="15902" max="15902" width="13.15625" customWidth="1"/>
    <col min="16129" max="16129" width="4.26171875" customWidth="1"/>
    <col min="16130" max="16130" width="18.26171875" customWidth="1"/>
    <col min="16131" max="16131" width="10.26171875" bestFit="1" customWidth="1"/>
    <col min="16132" max="16132" width="11.47265625" customWidth="1"/>
    <col min="16133" max="16134" width="12.5234375" customWidth="1"/>
    <col min="16135" max="16135" width="10.26171875" bestFit="1" customWidth="1"/>
    <col min="16136" max="16141" width="11.26171875" customWidth="1"/>
    <col min="16142" max="16142" width="12.15625" customWidth="1"/>
    <col min="16143" max="16143" width="4.1015625" customWidth="1"/>
    <col min="16144" max="16144" width="4.7890625" customWidth="1"/>
    <col min="16145" max="16145" width="11.26171875" customWidth="1"/>
    <col min="16146" max="16146" width="12" customWidth="1"/>
    <col min="16147" max="16147" width="12.26171875" customWidth="1"/>
    <col min="16148" max="16148" width="11" customWidth="1"/>
    <col min="16149" max="16149" width="10.7890625" customWidth="1"/>
    <col min="16150" max="16150" width="12" customWidth="1"/>
    <col min="16151" max="16151" width="14.7890625" customWidth="1"/>
    <col min="16152" max="16152" width="13.734375" customWidth="1"/>
    <col min="16153" max="16153" width="13.7890625" customWidth="1"/>
    <col min="16157" max="16157" width="12.5234375" customWidth="1"/>
    <col min="16158" max="16158" width="13.15625" customWidth="1"/>
  </cols>
  <sheetData>
    <row r="1" spans="1:13" x14ac:dyDescent="0.55000000000000004">
      <c r="A1" s="266">
        <f>ROW()</f>
        <v>1</v>
      </c>
      <c r="B1" s="253" t="s">
        <v>39</v>
      </c>
      <c r="C1" s="253" t="s">
        <v>50</v>
      </c>
      <c r="D1" s="253" t="s">
        <v>53</v>
      </c>
      <c r="E1" s="253" t="s">
        <v>57</v>
      </c>
      <c r="F1" s="253" t="s">
        <v>58</v>
      </c>
      <c r="G1" s="253" t="s">
        <v>59</v>
      </c>
      <c r="H1" s="253" t="s">
        <v>60</v>
      </c>
      <c r="I1" s="253" t="s">
        <v>61</v>
      </c>
      <c r="J1" s="253" t="s">
        <v>62</v>
      </c>
      <c r="K1" s="253" t="s">
        <v>63</v>
      </c>
      <c r="L1" s="253" t="s">
        <v>64</v>
      </c>
    </row>
    <row r="2" spans="1:13" ht="18.55" customHeight="1" x14ac:dyDescent="0.6">
      <c r="A2" s="266">
        <f>ROW()</f>
        <v>2</v>
      </c>
      <c r="B2" s="55" t="s">
        <v>294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ht="15.3" x14ac:dyDescent="0.55000000000000004">
      <c r="A3" s="266">
        <f>ROW()</f>
        <v>3</v>
      </c>
      <c r="B3" s="98" t="s">
        <v>156</v>
      </c>
    </row>
    <row r="4" spans="1:13" ht="15.3" x14ac:dyDescent="0.55000000000000004">
      <c r="A4" s="266">
        <f>ROW()</f>
        <v>4</v>
      </c>
      <c r="B4" s="98"/>
      <c r="G4" s="101"/>
      <c r="L4" s="102"/>
    </row>
    <row r="5" spans="1:13" x14ac:dyDescent="0.55000000000000004">
      <c r="A5" s="266">
        <f>ROW()</f>
        <v>5</v>
      </c>
      <c r="B5" s="103" t="s">
        <v>135</v>
      </c>
      <c r="C5" s="104">
        <v>1000</v>
      </c>
      <c r="E5" s="101"/>
    </row>
    <row r="6" spans="1:13" x14ac:dyDescent="0.55000000000000004">
      <c r="A6" s="266">
        <f>ROW()</f>
        <v>6</v>
      </c>
      <c r="B6" s="103" t="s">
        <v>126</v>
      </c>
      <c r="C6" s="107">
        <v>0.08</v>
      </c>
      <c r="E6" s="108"/>
    </row>
    <row r="7" spans="1:13" x14ac:dyDescent="0.55000000000000004">
      <c r="A7" s="266">
        <f>ROW()</f>
        <v>7</v>
      </c>
      <c r="B7" s="103" t="s">
        <v>160</v>
      </c>
      <c r="C7" s="111">
        <v>5</v>
      </c>
      <c r="E7" s="112"/>
      <c r="I7" s="103"/>
      <c r="J7" s="103"/>
      <c r="K7" s="103"/>
      <c r="L7" s="103"/>
    </row>
    <row r="8" spans="1:13" x14ac:dyDescent="0.55000000000000004">
      <c r="A8" s="266">
        <f>ROW()</f>
        <v>8</v>
      </c>
      <c r="B8" s="103" t="s">
        <v>161</v>
      </c>
      <c r="C8" s="107">
        <v>0.1</v>
      </c>
      <c r="E8" s="115"/>
      <c r="K8" s="103"/>
    </row>
    <row r="9" spans="1:13" ht="14.7" thickBot="1" x14ac:dyDescent="0.6">
      <c r="A9" s="266">
        <f>ROW()</f>
        <v>9</v>
      </c>
      <c r="B9" s="103" t="s">
        <v>163</v>
      </c>
      <c r="C9" s="111">
        <v>2</v>
      </c>
      <c r="E9" s="116"/>
      <c r="K9" s="103"/>
    </row>
    <row r="10" spans="1:13" ht="14.7" thickBot="1" x14ac:dyDescent="0.6">
      <c r="A10" s="266">
        <f>ROW()</f>
        <v>10</v>
      </c>
      <c r="B10" s="119" t="s">
        <v>165</v>
      </c>
      <c r="C10" s="121">
        <f>-PV(C8/C9,C7*C9,C6*C5/C9,C5)</f>
        <v>922.78265070815178</v>
      </c>
      <c r="D10" s="198" t="str">
        <f ca="1">_xlfn.FORMULATEXT(C10)</f>
        <v>=-PV(C8/C9,C7*C9,C6*C5/C9,C5)</v>
      </c>
      <c r="E10" s="108"/>
    </row>
    <row r="11" spans="1:13" ht="14.7" thickBot="1" x14ac:dyDescent="0.6">
      <c r="A11" s="266">
        <f>ROW()</f>
        <v>11</v>
      </c>
      <c r="E11" s="114"/>
      <c r="I11" s="103"/>
      <c r="J11" s="103"/>
      <c r="K11" s="103"/>
      <c r="L11" s="103"/>
    </row>
    <row r="12" spans="1:13" ht="14.7" thickBot="1" x14ac:dyDescent="0.6">
      <c r="A12" s="266">
        <f>ROW()</f>
        <v>12</v>
      </c>
      <c r="B12" s="119" t="s">
        <v>167</v>
      </c>
      <c r="C12" s="123">
        <f>+H32</f>
        <v>4.1797945820052549</v>
      </c>
      <c r="E12" s="114"/>
    </row>
    <row r="13" spans="1:13" ht="14.7" thickBot="1" x14ac:dyDescent="0.6">
      <c r="A13" s="266">
        <f>ROW()</f>
        <v>13</v>
      </c>
      <c r="B13" s="255"/>
      <c r="C13" s="256"/>
      <c r="E13" s="114"/>
      <c r="I13" s="103"/>
      <c r="J13" s="103"/>
      <c r="K13" s="124"/>
      <c r="L13" s="101"/>
    </row>
    <row r="14" spans="1:13" ht="14.7" thickBot="1" x14ac:dyDescent="0.6">
      <c r="A14" s="266">
        <f>ROW()</f>
        <v>14</v>
      </c>
      <c r="B14" s="119" t="s">
        <v>169</v>
      </c>
      <c r="C14" s="346">
        <f>+C12/(1+C8/C9)/100</f>
        <v>3.9807567447669091E-2</v>
      </c>
      <c r="D14" s="198" t="str">
        <f ca="1">_xlfn.FORMULATEXT(C14)</f>
        <v>=+C12/(1+C8/C9)/100</v>
      </c>
      <c r="E14" s="114"/>
    </row>
    <row r="15" spans="1:13" ht="14.7" thickBot="1" x14ac:dyDescent="0.6">
      <c r="A15" s="266">
        <f>ROW()</f>
        <v>15</v>
      </c>
      <c r="B15" s="103"/>
      <c r="C15" s="254"/>
      <c r="E15" s="261"/>
      <c r="I15" s="103"/>
      <c r="J15" s="103"/>
      <c r="K15" s="124"/>
      <c r="L15" s="101"/>
      <c r="M15" s="20"/>
    </row>
    <row r="16" spans="1:13" ht="14.7" thickBot="1" x14ac:dyDescent="0.6">
      <c r="A16" s="266">
        <f>ROW()</f>
        <v>16</v>
      </c>
      <c r="B16" s="119" t="s">
        <v>171</v>
      </c>
      <c r="C16" s="123">
        <f>+K32</f>
        <v>17.834587213533805</v>
      </c>
      <c r="D16" s="262">
        <f>+C16/C10</f>
        <v>1.9326964155478413E-2</v>
      </c>
      <c r="E16" s="198" t="str">
        <f ca="1">_xlfn.FORMULATEXT(D16)</f>
        <v>=+C16/C10</v>
      </c>
    </row>
    <row r="17" spans="1:42" ht="14.7" thickBot="1" x14ac:dyDescent="0.6">
      <c r="A17" s="266">
        <f>ROW()</f>
        <v>17</v>
      </c>
      <c r="B17" s="129"/>
      <c r="C17" s="129"/>
      <c r="D17" s="129"/>
      <c r="E17" s="103"/>
      <c r="F17" s="103"/>
      <c r="G17" s="304" t="s">
        <v>336</v>
      </c>
      <c r="H17" s="103"/>
      <c r="I17" s="103"/>
      <c r="J17" s="260" t="s">
        <v>337</v>
      </c>
      <c r="L17" s="20"/>
      <c r="M17" s="20"/>
    </row>
    <row r="18" spans="1:42" ht="28.5" thickBot="1" x14ac:dyDescent="0.6">
      <c r="A18" s="266">
        <f>ROW()</f>
        <v>18</v>
      </c>
      <c r="B18" s="131" t="s">
        <v>173</v>
      </c>
      <c r="C18" s="131" t="s">
        <v>174</v>
      </c>
      <c r="D18" s="131" t="s">
        <v>175</v>
      </c>
      <c r="E18" s="103"/>
      <c r="G18" s="132" t="s">
        <v>176</v>
      </c>
      <c r="H18" s="132" t="s">
        <v>177</v>
      </c>
      <c r="I18" s="103"/>
      <c r="J18" s="132" t="s">
        <v>178</v>
      </c>
      <c r="K18" s="132" t="s">
        <v>179</v>
      </c>
    </row>
    <row r="19" spans="1:42" x14ac:dyDescent="0.55000000000000004">
      <c r="A19" s="266">
        <f>ROW()</f>
        <v>19</v>
      </c>
      <c r="B19" s="133">
        <v>0</v>
      </c>
      <c r="C19" s="134">
        <f>-C10</f>
        <v>-922.78265070815178</v>
      </c>
      <c r="D19" s="135"/>
      <c r="E19" s="103"/>
      <c r="G19" t="str">
        <f ca="1">_xlfn.FORMULATEXT(G20)</f>
        <v>=+D20/$D$32</v>
      </c>
      <c r="I19" s="103"/>
      <c r="J19" t="str">
        <f ca="1">_xlfn.FORMULATEXT(J20)</f>
        <v>=+B20+B20^2</v>
      </c>
      <c r="K19" s="103"/>
    </row>
    <row r="20" spans="1:42" x14ac:dyDescent="0.55000000000000004">
      <c r="A20" s="266">
        <f>ROW()</f>
        <v>20</v>
      </c>
      <c r="B20" s="133">
        <v>1</v>
      </c>
      <c r="C20" s="135">
        <f>+$C$5*$C$6/$C$9</f>
        <v>40</v>
      </c>
      <c r="D20" s="125">
        <f>+C20/(1+($C$8/2))^B20</f>
        <v>38.095238095238095</v>
      </c>
      <c r="E20" s="198" t="str">
        <f ca="1">_xlfn.FORMULATEXT(D20)</f>
        <v>=+C20/(1+($C$8/2))^B20</v>
      </c>
      <c r="G20" s="304">
        <f>+D20/$D$32</f>
        <v>4.1283002087223318E-2</v>
      </c>
      <c r="H20" s="259">
        <f>+G20*B20</f>
        <v>4.1283002087223318E-2</v>
      </c>
      <c r="I20" s="198" t="str">
        <f ca="1">_xlfn.FORMULATEXT(H20)</f>
        <v>=+G20*B20</v>
      </c>
      <c r="J20" s="260">
        <f>+B20+B20^2</f>
        <v>2</v>
      </c>
      <c r="K20" s="261">
        <f>+J20*D20</f>
        <v>76.19047619047619</v>
      </c>
      <c r="L20" s="198" t="str">
        <f ca="1">_xlfn.FORMULATEXT(K20)</f>
        <v>=+J20*D20</v>
      </c>
      <c r="M20" s="260"/>
    </row>
    <row r="21" spans="1:42" x14ac:dyDescent="0.55000000000000004">
      <c r="A21" s="266">
        <f>ROW()</f>
        <v>21</v>
      </c>
      <c r="B21" s="133">
        <v>2</v>
      </c>
      <c r="C21" s="135">
        <f t="shared" ref="C21:C28" si="0">+$C$5*$C$6/$C$9</f>
        <v>40</v>
      </c>
      <c r="D21" s="125">
        <f t="shared" ref="D21:D29" si="1">+C21/(1+($C$8/2))^B21</f>
        <v>36.281179138321995</v>
      </c>
      <c r="E21" s="125"/>
      <c r="G21" s="137">
        <f t="shared" ref="G21:G29" si="2">+D21/$D$32</f>
        <v>3.9317144844974589E-2</v>
      </c>
      <c r="H21" s="138">
        <f>+G21*B21</f>
        <v>7.8634289689949177E-2</v>
      </c>
      <c r="I21" s="198" t="str">
        <f t="shared" ref="I21:I29" ca="1" si="3">_xlfn.FORMULATEXT(H21)</f>
        <v>=+G21*B21</v>
      </c>
      <c r="J21" s="139">
        <f t="shared" ref="J21:J29" si="4">+B21+B21^2</f>
        <v>6</v>
      </c>
      <c r="K21" s="140">
        <f t="shared" ref="K21:K29" si="5">+J21*D21</f>
        <v>217.68707482993199</v>
      </c>
    </row>
    <row r="22" spans="1:42" x14ac:dyDescent="0.55000000000000004">
      <c r="A22" s="266">
        <f>ROW()</f>
        <v>22</v>
      </c>
      <c r="B22" s="133">
        <v>3</v>
      </c>
      <c r="C22" s="135">
        <f t="shared" si="0"/>
        <v>40</v>
      </c>
      <c r="D22" s="125">
        <f t="shared" si="1"/>
        <v>34.553503941259038</v>
      </c>
      <c r="E22" s="125"/>
      <c r="G22" s="137">
        <f t="shared" si="2"/>
        <v>3.7444899852356744E-2</v>
      </c>
      <c r="H22" s="259">
        <f>+G22*B22</f>
        <v>0.11233469955707023</v>
      </c>
      <c r="I22" s="198" t="str">
        <f t="shared" ca="1" si="3"/>
        <v>=+G22*B22</v>
      </c>
      <c r="J22" s="139">
        <f t="shared" si="4"/>
        <v>12</v>
      </c>
      <c r="K22" s="140">
        <f t="shared" si="5"/>
        <v>414.64204729510845</v>
      </c>
    </row>
    <row r="23" spans="1:42" x14ac:dyDescent="0.55000000000000004">
      <c r="A23" s="266">
        <f>ROW()</f>
        <v>23</v>
      </c>
      <c r="B23" s="133">
        <v>4</v>
      </c>
      <c r="C23" s="135">
        <f t="shared" si="0"/>
        <v>40</v>
      </c>
      <c r="D23" s="125">
        <f t="shared" si="1"/>
        <v>32.908098991675281</v>
      </c>
      <c r="E23" s="125"/>
      <c r="G23" s="137">
        <f t="shared" si="2"/>
        <v>3.5661809383196907E-2</v>
      </c>
      <c r="H23" s="138">
        <f t="shared" ref="H21:H29" si="6">+G23*B23</f>
        <v>0.14264723753278763</v>
      </c>
      <c r="I23" s="198" t="str">
        <f t="shared" ca="1" si="3"/>
        <v>=+G23*B23</v>
      </c>
      <c r="J23" s="139">
        <f t="shared" si="4"/>
        <v>20</v>
      </c>
      <c r="K23" s="140">
        <f t="shared" si="5"/>
        <v>658.1619798335056</v>
      </c>
    </row>
    <row r="24" spans="1:42" x14ac:dyDescent="0.55000000000000004">
      <c r="A24" s="266">
        <f>ROW()</f>
        <v>24</v>
      </c>
      <c r="B24" s="133">
        <v>5</v>
      </c>
      <c r="C24" s="135">
        <f t="shared" si="0"/>
        <v>40</v>
      </c>
      <c r="D24" s="125">
        <f t="shared" si="1"/>
        <v>31.341046658738357</v>
      </c>
      <c r="E24" s="125"/>
      <c r="G24" s="137">
        <f t="shared" si="2"/>
        <v>3.3963627983997047E-2</v>
      </c>
      <c r="H24" s="138">
        <f t="shared" si="6"/>
        <v>0.16981813991998523</v>
      </c>
      <c r="I24" s="198" t="str">
        <f t="shared" ca="1" si="3"/>
        <v>=+G24*B24</v>
      </c>
      <c r="J24" s="139">
        <f t="shared" si="4"/>
        <v>30</v>
      </c>
      <c r="K24" s="140">
        <f t="shared" si="5"/>
        <v>940.23139976215066</v>
      </c>
    </row>
    <row r="25" spans="1:42" x14ac:dyDescent="0.55000000000000004">
      <c r="A25" s="266">
        <f>ROW()</f>
        <v>25</v>
      </c>
      <c r="B25" s="133">
        <v>6</v>
      </c>
      <c r="C25" s="135">
        <f t="shared" si="0"/>
        <v>40</v>
      </c>
      <c r="D25" s="125">
        <f t="shared" si="1"/>
        <v>29.848615865465106</v>
      </c>
      <c r="E25" s="125"/>
      <c r="G25" s="137">
        <f t="shared" si="2"/>
        <v>3.2346312365711477E-2</v>
      </c>
      <c r="H25" s="138">
        <f t="shared" si="6"/>
        <v>0.19407787419426886</v>
      </c>
      <c r="I25" s="198" t="str">
        <f t="shared" ca="1" si="3"/>
        <v>=+G25*B25</v>
      </c>
      <c r="J25" s="139">
        <f t="shared" si="4"/>
        <v>42</v>
      </c>
      <c r="K25" s="140">
        <f t="shared" si="5"/>
        <v>1253.6418663495344</v>
      </c>
    </row>
    <row r="26" spans="1:42" x14ac:dyDescent="0.55000000000000004">
      <c r="A26" s="266">
        <f>ROW()</f>
        <v>26</v>
      </c>
      <c r="B26" s="133">
        <v>7</v>
      </c>
      <c r="C26" s="135">
        <f t="shared" si="0"/>
        <v>40</v>
      </c>
      <c r="D26" s="125">
        <f t="shared" si="1"/>
        <v>28.42725320520486</v>
      </c>
      <c r="E26" s="125"/>
      <c r="G26" s="137">
        <f t="shared" si="2"/>
        <v>3.0806011776868071E-2</v>
      </c>
      <c r="H26" s="138">
        <f t="shared" si="6"/>
        <v>0.2156420824380765</v>
      </c>
      <c r="I26" s="198" t="str">
        <f t="shared" ca="1" si="3"/>
        <v>=+G26*B26</v>
      </c>
      <c r="J26" s="139">
        <f t="shared" si="4"/>
        <v>56</v>
      </c>
      <c r="K26" s="140">
        <f t="shared" si="5"/>
        <v>1591.9261794914721</v>
      </c>
    </row>
    <row r="27" spans="1:42" x14ac:dyDescent="0.55000000000000004">
      <c r="A27" s="266">
        <f>ROW()</f>
        <v>27</v>
      </c>
      <c r="B27" s="133">
        <v>8</v>
      </c>
      <c r="C27" s="135">
        <f t="shared" si="0"/>
        <v>40</v>
      </c>
      <c r="D27" s="125">
        <f t="shared" si="1"/>
        <v>27.073574481147489</v>
      </c>
      <c r="E27" s="125"/>
      <c r="G27" s="137">
        <f t="shared" si="2"/>
        <v>2.9339058835112453E-2</v>
      </c>
      <c r="H27" s="138">
        <f>+G27*B27</f>
        <v>0.23471247068089962</v>
      </c>
      <c r="I27" s="198" t="str">
        <f t="shared" ca="1" si="3"/>
        <v>=+G27*B27</v>
      </c>
      <c r="J27" s="139">
        <f t="shared" si="4"/>
        <v>72</v>
      </c>
      <c r="K27" s="140">
        <f t="shared" si="5"/>
        <v>1949.2973626426192</v>
      </c>
    </row>
    <row r="28" spans="1:42" x14ac:dyDescent="0.55000000000000004">
      <c r="A28" s="266">
        <f>ROW()</f>
        <v>28</v>
      </c>
      <c r="B28" s="133">
        <v>9</v>
      </c>
      <c r="C28" s="135">
        <f t="shared" si="0"/>
        <v>40</v>
      </c>
      <c r="D28" s="125">
        <f t="shared" si="1"/>
        <v>25.784356648711892</v>
      </c>
      <c r="E28" s="125"/>
      <c r="G28" s="137">
        <f t="shared" si="2"/>
        <v>2.7941960795345191E-2</v>
      </c>
      <c r="H28" s="138">
        <f t="shared" si="6"/>
        <v>0.25147764715810672</v>
      </c>
      <c r="I28" s="198" t="str">
        <f t="shared" ca="1" si="3"/>
        <v>=+G28*B28</v>
      </c>
      <c r="J28" s="139">
        <f t="shared" si="4"/>
        <v>90</v>
      </c>
      <c r="K28" s="140">
        <f t="shared" si="5"/>
        <v>2320.5920983840701</v>
      </c>
    </row>
    <row r="29" spans="1:42" x14ac:dyDescent="0.55000000000000004">
      <c r="A29" s="266">
        <f>ROW()</f>
        <v>29</v>
      </c>
      <c r="B29" s="133">
        <v>10</v>
      </c>
      <c r="C29" s="135">
        <f>+$C$5*$C$6/$C$9+$C$5</f>
        <v>1040</v>
      </c>
      <c r="D29" s="125">
        <f t="shared" si="1"/>
        <v>638.46978368238968</v>
      </c>
      <c r="E29" s="125"/>
      <c r="G29" s="137">
        <f t="shared" si="2"/>
        <v>0.69189617207521426</v>
      </c>
      <c r="H29" s="142">
        <f t="shared" si="6"/>
        <v>6.9189617207521428</v>
      </c>
      <c r="I29" s="198" t="str">
        <f t="shared" ca="1" si="3"/>
        <v>=+G29*B29</v>
      </c>
      <c r="J29" s="139">
        <f t="shared" si="4"/>
        <v>110</v>
      </c>
      <c r="K29" s="143">
        <f t="shared" si="5"/>
        <v>70231.67620506286</v>
      </c>
    </row>
    <row r="30" spans="1:42" x14ac:dyDescent="0.55000000000000004">
      <c r="A30" s="266">
        <f>ROW()</f>
        <v>30</v>
      </c>
      <c r="B30" s="133"/>
      <c r="C30" s="144"/>
      <c r="E30" s="125"/>
      <c r="G30" s="137">
        <f ca="1">SUM(G19:G29)</f>
        <v>1</v>
      </c>
      <c r="H30" s="259">
        <f>SUM(H20:H29)</f>
        <v>8.3595891640105098</v>
      </c>
      <c r="I30" s="198" t="str">
        <f ca="1">_xlfn.FORMULATEXT(H30)</f>
        <v>=SUM(H20:H29)</v>
      </c>
      <c r="J30" s="139" t="s">
        <v>338</v>
      </c>
      <c r="K30" s="305">
        <f>SUM(K20:K29)</f>
        <v>79654.046689841722</v>
      </c>
      <c r="L30" s="198" t="str">
        <f t="shared" ref="L30:L32" ca="1" si="7">_xlfn.FORMULATEXT(K30)</f>
        <v>=SUM(K20:K29)</v>
      </c>
    </row>
    <row r="31" spans="1:42" ht="14.7" thickBot="1" x14ac:dyDescent="0.6">
      <c r="A31" s="266">
        <f>ROW()</f>
        <v>31</v>
      </c>
      <c r="B31" s="133"/>
      <c r="C31" s="144"/>
      <c r="E31" s="125"/>
      <c r="G31" s="137"/>
      <c r="H31" s="138"/>
      <c r="I31" s="103"/>
      <c r="J31" s="139" t="s">
        <v>339</v>
      </c>
      <c r="K31" s="301">
        <f>K30/((1+C8)^2)</f>
        <v>65829.790652761745</v>
      </c>
      <c r="L31" s="198" t="str">
        <f t="shared" ca="1" si="7"/>
        <v>=K30/((1+C8)^2)</v>
      </c>
      <c r="AP31" s="36" t="s">
        <v>180</v>
      </c>
    </row>
    <row r="32" spans="1:42" ht="14.7" thickBot="1" x14ac:dyDescent="0.6">
      <c r="A32" s="266">
        <f>ROW()</f>
        <v>32</v>
      </c>
      <c r="C32" s="93" t="s">
        <v>181</v>
      </c>
      <c r="D32" s="257">
        <f>SUM(D19:D29)</f>
        <v>922.78265070815178</v>
      </c>
      <c r="E32" s="198" t="str">
        <f ca="1">_xlfn.FORMULATEXT(D32)</f>
        <v>=SUM(D19:D29)</v>
      </c>
      <c r="G32" s="96" t="s">
        <v>182</v>
      </c>
      <c r="H32" s="258">
        <f>+H30/2</f>
        <v>4.1797945820052549</v>
      </c>
      <c r="I32" s="198" t="str">
        <f ca="1">_xlfn.FORMULATEXT(H32)</f>
        <v>=+H30/2</v>
      </c>
      <c r="J32" s="96" t="s">
        <v>183</v>
      </c>
      <c r="K32" s="123">
        <f>K31/(D32*C9^2)</f>
        <v>17.834587213533805</v>
      </c>
      <c r="L32" s="198" t="str">
        <f t="shared" ca="1" si="7"/>
        <v>=K31/(D32*C9^2)</v>
      </c>
    </row>
    <row r="33" spans="1:46" x14ac:dyDescent="0.55000000000000004">
      <c r="A33" s="266">
        <f>ROW()</f>
        <v>33</v>
      </c>
      <c r="D33" s="135"/>
      <c r="F33" s="125"/>
      <c r="I33" s="103"/>
      <c r="AP33" s="149"/>
      <c r="AT33" s="150"/>
    </row>
    <row r="34" spans="1:46" x14ac:dyDescent="0.55000000000000004">
      <c r="A34" s="266">
        <f>ROW()</f>
        <v>34</v>
      </c>
      <c r="C34" s="152">
        <f>NPV(C8/2,C20:C29)</f>
        <v>922.78265070815144</v>
      </c>
      <c r="D34" s="152" t="s">
        <v>331</v>
      </c>
    </row>
    <row r="35" spans="1:46" x14ac:dyDescent="0.55000000000000004">
      <c r="A35" s="266">
        <f>ROW()</f>
        <v>35</v>
      </c>
      <c r="C35" s="300">
        <f>IRR(C19:C29)*2</f>
        <v>0.10000000000000187</v>
      </c>
      <c r="D35" s="300" t="s">
        <v>332</v>
      </c>
      <c r="L35" s="13" t="s">
        <v>306</v>
      </c>
      <c r="M35" s="13"/>
    </row>
    <row r="36" spans="1:46" x14ac:dyDescent="0.55000000000000004">
      <c r="A36" s="266">
        <f>ROW()</f>
        <v>36</v>
      </c>
    </row>
  </sheetData>
  <phoneticPr fontId="2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8B05-BFB0-4BCF-B851-86585BBFBA0D}">
  <dimension ref="A1:I31"/>
  <sheetViews>
    <sheetView showGridLines="0" topLeftCell="A22" workbookViewId="0">
      <selection activeCell="M8" sqref="M8"/>
    </sheetView>
  </sheetViews>
  <sheetFormatPr defaultRowHeight="14.4" x14ac:dyDescent="0.55000000000000004"/>
  <cols>
    <col min="1" max="1" width="11.3671875" customWidth="1"/>
    <col min="2" max="2" width="10.26171875" bestFit="1" customWidth="1"/>
    <col min="3" max="3" width="9.47265625" customWidth="1"/>
    <col min="4" max="5" width="12.5234375" customWidth="1"/>
    <col min="6" max="6" width="10.26171875" bestFit="1" customWidth="1"/>
    <col min="7" max="8" width="11.26171875" customWidth="1"/>
    <col min="9" max="9" width="7.7890625" customWidth="1"/>
    <col min="10" max="12" width="11.26171875" customWidth="1"/>
    <col min="13" max="13" width="12.15625" customWidth="1"/>
    <col min="14" max="14" width="4.1015625" customWidth="1"/>
    <col min="15" max="15" width="4.7890625" customWidth="1"/>
    <col min="16" max="16" width="11.26171875" customWidth="1"/>
    <col min="17" max="17" width="12" customWidth="1"/>
    <col min="18" max="18" width="12.26171875" customWidth="1"/>
    <col min="19" max="19" width="11" customWidth="1"/>
    <col min="20" max="20" width="10.7890625" customWidth="1"/>
    <col min="21" max="21" width="12" customWidth="1"/>
    <col min="22" max="22" width="14.7890625" customWidth="1"/>
    <col min="23" max="23" width="13.734375" customWidth="1"/>
    <col min="24" max="24" width="13.7890625" customWidth="1"/>
    <col min="25" max="27" width="8.89453125"/>
    <col min="28" max="28" width="12.5234375" customWidth="1"/>
    <col min="29" max="29" width="13.15625" customWidth="1"/>
    <col min="30" max="255" width="8.89453125"/>
    <col min="256" max="256" width="4.26171875" customWidth="1"/>
    <col min="257" max="257" width="18.26171875" customWidth="1"/>
    <col min="258" max="258" width="10.26171875" bestFit="1" customWidth="1"/>
    <col min="259" max="259" width="11.47265625" customWidth="1"/>
    <col min="260" max="261" width="12.5234375" customWidth="1"/>
    <col min="262" max="262" width="10.26171875" bestFit="1" customWidth="1"/>
    <col min="263" max="268" width="11.26171875" customWidth="1"/>
    <col min="269" max="269" width="12.15625" customWidth="1"/>
    <col min="270" max="270" width="4.1015625" customWidth="1"/>
    <col min="271" max="271" width="4.7890625" customWidth="1"/>
    <col min="272" max="272" width="11.26171875" customWidth="1"/>
    <col min="273" max="273" width="12" customWidth="1"/>
    <col min="274" max="274" width="12.26171875" customWidth="1"/>
    <col min="275" max="275" width="11" customWidth="1"/>
    <col min="276" max="276" width="10.7890625" customWidth="1"/>
    <col min="277" max="277" width="12" customWidth="1"/>
    <col min="278" max="278" width="14.7890625" customWidth="1"/>
    <col min="279" max="279" width="13.734375" customWidth="1"/>
    <col min="280" max="280" width="13.7890625" customWidth="1"/>
    <col min="281" max="283" width="8.89453125"/>
    <col min="284" max="284" width="12.5234375" customWidth="1"/>
    <col min="285" max="285" width="13.15625" customWidth="1"/>
    <col min="286" max="511" width="8.89453125"/>
    <col min="512" max="512" width="4.26171875" customWidth="1"/>
    <col min="513" max="513" width="18.26171875" customWidth="1"/>
    <col min="514" max="514" width="10.26171875" bestFit="1" customWidth="1"/>
    <col min="515" max="515" width="11.47265625" customWidth="1"/>
    <col min="516" max="517" width="12.5234375" customWidth="1"/>
    <col min="518" max="518" width="10.26171875" bestFit="1" customWidth="1"/>
    <col min="519" max="524" width="11.26171875" customWidth="1"/>
    <col min="525" max="525" width="12.15625" customWidth="1"/>
    <col min="526" max="526" width="4.1015625" customWidth="1"/>
    <col min="527" max="527" width="4.7890625" customWidth="1"/>
    <col min="528" max="528" width="11.26171875" customWidth="1"/>
    <col min="529" max="529" width="12" customWidth="1"/>
    <col min="530" max="530" width="12.26171875" customWidth="1"/>
    <col min="531" max="531" width="11" customWidth="1"/>
    <col min="532" max="532" width="10.7890625" customWidth="1"/>
    <col min="533" max="533" width="12" customWidth="1"/>
    <col min="534" max="534" width="14.7890625" customWidth="1"/>
    <col min="535" max="535" width="13.734375" customWidth="1"/>
    <col min="536" max="536" width="13.7890625" customWidth="1"/>
    <col min="537" max="539" width="8.89453125"/>
    <col min="540" max="540" width="12.5234375" customWidth="1"/>
    <col min="541" max="541" width="13.15625" customWidth="1"/>
    <col min="542" max="767" width="8.89453125"/>
    <col min="768" max="768" width="4.26171875" customWidth="1"/>
    <col min="769" max="769" width="18.26171875" customWidth="1"/>
    <col min="770" max="770" width="10.26171875" bestFit="1" customWidth="1"/>
    <col min="771" max="771" width="11.47265625" customWidth="1"/>
    <col min="772" max="773" width="12.5234375" customWidth="1"/>
    <col min="774" max="774" width="10.26171875" bestFit="1" customWidth="1"/>
    <col min="775" max="780" width="11.26171875" customWidth="1"/>
    <col min="781" max="781" width="12.15625" customWidth="1"/>
    <col min="782" max="782" width="4.1015625" customWidth="1"/>
    <col min="783" max="783" width="4.7890625" customWidth="1"/>
    <col min="784" max="784" width="11.26171875" customWidth="1"/>
    <col min="785" max="785" width="12" customWidth="1"/>
    <col min="786" max="786" width="12.26171875" customWidth="1"/>
    <col min="787" max="787" width="11" customWidth="1"/>
    <col min="788" max="788" width="10.7890625" customWidth="1"/>
    <col min="789" max="789" width="12" customWidth="1"/>
    <col min="790" max="790" width="14.7890625" customWidth="1"/>
    <col min="791" max="791" width="13.734375" customWidth="1"/>
    <col min="792" max="792" width="13.7890625" customWidth="1"/>
    <col min="793" max="795" width="8.89453125"/>
    <col min="796" max="796" width="12.5234375" customWidth="1"/>
    <col min="797" max="797" width="13.15625" customWidth="1"/>
    <col min="798" max="1023" width="8.89453125"/>
    <col min="1024" max="1024" width="4.26171875" customWidth="1"/>
    <col min="1025" max="1025" width="18.26171875" customWidth="1"/>
    <col min="1026" max="1026" width="10.26171875" bestFit="1" customWidth="1"/>
    <col min="1027" max="1027" width="11.47265625" customWidth="1"/>
    <col min="1028" max="1029" width="12.5234375" customWidth="1"/>
    <col min="1030" max="1030" width="10.26171875" bestFit="1" customWidth="1"/>
    <col min="1031" max="1036" width="11.26171875" customWidth="1"/>
    <col min="1037" max="1037" width="12.15625" customWidth="1"/>
    <col min="1038" max="1038" width="4.1015625" customWidth="1"/>
    <col min="1039" max="1039" width="4.7890625" customWidth="1"/>
    <col min="1040" max="1040" width="11.26171875" customWidth="1"/>
    <col min="1041" max="1041" width="12" customWidth="1"/>
    <col min="1042" max="1042" width="12.26171875" customWidth="1"/>
    <col min="1043" max="1043" width="11" customWidth="1"/>
    <col min="1044" max="1044" width="10.7890625" customWidth="1"/>
    <col min="1045" max="1045" width="12" customWidth="1"/>
    <col min="1046" max="1046" width="14.7890625" customWidth="1"/>
    <col min="1047" max="1047" width="13.734375" customWidth="1"/>
    <col min="1048" max="1048" width="13.7890625" customWidth="1"/>
    <col min="1049" max="1051" width="8.89453125"/>
    <col min="1052" max="1052" width="12.5234375" customWidth="1"/>
    <col min="1053" max="1053" width="13.15625" customWidth="1"/>
    <col min="1054" max="1279" width="8.89453125"/>
    <col min="1280" max="1280" width="4.26171875" customWidth="1"/>
    <col min="1281" max="1281" width="18.26171875" customWidth="1"/>
    <col min="1282" max="1282" width="10.26171875" bestFit="1" customWidth="1"/>
    <col min="1283" max="1283" width="11.47265625" customWidth="1"/>
    <col min="1284" max="1285" width="12.5234375" customWidth="1"/>
    <col min="1286" max="1286" width="10.26171875" bestFit="1" customWidth="1"/>
    <col min="1287" max="1292" width="11.26171875" customWidth="1"/>
    <col min="1293" max="1293" width="12.15625" customWidth="1"/>
    <col min="1294" max="1294" width="4.1015625" customWidth="1"/>
    <col min="1295" max="1295" width="4.7890625" customWidth="1"/>
    <col min="1296" max="1296" width="11.26171875" customWidth="1"/>
    <col min="1297" max="1297" width="12" customWidth="1"/>
    <col min="1298" max="1298" width="12.26171875" customWidth="1"/>
    <col min="1299" max="1299" width="11" customWidth="1"/>
    <col min="1300" max="1300" width="10.7890625" customWidth="1"/>
    <col min="1301" max="1301" width="12" customWidth="1"/>
    <col min="1302" max="1302" width="14.7890625" customWidth="1"/>
    <col min="1303" max="1303" width="13.734375" customWidth="1"/>
    <col min="1304" max="1304" width="13.7890625" customWidth="1"/>
    <col min="1305" max="1307" width="8.89453125"/>
    <col min="1308" max="1308" width="12.5234375" customWidth="1"/>
    <col min="1309" max="1309" width="13.15625" customWidth="1"/>
    <col min="1310" max="1535" width="8.89453125"/>
    <col min="1536" max="1536" width="4.26171875" customWidth="1"/>
    <col min="1537" max="1537" width="18.26171875" customWidth="1"/>
    <col min="1538" max="1538" width="10.26171875" bestFit="1" customWidth="1"/>
    <col min="1539" max="1539" width="11.47265625" customWidth="1"/>
    <col min="1540" max="1541" width="12.5234375" customWidth="1"/>
    <col min="1542" max="1542" width="10.26171875" bestFit="1" customWidth="1"/>
    <col min="1543" max="1548" width="11.26171875" customWidth="1"/>
    <col min="1549" max="1549" width="12.15625" customWidth="1"/>
    <col min="1550" max="1550" width="4.1015625" customWidth="1"/>
    <col min="1551" max="1551" width="4.7890625" customWidth="1"/>
    <col min="1552" max="1552" width="11.26171875" customWidth="1"/>
    <col min="1553" max="1553" width="12" customWidth="1"/>
    <col min="1554" max="1554" width="12.26171875" customWidth="1"/>
    <col min="1555" max="1555" width="11" customWidth="1"/>
    <col min="1556" max="1556" width="10.7890625" customWidth="1"/>
    <col min="1557" max="1557" width="12" customWidth="1"/>
    <col min="1558" max="1558" width="14.7890625" customWidth="1"/>
    <col min="1559" max="1559" width="13.734375" customWidth="1"/>
    <col min="1560" max="1560" width="13.7890625" customWidth="1"/>
    <col min="1561" max="1563" width="8.89453125"/>
    <col min="1564" max="1564" width="12.5234375" customWidth="1"/>
    <col min="1565" max="1565" width="13.15625" customWidth="1"/>
    <col min="1566" max="1791" width="8.89453125"/>
    <col min="1792" max="1792" width="4.26171875" customWidth="1"/>
    <col min="1793" max="1793" width="18.26171875" customWidth="1"/>
    <col min="1794" max="1794" width="10.26171875" bestFit="1" customWidth="1"/>
    <col min="1795" max="1795" width="11.47265625" customWidth="1"/>
    <col min="1796" max="1797" width="12.5234375" customWidth="1"/>
    <col min="1798" max="1798" width="10.26171875" bestFit="1" customWidth="1"/>
    <col min="1799" max="1804" width="11.26171875" customWidth="1"/>
    <col min="1805" max="1805" width="12.15625" customWidth="1"/>
    <col min="1806" max="1806" width="4.1015625" customWidth="1"/>
    <col min="1807" max="1807" width="4.7890625" customWidth="1"/>
    <col min="1808" max="1808" width="11.26171875" customWidth="1"/>
    <col min="1809" max="1809" width="12" customWidth="1"/>
    <col min="1810" max="1810" width="12.26171875" customWidth="1"/>
    <col min="1811" max="1811" width="11" customWidth="1"/>
    <col min="1812" max="1812" width="10.7890625" customWidth="1"/>
    <col min="1813" max="1813" width="12" customWidth="1"/>
    <col min="1814" max="1814" width="14.7890625" customWidth="1"/>
    <col min="1815" max="1815" width="13.734375" customWidth="1"/>
    <col min="1816" max="1816" width="13.7890625" customWidth="1"/>
    <col min="1817" max="1819" width="8.89453125"/>
    <col min="1820" max="1820" width="12.5234375" customWidth="1"/>
    <col min="1821" max="1821" width="13.15625" customWidth="1"/>
    <col min="1822" max="2047" width="8.89453125"/>
    <col min="2048" max="2048" width="4.26171875" customWidth="1"/>
    <col min="2049" max="2049" width="18.26171875" customWidth="1"/>
    <col min="2050" max="2050" width="10.26171875" bestFit="1" customWidth="1"/>
    <col min="2051" max="2051" width="11.47265625" customWidth="1"/>
    <col min="2052" max="2053" width="12.5234375" customWidth="1"/>
    <col min="2054" max="2054" width="10.26171875" bestFit="1" customWidth="1"/>
    <col min="2055" max="2060" width="11.26171875" customWidth="1"/>
    <col min="2061" max="2061" width="12.15625" customWidth="1"/>
    <col min="2062" max="2062" width="4.1015625" customWidth="1"/>
    <col min="2063" max="2063" width="4.7890625" customWidth="1"/>
    <col min="2064" max="2064" width="11.26171875" customWidth="1"/>
    <col min="2065" max="2065" width="12" customWidth="1"/>
    <col min="2066" max="2066" width="12.26171875" customWidth="1"/>
    <col min="2067" max="2067" width="11" customWidth="1"/>
    <col min="2068" max="2068" width="10.7890625" customWidth="1"/>
    <col min="2069" max="2069" width="12" customWidth="1"/>
    <col min="2070" max="2070" width="14.7890625" customWidth="1"/>
    <col min="2071" max="2071" width="13.734375" customWidth="1"/>
    <col min="2072" max="2072" width="13.7890625" customWidth="1"/>
    <col min="2073" max="2075" width="8.89453125"/>
    <col min="2076" max="2076" width="12.5234375" customWidth="1"/>
    <col min="2077" max="2077" width="13.15625" customWidth="1"/>
    <col min="2078" max="2303" width="8.89453125"/>
    <col min="2304" max="2304" width="4.26171875" customWidth="1"/>
    <col min="2305" max="2305" width="18.26171875" customWidth="1"/>
    <col min="2306" max="2306" width="10.26171875" bestFit="1" customWidth="1"/>
    <col min="2307" max="2307" width="11.47265625" customWidth="1"/>
    <col min="2308" max="2309" width="12.5234375" customWidth="1"/>
    <col min="2310" max="2310" width="10.26171875" bestFit="1" customWidth="1"/>
    <col min="2311" max="2316" width="11.26171875" customWidth="1"/>
    <col min="2317" max="2317" width="12.15625" customWidth="1"/>
    <col min="2318" max="2318" width="4.1015625" customWidth="1"/>
    <col min="2319" max="2319" width="4.7890625" customWidth="1"/>
    <col min="2320" max="2320" width="11.26171875" customWidth="1"/>
    <col min="2321" max="2321" width="12" customWidth="1"/>
    <col min="2322" max="2322" width="12.26171875" customWidth="1"/>
    <col min="2323" max="2323" width="11" customWidth="1"/>
    <col min="2324" max="2324" width="10.7890625" customWidth="1"/>
    <col min="2325" max="2325" width="12" customWidth="1"/>
    <col min="2326" max="2326" width="14.7890625" customWidth="1"/>
    <col min="2327" max="2327" width="13.734375" customWidth="1"/>
    <col min="2328" max="2328" width="13.7890625" customWidth="1"/>
    <col min="2329" max="2331" width="8.89453125"/>
    <col min="2332" max="2332" width="12.5234375" customWidth="1"/>
    <col min="2333" max="2333" width="13.15625" customWidth="1"/>
    <col min="2334" max="2559" width="8.89453125"/>
    <col min="2560" max="2560" width="4.26171875" customWidth="1"/>
    <col min="2561" max="2561" width="18.26171875" customWidth="1"/>
    <col min="2562" max="2562" width="10.26171875" bestFit="1" customWidth="1"/>
    <col min="2563" max="2563" width="11.47265625" customWidth="1"/>
    <col min="2564" max="2565" width="12.5234375" customWidth="1"/>
    <col min="2566" max="2566" width="10.26171875" bestFit="1" customWidth="1"/>
    <col min="2567" max="2572" width="11.26171875" customWidth="1"/>
    <col min="2573" max="2573" width="12.15625" customWidth="1"/>
    <col min="2574" max="2574" width="4.1015625" customWidth="1"/>
    <col min="2575" max="2575" width="4.7890625" customWidth="1"/>
    <col min="2576" max="2576" width="11.26171875" customWidth="1"/>
    <col min="2577" max="2577" width="12" customWidth="1"/>
    <col min="2578" max="2578" width="12.26171875" customWidth="1"/>
    <col min="2579" max="2579" width="11" customWidth="1"/>
    <col min="2580" max="2580" width="10.7890625" customWidth="1"/>
    <col min="2581" max="2581" width="12" customWidth="1"/>
    <col min="2582" max="2582" width="14.7890625" customWidth="1"/>
    <col min="2583" max="2583" width="13.734375" customWidth="1"/>
    <col min="2584" max="2584" width="13.7890625" customWidth="1"/>
    <col min="2585" max="2587" width="8.89453125"/>
    <col min="2588" max="2588" width="12.5234375" customWidth="1"/>
    <col min="2589" max="2589" width="13.15625" customWidth="1"/>
    <col min="2590" max="2815" width="8.89453125"/>
    <col min="2816" max="2816" width="4.26171875" customWidth="1"/>
    <col min="2817" max="2817" width="18.26171875" customWidth="1"/>
    <col min="2818" max="2818" width="10.26171875" bestFit="1" customWidth="1"/>
    <col min="2819" max="2819" width="11.47265625" customWidth="1"/>
    <col min="2820" max="2821" width="12.5234375" customWidth="1"/>
    <col min="2822" max="2822" width="10.26171875" bestFit="1" customWidth="1"/>
    <col min="2823" max="2828" width="11.26171875" customWidth="1"/>
    <col min="2829" max="2829" width="12.15625" customWidth="1"/>
    <col min="2830" max="2830" width="4.1015625" customWidth="1"/>
    <col min="2831" max="2831" width="4.7890625" customWidth="1"/>
    <col min="2832" max="2832" width="11.26171875" customWidth="1"/>
    <col min="2833" max="2833" width="12" customWidth="1"/>
    <col min="2834" max="2834" width="12.26171875" customWidth="1"/>
    <col min="2835" max="2835" width="11" customWidth="1"/>
    <col min="2836" max="2836" width="10.7890625" customWidth="1"/>
    <col min="2837" max="2837" width="12" customWidth="1"/>
    <col min="2838" max="2838" width="14.7890625" customWidth="1"/>
    <col min="2839" max="2839" width="13.734375" customWidth="1"/>
    <col min="2840" max="2840" width="13.7890625" customWidth="1"/>
    <col min="2841" max="2843" width="8.89453125"/>
    <col min="2844" max="2844" width="12.5234375" customWidth="1"/>
    <col min="2845" max="2845" width="13.15625" customWidth="1"/>
    <col min="2846" max="3071" width="8.89453125"/>
    <col min="3072" max="3072" width="4.26171875" customWidth="1"/>
    <col min="3073" max="3073" width="18.26171875" customWidth="1"/>
    <col min="3074" max="3074" width="10.26171875" bestFit="1" customWidth="1"/>
    <col min="3075" max="3075" width="11.47265625" customWidth="1"/>
    <col min="3076" max="3077" width="12.5234375" customWidth="1"/>
    <col min="3078" max="3078" width="10.26171875" bestFit="1" customWidth="1"/>
    <col min="3079" max="3084" width="11.26171875" customWidth="1"/>
    <col min="3085" max="3085" width="12.15625" customWidth="1"/>
    <col min="3086" max="3086" width="4.1015625" customWidth="1"/>
    <col min="3087" max="3087" width="4.7890625" customWidth="1"/>
    <col min="3088" max="3088" width="11.26171875" customWidth="1"/>
    <col min="3089" max="3089" width="12" customWidth="1"/>
    <col min="3090" max="3090" width="12.26171875" customWidth="1"/>
    <col min="3091" max="3091" width="11" customWidth="1"/>
    <col min="3092" max="3092" width="10.7890625" customWidth="1"/>
    <col min="3093" max="3093" width="12" customWidth="1"/>
    <col min="3094" max="3094" width="14.7890625" customWidth="1"/>
    <col min="3095" max="3095" width="13.734375" customWidth="1"/>
    <col min="3096" max="3096" width="13.7890625" customWidth="1"/>
    <col min="3097" max="3099" width="8.89453125"/>
    <col min="3100" max="3100" width="12.5234375" customWidth="1"/>
    <col min="3101" max="3101" width="13.15625" customWidth="1"/>
    <col min="3102" max="3327" width="8.89453125"/>
    <col min="3328" max="3328" width="4.26171875" customWidth="1"/>
    <col min="3329" max="3329" width="18.26171875" customWidth="1"/>
    <col min="3330" max="3330" width="10.26171875" bestFit="1" customWidth="1"/>
    <col min="3331" max="3331" width="11.47265625" customWidth="1"/>
    <col min="3332" max="3333" width="12.5234375" customWidth="1"/>
    <col min="3334" max="3334" width="10.26171875" bestFit="1" customWidth="1"/>
    <col min="3335" max="3340" width="11.26171875" customWidth="1"/>
    <col min="3341" max="3341" width="12.15625" customWidth="1"/>
    <col min="3342" max="3342" width="4.1015625" customWidth="1"/>
    <col min="3343" max="3343" width="4.7890625" customWidth="1"/>
    <col min="3344" max="3344" width="11.26171875" customWidth="1"/>
    <col min="3345" max="3345" width="12" customWidth="1"/>
    <col min="3346" max="3346" width="12.26171875" customWidth="1"/>
    <col min="3347" max="3347" width="11" customWidth="1"/>
    <col min="3348" max="3348" width="10.7890625" customWidth="1"/>
    <col min="3349" max="3349" width="12" customWidth="1"/>
    <col min="3350" max="3350" width="14.7890625" customWidth="1"/>
    <col min="3351" max="3351" width="13.734375" customWidth="1"/>
    <col min="3352" max="3352" width="13.7890625" customWidth="1"/>
    <col min="3353" max="3355" width="8.89453125"/>
    <col min="3356" max="3356" width="12.5234375" customWidth="1"/>
    <col min="3357" max="3357" width="13.15625" customWidth="1"/>
    <col min="3358" max="3583" width="8.89453125"/>
    <col min="3584" max="3584" width="4.26171875" customWidth="1"/>
    <col min="3585" max="3585" width="18.26171875" customWidth="1"/>
    <col min="3586" max="3586" width="10.26171875" bestFit="1" customWidth="1"/>
    <col min="3587" max="3587" width="11.47265625" customWidth="1"/>
    <col min="3588" max="3589" width="12.5234375" customWidth="1"/>
    <col min="3590" max="3590" width="10.26171875" bestFit="1" customWidth="1"/>
    <col min="3591" max="3596" width="11.26171875" customWidth="1"/>
    <col min="3597" max="3597" width="12.15625" customWidth="1"/>
    <col min="3598" max="3598" width="4.1015625" customWidth="1"/>
    <col min="3599" max="3599" width="4.7890625" customWidth="1"/>
    <col min="3600" max="3600" width="11.26171875" customWidth="1"/>
    <col min="3601" max="3601" width="12" customWidth="1"/>
    <col min="3602" max="3602" width="12.26171875" customWidth="1"/>
    <col min="3603" max="3603" width="11" customWidth="1"/>
    <col min="3604" max="3604" width="10.7890625" customWidth="1"/>
    <col min="3605" max="3605" width="12" customWidth="1"/>
    <col min="3606" max="3606" width="14.7890625" customWidth="1"/>
    <col min="3607" max="3607" width="13.734375" customWidth="1"/>
    <col min="3608" max="3608" width="13.7890625" customWidth="1"/>
    <col min="3609" max="3611" width="8.89453125"/>
    <col min="3612" max="3612" width="12.5234375" customWidth="1"/>
    <col min="3613" max="3613" width="13.15625" customWidth="1"/>
    <col min="3614" max="3839" width="8.89453125"/>
    <col min="3840" max="3840" width="4.26171875" customWidth="1"/>
    <col min="3841" max="3841" width="18.26171875" customWidth="1"/>
    <col min="3842" max="3842" width="10.26171875" bestFit="1" customWidth="1"/>
    <col min="3843" max="3843" width="11.47265625" customWidth="1"/>
    <col min="3844" max="3845" width="12.5234375" customWidth="1"/>
    <col min="3846" max="3846" width="10.26171875" bestFit="1" customWidth="1"/>
    <col min="3847" max="3852" width="11.26171875" customWidth="1"/>
    <col min="3853" max="3853" width="12.15625" customWidth="1"/>
    <col min="3854" max="3854" width="4.1015625" customWidth="1"/>
    <col min="3855" max="3855" width="4.7890625" customWidth="1"/>
    <col min="3856" max="3856" width="11.26171875" customWidth="1"/>
    <col min="3857" max="3857" width="12" customWidth="1"/>
    <col min="3858" max="3858" width="12.26171875" customWidth="1"/>
    <col min="3859" max="3859" width="11" customWidth="1"/>
    <col min="3860" max="3860" width="10.7890625" customWidth="1"/>
    <col min="3861" max="3861" width="12" customWidth="1"/>
    <col min="3862" max="3862" width="14.7890625" customWidth="1"/>
    <col min="3863" max="3863" width="13.734375" customWidth="1"/>
    <col min="3864" max="3864" width="13.7890625" customWidth="1"/>
    <col min="3865" max="3867" width="8.89453125"/>
    <col min="3868" max="3868" width="12.5234375" customWidth="1"/>
    <col min="3869" max="3869" width="13.15625" customWidth="1"/>
    <col min="3870" max="4095" width="8.89453125"/>
    <col min="4096" max="4096" width="4.26171875" customWidth="1"/>
    <col min="4097" max="4097" width="18.26171875" customWidth="1"/>
    <col min="4098" max="4098" width="10.26171875" bestFit="1" customWidth="1"/>
    <col min="4099" max="4099" width="11.47265625" customWidth="1"/>
    <col min="4100" max="4101" width="12.5234375" customWidth="1"/>
    <col min="4102" max="4102" width="10.26171875" bestFit="1" customWidth="1"/>
    <col min="4103" max="4108" width="11.26171875" customWidth="1"/>
    <col min="4109" max="4109" width="12.15625" customWidth="1"/>
    <col min="4110" max="4110" width="4.1015625" customWidth="1"/>
    <col min="4111" max="4111" width="4.7890625" customWidth="1"/>
    <col min="4112" max="4112" width="11.26171875" customWidth="1"/>
    <col min="4113" max="4113" width="12" customWidth="1"/>
    <col min="4114" max="4114" width="12.26171875" customWidth="1"/>
    <col min="4115" max="4115" width="11" customWidth="1"/>
    <col min="4116" max="4116" width="10.7890625" customWidth="1"/>
    <col min="4117" max="4117" width="12" customWidth="1"/>
    <col min="4118" max="4118" width="14.7890625" customWidth="1"/>
    <col min="4119" max="4119" width="13.734375" customWidth="1"/>
    <col min="4120" max="4120" width="13.7890625" customWidth="1"/>
    <col min="4121" max="4123" width="8.89453125"/>
    <col min="4124" max="4124" width="12.5234375" customWidth="1"/>
    <col min="4125" max="4125" width="13.15625" customWidth="1"/>
    <col min="4126" max="4351" width="8.89453125"/>
    <col min="4352" max="4352" width="4.26171875" customWidth="1"/>
    <col min="4353" max="4353" width="18.26171875" customWidth="1"/>
    <col min="4354" max="4354" width="10.26171875" bestFit="1" customWidth="1"/>
    <col min="4355" max="4355" width="11.47265625" customWidth="1"/>
    <col min="4356" max="4357" width="12.5234375" customWidth="1"/>
    <col min="4358" max="4358" width="10.26171875" bestFit="1" customWidth="1"/>
    <col min="4359" max="4364" width="11.26171875" customWidth="1"/>
    <col min="4365" max="4365" width="12.15625" customWidth="1"/>
    <col min="4366" max="4366" width="4.1015625" customWidth="1"/>
    <col min="4367" max="4367" width="4.7890625" customWidth="1"/>
    <col min="4368" max="4368" width="11.26171875" customWidth="1"/>
    <col min="4369" max="4369" width="12" customWidth="1"/>
    <col min="4370" max="4370" width="12.26171875" customWidth="1"/>
    <col min="4371" max="4371" width="11" customWidth="1"/>
    <col min="4372" max="4372" width="10.7890625" customWidth="1"/>
    <col min="4373" max="4373" width="12" customWidth="1"/>
    <col min="4374" max="4374" width="14.7890625" customWidth="1"/>
    <col min="4375" max="4375" width="13.734375" customWidth="1"/>
    <col min="4376" max="4376" width="13.7890625" customWidth="1"/>
    <col min="4377" max="4379" width="8.89453125"/>
    <col min="4380" max="4380" width="12.5234375" customWidth="1"/>
    <col min="4381" max="4381" width="13.15625" customWidth="1"/>
    <col min="4382" max="4607" width="8.89453125"/>
    <col min="4608" max="4608" width="4.26171875" customWidth="1"/>
    <col min="4609" max="4609" width="18.26171875" customWidth="1"/>
    <col min="4610" max="4610" width="10.26171875" bestFit="1" customWidth="1"/>
    <col min="4611" max="4611" width="11.47265625" customWidth="1"/>
    <col min="4612" max="4613" width="12.5234375" customWidth="1"/>
    <col min="4614" max="4614" width="10.26171875" bestFit="1" customWidth="1"/>
    <col min="4615" max="4620" width="11.26171875" customWidth="1"/>
    <col min="4621" max="4621" width="12.15625" customWidth="1"/>
    <col min="4622" max="4622" width="4.1015625" customWidth="1"/>
    <col min="4623" max="4623" width="4.7890625" customWidth="1"/>
    <col min="4624" max="4624" width="11.26171875" customWidth="1"/>
    <col min="4625" max="4625" width="12" customWidth="1"/>
    <col min="4626" max="4626" width="12.26171875" customWidth="1"/>
    <col min="4627" max="4627" width="11" customWidth="1"/>
    <col min="4628" max="4628" width="10.7890625" customWidth="1"/>
    <col min="4629" max="4629" width="12" customWidth="1"/>
    <col min="4630" max="4630" width="14.7890625" customWidth="1"/>
    <col min="4631" max="4631" width="13.734375" customWidth="1"/>
    <col min="4632" max="4632" width="13.7890625" customWidth="1"/>
    <col min="4633" max="4635" width="8.89453125"/>
    <col min="4636" max="4636" width="12.5234375" customWidth="1"/>
    <col min="4637" max="4637" width="13.15625" customWidth="1"/>
    <col min="4638" max="4863" width="8.89453125"/>
    <col min="4864" max="4864" width="4.26171875" customWidth="1"/>
    <col min="4865" max="4865" width="18.26171875" customWidth="1"/>
    <col min="4866" max="4866" width="10.26171875" bestFit="1" customWidth="1"/>
    <col min="4867" max="4867" width="11.47265625" customWidth="1"/>
    <col min="4868" max="4869" width="12.5234375" customWidth="1"/>
    <col min="4870" max="4870" width="10.26171875" bestFit="1" customWidth="1"/>
    <col min="4871" max="4876" width="11.26171875" customWidth="1"/>
    <col min="4877" max="4877" width="12.15625" customWidth="1"/>
    <col min="4878" max="4878" width="4.1015625" customWidth="1"/>
    <col min="4879" max="4879" width="4.7890625" customWidth="1"/>
    <col min="4880" max="4880" width="11.26171875" customWidth="1"/>
    <col min="4881" max="4881" width="12" customWidth="1"/>
    <col min="4882" max="4882" width="12.26171875" customWidth="1"/>
    <col min="4883" max="4883" width="11" customWidth="1"/>
    <col min="4884" max="4884" width="10.7890625" customWidth="1"/>
    <col min="4885" max="4885" width="12" customWidth="1"/>
    <col min="4886" max="4886" width="14.7890625" customWidth="1"/>
    <col min="4887" max="4887" width="13.734375" customWidth="1"/>
    <col min="4888" max="4888" width="13.7890625" customWidth="1"/>
    <col min="4889" max="4891" width="8.89453125"/>
    <col min="4892" max="4892" width="12.5234375" customWidth="1"/>
    <col min="4893" max="4893" width="13.15625" customWidth="1"/>
    <col min="4894" max="5119" width="8.89453125"/>
    <col min="5120" max="5120" width="4.26171875" customWidth="1"/>
    <col min="5121" max="5121" width="18.26171875" customWidth="1"/>
    <col min="5122" max="5122" width="10.26171875" bestFit="1" customWidth="1"/>
    <col min="5123" max="5123" width="11.47265625" customWidth="1"/>
    <col min="5124" max="5125" width="12.5234375" customWidth="1"/>
    <col min="5126" max="5126" width="10.26171875" bestFit="1" customWidth="1"/>
    <col min="5127" max="5132" width="11.26171875" customWidth="1"/>
    <col min="5133" max="5133" width="12.15625" customWidth="1"/>
    <col min="5134" max="5134" width="4.1015625" customWidth="1"/>
    <col min="5135" max="5135" width="4.7890625" customWidth="1"/>
    <col min="5136" max="5136" width="11.26171875" customWidth="1"/>
    <col min="5137" max="5137" width="12" customWidth="1"/>
    <col min="5138" max="5138" width="12.26171875" customWidth="1"/>
    <col min="5139" max="5139" width="11" customWidth="1"/>
    <col min="5140" max="5140" width="10.7890625" customWidth="1"/>
    <col min="5141" max="5141" width="12" customWidth="1"/>
    <col min="5142" max="5142" width="14.7890625" customWidth="1"/>
    <col min="5143" max="5143" width="13.734375" customWidth="1"/>
    <col min="5144" max="5144" width="13.7890625" customWidth="1"/>
    <col min="5145" max="5147" width="8.89453125"/>
    <col min="5148" max="5148" width="12.5234375" customWidth="1"/>
    <col min="5149" max="5149" width="13.15625" customWidth="1"/>
    <col min="5150" max="5375" width="8.89453125"/>
    <col min="5376" max="5376" width="4.26171875" customWidth="1"/>
    <col min="5377" max="5377" width="18.26171875" customWidth="1"/>
    <col min="5378" max="5378" width="10.26171875" bestFit="1" customWidth="1"/>
    <col min="5379" max="5379" width="11.47265625" customWidth="1"/>
    <col min="5380" max="5381" width="12.5234375" customWidth="1"/>
    <col min="5382" max="5382" width="10.26171875" bestFit="1" customWidth="1"/>
    <col min="5383" max="5388" width="11.26171875" customWidth="1"/>
    <col min="5389" max="5389" width="12.15625" customWidth="1"/>
    <col min="5390" max="5390" width="4.1015625" customWidth="1"/>
    <col min="5391" max="5391" width="4.7890625" customWidth="1"/>
    <col min="5392" max="5392" width="11.26171875" customWidth="1"/>
    <col min="5393" max="5393" width="12" customWidth="1"/>
    <col min="5394" max="5394" width="12.26171875" customWidth="1"/>
    <col min="5395" max="5395" width="11" customWidth="1"/>
    <col min="5396" max="5396" width="10.7890625" customWidth="1"/>
    <col min="5397" max="5397" width="12" customWidth="1"/>
    <col min="5398" max="5398" width="14.7890625" customWidth="1"/>
    <col min="5399" max="5399" width="13.734375" customWidth="1"/>
    <col min="5400" max="5400" width="13.7890625" customWidth="1"/>
    <col min="5401" max="5403" width="8.89453125"/>
    <col min="5404" max="5404" width="12.5234375" customWidth="1"/>
    <col min="5405" max="5405" width="13.15625" customWidth="1"/>
    <col min="5406" max="5631" width="8.89453125"/>
    <col min="5632" max="5632" width="4.26171875" customWidth="1"/>
    <col min="5633" max="5633" width="18.26171875" customWidth="1"/>
    <col min="5634" max="5634" width="10.26171875" bestFit="1" customWidth="1"/>
    <col min="5635" max="5635" width="11.47265625" customWidth="1"/>
    <col min="5636" max="5637" width="12.5234375" customWidth="1"/>
    <col min="5638" max="5638" width="10.26171875" bestFit="1" customWidth="1"/>
    <col min="5639" max="5644" width="11.26171875" customWidth="1"/>
    <col min="5645" max="5645" width="12.15625" customWidth="1"/>
    <col min="5646" max="5646" width="4.1015625" customWidth="1"/>
    <col min="5647" max="5647" width="4.7890625" customWidth="1"/>
    <col min="5648" max="5648" width="11.26171875" customWidth="1"/>
    <col min="5649" max="5649" width="12" customWidth="1"/>
    <col min="5650" max="5650" width="12.26171875" customWidth="1"/>
    <col min="5651" max="5651" width="11" customWidth="1"/>
    <col min="5652" max="5652" width="10.7890625" customWidth="1"/>
    <col min="5653" max="5653" width="12" customWidth="1"/>
    <col min="5654" max="5654" width="14.7890625" customWidth="1"/>
    <col min="5655" max="5655" width="13.734375" customWidth="1"/>
    <col min="5656" max="5656" width="13.7890625" customWidth="1"/>
    <col min="5657" max="5659" width="8.89453125"/>
    <col min="5660" max="5660" width="12.5234375" customWidth="1"/>
    <col min="5661" max="5661" width="13.15625" customWidth="1"/>
    <col min="5662" max="5887" width="8.89453125"/>
    <col min="5888" max="5888" width="4.26171875" customWidth="1"/>
    <col min="5889" max="5889" width="18.26171875" customWidth="1"/>
    <col min="5890" max="5890" width="10.26171875" bestFit="1" customWidth="1"/>
    <col min="5891" max="5891" width="11.47265625" customWidth="1"/>
    <col min="5892" max="5893" width="12.5234375" customWidth="1"/>
    <col min="5894" max="5894" width="10.26171875" bestFit="1" customWidth="1"/>
    <col min="5895" max="5900" width="11.26171875" customWidth="1"/>
    <col min="5901" max="5901" width="12.15625" customWidth="1"/>
    <col min="5902" max="5902" width="4.1015625" customWidth="1"/>
    <col min="5903" max="5903" width="4.7890625" customWidth="1"/>
    <col min="5904" max="5904" width="11.26171875" customWidth="1"/>
    <col min="5905" max="5905" width="12" customWidth="1"/>
    <col min="5906" max="5906" width="12.26171875" customWidth="1"/>
    <col min="5907" max="5907" width="11" customWidth="1"/>
    <col min="5908" max="5908" width="10.7890625" customWidth="1"/>
    <col min="5909" max="5909" width="12" customWidth="1"/>
    <col min="5910" max="5910" width="14.7890625" customWidth="1"/>
    <col min="5911" max="5911" width="13.734375" customWidth="1"/>
    <col min="5912" max="5912" width="13.7890625" customWidth="1"/>
    <col min="5913" max="5915" width="8.89453125"/>
    <col min="5916" max="5916" width="12.5234375" customWidth="1"/>
    <col min="5917" max="5917" width="13.15625" customWidth="1"/>
    <col min="5918" max="6143" width="8.89453125"/>
    <col min="6144" max="6144" width="4.26171875" customWidth="1"/>
    <col min="6145" max="6145" width="18.26171875" customWidth="1"/>
    <col min="6146" max="6146" width="10.26171875" bestFit="1" customWidth="1"/>
    <col min="6147" max="6147" width="11.47265625" customWidth="1"/>
    <col min="6148" max="6149" width="12.5234375" customWidth="1"/>
    <col min="6150" max="6150" width="10.26171875" bestFit="1" customWidth="1"/>
    <col min="6151" max="6156" width="11.26171875" customWidth="1"/>
    <col min="6157" max="6157" width="12.15625" customWidth="1"/>
    <col min="6158" max="6158" width="4.1015625" customWidth="1"/>
    <col min="6159" max="6159" width="4.7890625" customWidth="1"/>
    <col min="6160" max="6160" width="11.26171875" customWidth="1"/>
    <col min="6161" max="6161" width="12" customWidth="1"/>
    <col min="6162" max="6162" width="12.26171875" customWidth="1"/>
    <col min="6163" max="6163" width="11" customWidth="1"/>
    <col min="6164" max="6164" width="10.7890625" customWidth="1"/>
    <col min="6165" max="6165" width="12" customWidth="1"/>
    <col min="6166" max="6166" width="14.7890625" customWidth="1"/>
    <col min="6167" max="6167" width="13.734375" customWidth="1"/>
    <col min="6168" max="6168" width="13.7890625" customWidth="1"/>
    <col min="6169" max="6171" width="8.89453125"/>
    <col min="6172" max="6172" width="12.5234375" customWidth="1"/>
    <col min="6173" max="6173" width="13.15625" customWidth="1"/>
    <col min="6174" max="6399" width="8.89453125"/>
    <col min="6400" max="6400" width="4.26171875" customWidth="1"/>
    <col min="6401" max="6401" width="18.26171875" customWidth="1"/>
    <col min="6402" max="6402" width="10.26171875" bestFit="1" customWidth="1"/>
    <col min="6403" max="6403" width="11.47265625" customWidth="1"/>
    <col min="6404" max="6405" width="12.5234375" customWidth="1"/>
    <col min="6406" max="6406" width="10.26171875" bestFit="1" customWidth="1"/>
    <col min="6407" max="6412" width="11.26171875" customWidth="1"/>
    <col min="6413" max="6413" width="12.15625" customWidth="1"/>
    <col min="6414" max="6414" width="4.1015625" customWidth="1"/>
    <col min="6415" max="6415" width="4.7890625" customWidth="1"/>
    <col min="6416" max="6416" width="11.26171875" customWidth="1"/>
    <col min="6417" max="6417" width="12" customWidth="1"/>
    <col min="6418" max="6418" width="12.26171875" customWidth="1"/>
    <col min="6419" max="6419" width="11" customWidth="1"/>
    <col min="6420" max="6420" width="10.7890625" customWidth="1"/>
    <col min="6421" max="6421" width="12" customWidth="1"/>
    <col min="6422" max="6422" width="14.7890625" customWidth="1"/>
    <col min="6423" max="6423" width="13.734375" customWidth="1"/>
    <col min="6424" max="6424" width="13.7890625" customWidth="1"/>
    <col min="6425" max="6427" width="8.89453125"/>
    <col min="6428" max="6428" width="12.5234375" customWidth="1"/>
    <col min="6429" max="6429" width="13.15625" customWidth="1"/>
    <col min="6430" max="6655" width="8.89453125"/>
    <col min="6656" max="6656" width="4.26171875" customWidth="1"/>
    <col min="6657" max="6657" width="18.26171875" customWidth="1"/>
    <col min="6658" max="6658" width="10.26171875" bestFit="1" customWidth="1"/>
    <col min="6659" max="6659" width="11.47265625" customWidth="1"/>
    <col min="6660" max="6661" width="12.5234375" customWidth="1"/>
    <col min="6662" max="6662" width="10.26171875" bestFit="1" customWidth="1"/>
    <col min="6663" max="6668" width="11.26171875" customWidth="1"/>
    <col min="6669" max="6669" width="12.15625" customWidth="1"/>
    <col min="6670" max="6670" width="4.1015625" customWidth="1"/>
    <col min="6671" max="6671" width="4.7890625" customWidth="1"/>
    <col min="6672" max="6672" width="11.26171875" customWidth="1"/>
    <col min="6673" max="6673" width="12" customWidth="1"/>
    <col min="6674" max="6674" width="12.26171875" customWidth="1"/>
    <col min="6675" max="6675" width="11" customWidth="1"/>
    <col min="6676" max="6676" width="10.7890625" customWidth="1"/>
    <col min="6677" max="6677" width="12" customWidth="1"/>
    <col min="6678" max="6678" width="14.7890625" customWidth="1"/>
    <col min="6679" max="6679" width="13.734375" customWidth="1"/>
    <col min="6680" max="6680" width="13.7890625" customWidth="1"/>
    <col min="6681" max="6683" width="8.89453125"/>
    <col min="6684" max="6684" width="12.5234375" customWidth="1"/>
    <col min="6685" max="6685" width="13.15625" customWidth="1"/>
    <col min="6686" max="6911" width="8.89453125"/>
    <col min="6912" max="6912" width="4.26171875" customWidth="1"/>
    <col min="6913" max="6913" width="18.26171875" customWidth="1"/>
    <col min="6914" max="6914" width="10.26171875" bestFit="1" customWidth="1"/>
    <col min="6915" max="6915" width="11.47265625" customWidth="1"/>
    <col min="6916" max="6917" width="12.5234375" customWidth="1"/>
    <col min="6918" max="6918" width="10.26171875" bestFit="1" customWidth="1"/>
    <col min="6919" max="6924" width="11.26171875" customWidth="1"/>
    <col min="6925" max="6925" width="12.15625" customWidth="1"/>
    <col min="6926" max="6926" width="4.1015625" customWidth="1"/>
    <col min="6927" max="6927" width="4.7890625" customWidth="1"/>
    <col min="6928" max="6928" width="11.26171875" customWidth="1"/>
    <col min="6929" max="6929" width="12" customWidth="1"/>
    <col min="6930" max="6930" width="12.26171875" customWidth="1"/>
    <col min="6931" max="6931" width="11" customWidth="1"/>
    <col min="6932" max="6932" width="10.7890625" customWidth="1"/>
    <col min="6933" max="6933" width="12" customWidth="1"/>
    <col min="6934" max="6934" width="14.7890625" customWidth="1"/>
    <col min="6935" max="6935" width="13.734375" customWidth="1"/>
    <col min="6936" max="6936" width="13.7890625" customWidth="1"/>
    <col min="6937" max="6939" width="8.89453125"/>
    <col min="6940" max="6940" width="12.5234375" customWidth="1"/>
    <col min="6941" max="6941" width="13.15625" customWidth="1"/>
    <col min="6942" max="7167" width="8.89453125"/>
    <col min="7168" max="7168" width="4.26171875" customWidth="1"/>
    <col min="7169" max="7169" width="18.26171875" customWidth="1"/>
    <col min="7170" max="7170" width="10.26171875" bestFit="1" customWidth="1"/>
    <col min="7171" max="7171" width="11.47265625" customWidth="1"/>
    <col min="7172" max="7173" width="12.5234375" customWidth="1"/>
    <col min="7174" max="7174" width="10.26171875" bestFit="1" customWidth="1"/>
    <col min="7175" max="7180" width="11.26171875" customWidth="1"/>
    <col min="7181" max="7181" width="12.15625" customWidth="1"/>
    <col min="7182" max="7182" width="4.1015625" customWidth="1"/>
    <col min="7183" max="7183" width="4.7890625" customWidth="1"/>
    <col min="7184" max="7184" width="11.26171875" customWidth="1"/>
    <col min="7185" max="7185" width="12" customWidth="1"/>
    <col min="7186" max="7186" width="12.26171875" customWidth="1"/>
    <col min="7187" max="7187" width="11" customWidth="1"/>
    <col min="7188" max="7188" width="10.7890625" customWidth="1"/>
    <col min="7189" max="7189" width="12" customWidth="1"/>
    <col min="7190" max="7190" width="14.7890625" customWidth="1"/>
    <col min="7191" max="7191" width="13.734375" customWidth="1"/>
    <col min="7192" max="7192" width="13.7890625" customWidth="1"/>
    <col min="7193" max="7195" width="8.89453125"/>
    <col min="7196" max="7196" width="12.5234375" customWidth="1"/>
    <col min="7197" max="7197" width="13.15625" customWidth="1"/>
    <col min="7198" max="7423" width="8.89453125"/>
    <col min="7424" max="7424" width="4.26171875" customWidth="1"/>
    <col min="7425" max="7425" width="18.26171875" customWidth="1"/>
    <col min="7426" max="7426" width="10.26171875" bestFit="1" customWidth="1"/>
    <col min="7427" max="7427" width="11.47265625" customWidth="1"/>
    <col min="7428" max="7429" width="12.5234375" customWidth="1"/>
    <col min="7430" max="7430" width="10.26171875" bestFit="1" customWidth="1"/>
    <col min="7431" max="7436" width="11.26171875" customWidth="1"/>
    <col min="7437" max="7437" width="12.15625" customWidth="1"/>
    <col min="7438" max="7438" width="4.1015625" customWidth="1"/>
    <col min="7439" max="7439" width="4.7890625" customWidth="1"/>
    <col min="7440" max="7440" width="11.26171875" customWidth="1"/>
    <col min="7441" max="7441" width="12" customWidth="1"/>
    <col min="7442" max="7442" width="12.26171875" customWidth="1"/>
    <col min="7443" max="7443" width="11" customWidth="1"/>
    <col min="7444" max="7444" width="10.7890625" customWidth="1"/>
    <col min="7445" max="7445" width="12" customWidth="1"/>
    <col min="7446" max="7446" width="14.7890625" customWidth="1"/>
    <col min="7447" max="7447" width="13.734375" customWidth="1"/>
    <col min="7448" max="7448" width="13.7890625" customWidth="1"/>
    <col min="7449" max="7451" width="8.89453125"/>
    <col min="7452" max="7452" width="12.5234375" customWidth="1"/>
    <col min="7453" max="7453" width="13.15625" customWidth="1"/>
    <col min="7454" max="7679" width="8.89453125"/>
    <col min="7680" max="7680" width="4.26171875" customWidth="1"/>
    <col min="7681" max="7681" width="18.26171875" customWidth="1"/>
    <col min="7682" max="7682" width="10.26171875" bestFit="1" customWidth="1"/>
    <col min="7683" max="7683" width="11.47265625" customWidth="1"/>
    <col min="7684" max="7685" width="12.5234375" customWidth="1"/>
    <col min="7686" max="7686" width="10.26171875" bestFit="1" customWidth="1"/>
    <col min="7687" max="7692" width="11.26171875" customWidth="1"/>
    <col min="7693" max="7693" width="12.15625" customWidth="1"/>
    <col min="7694" max="7694" width="4.1015625" customWidth="1"/>
    <col min="7695" max="7695" width="4.7890625" customWidth="1"/>
    <col min="7696" max="7696" width="11.26171875" customWidth="1"/>
    <col min="7697" max="7697" width="12" customWidth="1"/>
    <col min="7698" max="7698" width="12.26171875" customWidth="1"/>
    <col min="7699" max="7699" width="11" customWidth="1"/>
    <col min="7700" max="7700" width="10.7890625" customWidth="1"/>
    <col min="7701" max="7701" width="12" customWidth="1"/>
    <col min="7702" max="7702" width="14.7890625" customWidth="1"/>
    <col min="7703" max="7703" width="13.734375" customWidth="1"/>
    <col min="7704" max="7704" width="13.7890625" customWidth="1"/>
    <col min="7705" max="7707" width="8.89453125"/>
    <col min="7708" max="7708" width="12.5234375" customWidth="1"/>
    <col min="7709" max="7709" width="13.15625" customWidth="1"/>
    <col min="7710" max="7935" width="8.89453125"/>
    <col min="7936" max="7936" width="4.26171875" customWidth="1"/>
    <col min="7937" max="7937" width="18.26171875" customWidth="1"/>
    <col min="7938" max="7938" width="10.26171875" bestFit="1" customWidth="1"/>
    <col min="7939" max="7939" width="11.47265625" customWidth="1"/>
    <col min="7940" max="7941" width="12.5234375" customWidth="1"/>
    <col min="7942" max="7942" width="10.26171875" bestFit="1" customWidth="1"/>
    <col min="7943" max="7948" width="11.26171875" customWidth="1"/>
    <col min="7949" max="7949" width="12.15625" customWidth="1"/>
    <col min="7950" max="7950" width="4.1015625" customWidth="1"/>
    <col min="7951" max="7951" width="4.7890625" customWidth="1"/>
    <col min="7952" max="7952" width="11.26171875" customWidth="1"/>
    <col min="7953" max="7953" width="12" customWidth="1"/>
    <col min="7954" max="7954" width="12.26171875" customWidth="1"/>
    <col min="7955" max="7955" width="11" customWidth="1"/>
    <col min="7956" max="7956" width="10.7890625" customWidth="1"/>
    <col min="7957" max="7957" width="12" customWidth="1"/>
    <col min="7958" max="7958" width="14.7890625" customWidth="1"/>
    <col min="7959" max="7959" width="13.734375" customWidth="1"/>
    <col min="7960" max="7960" width="13.7890625" customWidth="1"/>
    <col min="7961" max="7963" width="8.89453125"/>
    <col min="7964" max="7964" width="12.5234375" customWidth="1"/>
    <col min="7965" max="7965" width="13.15625" customWidth="1"/>
    <col min="7966" max="8191" width="8.89453125"/>
    <col min="8192" max="8192" width="4.26171875" customWidth="1"/>
    <col min="8193" max="8193" width="18.26171875" customWidth="1"/>
    <col min="8194" max="8194" width="10.26171875" bestFit="1" customWidth="1"/>
    <col min="8195" max="8195" width="11.47265625" customWidth="1"/>
    <col min="8196" max="8197" width="12.5234375" customWidth="1"/>
    <col min="8198" max="8198" width="10.26171875" bestFit="1" customWidth="1"/>
    <col min="8199" max="8204" width="11.26171875" customWidth="1"/>
    <col min="8205" max="8205" width="12.15625" customWidth="1"/>
    <col min="8206" max="8206" width="4.1015625" customWidth="1"/>
    <col min="8207" max="8207" width="4.7890625" customWidth="1"/>
    <col min="8208" max="8208" width="11.26171875" customWidth="1"/>
    <col min="8209" max="8209" width="12" customWidth="1"/>
    <col min="8210" max="8210" width="12.26171875" customWidth="1"/>
    <col min="8211" max="8211" width="11" customWidth="1"/>
    <col min="8212" max="8212" width="10.7890625" customWidth="1"/>
    <col min="8213" max="8213" width="12" customWidth="1"/>
    <col min="8214" max="8214" width="14.7890625" customWidth="1"/>
    <col min="8215" max="8215" width="13.734375" customWidth="1"/>
    <col min="8216" max="8216" width="13.7890625" customWidth="1"/>
    <col min="8217" max="8219" width="8.89453125"/>
    <col min="8220" max="8220" width="12.5234375" customWidth="1"/>
    <col min="8221" max="8221" width="13.15625" customWidth="1"/>
    <col min="8222" max="8447" width="8.89453125"/>
    <col min="8448" max="8448" width="4.26171875" customWidth="1"/>
    <col min="8449" max="8449" width="18.26171875" customWidth="1"/>
    <col min="8450" max="8450" width="10.26171875" bestFit="1" customWidth="1"/>
    <col min="8451" max="8451" width="11.47265625" customWidth="1"/>
    <col min="8452" max="8453" width="12.5234375" customWidth="1"/>
    <col min="8454" max="8454" width="10.26171875" bestFit="1" customWidth="1"/>
    <col min="8455" max="8460" width="11.26171875" customWidth="1"/>
    <col min="8461" max="8461" width="12.15625" customWidth="1"/>
    <col min="8462" max="8462" width="4.1015625" customWidth="1"/>
    <col min="8463" max="8463" width="4.7890625" customWidth="1"/>
    <col min="8464" max="8464" width="11.26171875" customWidth="1"/>
    <col min="8465" max="8465" width="12" customWidth="1"/>
    <col min="8466" max="8466" width="12.26171875" customWidth="1"/>
    <col min="8467" max="8467" width="11" customWidth="1"/>
    <col min="8468" max="8468" width="10.7890625" customWidth="1"/>
    <col min="8469" max="8469" width="12" customWidth="1"/>
    <col min="8470" max="8470" width="14.7890625" customWidth="1"/>
    <col min="8471" max="8471" width="13.734375" customWidth="1"/>
    <col min="8472" max="8472" width="13.7890625" customWidth="1"/>
    <col min="8473" max="8475" width="8.89453125"/>
    <col min="8476" max="8476" width="12.5234375" customWidth="1"/>
    <col min="8477" max="8477" width="13.15625" customWidth="1"/>
    <col min="8478" max="8703" width="8.89453125"/>
    <col min="8704" max="8704" width="4.26171875" customWidth="1"/>
    <col min="8705" max="8705" width="18.26171875" customWidth="1"/>
    <col min="8706" max="8706" width="10.26171875" bestFit="1" customWidth="1"/>
    <col min="8707" max="8707" width="11.47265625" customWidth="1"/>
    <col min="8708" max="8709" width="12.5234375" customWidth="1"/>
    <col min="8710" max="8710" width="10.26171875" bestFit="1" customWidth="1"/>
    <col min="8711" max="8716" width="11.26171875" customWidth="1"/>
    <col min="8717" max="8717" width="12.15625" customWidth="1"/>
    <col min="8718" max="8718" width="4.1015625" customWidth="1"/>
    <col min="8719" max="8719" width="4.7890625" customWidth="1"/>
    <col min="8720" max="8720" width="11.26171875" customWidth="1"/>
    <col min="8721" max="8721" width="12" customWidth="1"/>
    <col min="8722" max="8722" width="12.26171875" customWidth="1"/>
    <col min="8723" max="8723" width="11" customWidth="1"/>
    <col min="8724" max="8724" width="10.7890625" customWidth="1"/>
    <col min="8725" max="8725" width="12" customWidth="1"/>
    <col min="8726" max="8726" width="14.7890625" customWidth="1"/>
    <col min="8727" max="8727" width="13.734375" customWidth="1"/>
    <col min="8728" max="8728" width="13.7890625" customWidth="1"/>
    <col min="8729" max="8731" width="8.89453125"/>
    <col min="8732" max="8732" width="12.5234375" customWidth="1"/>
    <col min="8733" max="8733" width="13.15625" customWidth="1"/>
    <col min="8734" max="8959" width="8.89453125"/>
    <col min="8960" max="8960" width="4.26171875" customWidth="1"/>
    <col min="8961" max="8961" width="18.26171875" customWidth="1"/>
    <col min="8962" max="8962" width="10.26171875" bestFit="1" customWidth="1"/>
    <col min="8963" max="8963" width="11.47265625" customWidth="1"/>
    <col min="8964" max="8965" width="12.5234375" customWidth="1"/>
    <col min="8966" max="8966" width="10.26171875" bestFit="1" customWidth="1"/>
    <col min="8967" max="8972" width="11.26171875" customWidth="1"/>
    <col min="8973" max="8973" width="12.15625" customWidth="1"/>
    <col min="8974" max="8974" width="4.1015625" customWidth="1"/>
    <col min="8975" max="8975" width="4.7890625" customWidth="1"/>
    <col min="8976" max="8976" width="11.26171875" customWidth="1"/>
    <col min="8977" max="8977" width="12" customWidth="1"/>
    <col min="8978" max="8978" width="12.26171875" customWidth="1"/>
    <col min="8979" max="8979" width="11" customWidth="1"/>
    <col min="8980" max="8980" width="10.7890625" customWidth="1"/>
    <col min="8981" max="8981" width="12" customWidth="1"/>
    <col min="8982" max="8982" width="14.7890625" customWidth="1"/>
    <col min="8983" max="8983" width="13.734375" customWidth="1"/>
    <col min="8984" max="8984" width="13.7890625" customWidth="1"/>
    <col min="8985" max="8987" width="8.89453125"/>
    <col min="8988" max="8988" width="12.5234375" customWidth="1"/>
    <col min="8989" max="8989" width="13.15625" customWidth="1"/>
    <col min="8990" max="9215" width="8.89453125"/>
    <col min="9216" max="9216" width="4.26171875" customWidth="1"/>
    <col min="9217" max="9217" width="18.26171875" customWidth="1"/>
    <col min="9218" max="9218" width="10.26171875" bestFit="1" customWidth="1"/>
    <col min="9219" max="9219" width="11.47265625" customWidth="1"/>
    <col min="9220" max="9221" width="12.5234375" customWidth="1"/>
    <col min="9222" max="9222" width="10.26171875" bestFit="1" customWidth="1"/>
    <col min="9223" max="9228" width="11.26171875" customWidth="1"/>
    <col min="9229" max="9229" width="12.15625" customWidth="1"/>
    <col min="9230" max="9230" width="4.1015625" customWidth="1"/>
    <col min="9231" max="9231" width="4.7890625" customWidth="1"/>
    <col min="9232" max="9232" width="11.26171875" customWidth="1"/>
    <col min="9233" max="9233" width="12" customWidth="1"/>
    <col min="9234" max="9234" width="12.26171875" customWidth="1"/>
    <col min="9235" max="9235" width="11" customWidth="1"/>
    <col min="9236" max="9236" width="10.7890625" customWidth="1"/>
    <col min="9237" max="9237" width="12" customWidth="1"/>
    <col min="9238" max="9238" width="14.7890625" customWidth="1"/>
    <col min="9239" max="9239" width="13.734375" customWidth="1"/>
    <col min="9240" max="9240" width="13.7890625" customWidth="1"/>
    <col min="9241" max="9243" width="8.89453125"/>
    <col min="9244" max="9244" width="12.5234375" customWidth="1"/>
    <col min="9245" max="9245" width="13.15625" customWidth="1"/>
    <col min="9246" max="9471" width="8.89453125"/>
    <col min="9472" max="9472" width="4.26171875" customWidth="1"/>
    <col min="9473" max="9473" width="18.26171875" customWidth="1"/>
    <col min="9474" max="9474" width="10.26171875" bestFit="1" customWidth="1"/>
    <col min="9475" max="9475" width="11.47265625" customWidth="1"/>
    <col min="9476" max="9477" width="12.5234375" customWidth="1"/>
    <col min="9478" max="9478" width="10.26171875" bestFit="1" customWidth="1"/>
    <col min="9479" max="9484" width="11.26171875" customWidth="1"/>
    <col min="9485" max="9485" width="12.15625" customWidth="1"/>
    <col min="9486" max="9486" width="4.1015625" customWidth="1"/>
    <col min="9487" max="9487" width="4.7890625" customWidth="1"/>
    <col min="9488" max="9488" width="11.26171875" customWidth="1"/>
    <col min="9489" max="9489" width="12" customWidth="1"/>
    <col min="9490" max="9490" width="12.26171875" customWidth="1"/>
    <col min="9491" max="9491" width="11" customWidth="1"/>
    <col min="9492" max="9492" width="10.7890625" customWidth="1"/>
    <col min="9493" max="9493" width="12" customWidth="1"/>
    <col min="9494" max="9494" width="14.7890625" customWidth="1"/>
    <col min="9495" max="9495" width="13.734375" customWidth="1"/>
    <col min="9496" max="9496" width="13.7890625" customWidth="1"/>
    <col min="9497" max="9499" width="8.89453125"/>
    <col min="9500" max="9500" width="12.5234375" customWidth="1"/>
    <col min="9501" max="9501" width="13.15625" customWidth="1"/>
    <col min="9502" max="9727" width="8.89453125"/>
    <col min="9728" max="9728" width="4.26171875" customWidth="1"/>
    <col min="9729" max="9729" width="18.26171875" customWidth="1"/>
    <col min="9730" max="9730" width="10.26171875" bestFit="1" customWidth="1"/>
    <col min="9731" max="9731" width="11.47265625" customWidth="1"/>
    <col min="9732" max="9733" width="12.5234375" customWidth="1"/>
    <col min="9734" max="9734" width="10.26171875" bestFit="1" customWidth="1"/>
    <col min="9735" max="9740" width="11.26171875" customWidth="1"/>
    <col min="9741" max="9741" width="12.15625" customWidth="1"/>
    <col min="9742" max="9742" width="4.1015625" customWidth="1"/>
    <col min="9743" max="9743" width="4.7890625" customWidth="1"/>
    <col min="9744" max="9744" width="11.26171875" customWidth="1"/>
    <col min="9745" max="9745" width="12" customWidth="1"/>
    <col min="9746" max="9746" width="12.26171875" customWidth="1"/>
    <col min="9747" max="9747" width="11" customWidth="1"/>
    <col min="9748" max="9748" width="10.7890625" customWidth="1"/>
    <col min="9749" max="9749" width="12" customWidth="1"/>
    <col min="9750" max="9750" width="14.7890625" customWidth="1"/>
    <col min="9751" max="9751" width="13.734375" customWidth="1"/>
    <col min="9752" max="9752" width="13.7890625" customWidth="1"/>
    <col min="9753" max="9755" width="8.89453125"/>
    <col min="9756" max="9756" width="12.5234375" customWidth="1"/>
    <col min="9757" max="9757" width="13.15625" customWidth="1"/>
    <col min="9758" max="9983" width="8.89453125"/>
    <col min="9984" max="9984" width="4.26171875" customWidth="1"/>
    <col min="9985" max="9985" width="18.26171875" customWidth="1"/>
    <col min="9986" max="9986" width="10.26171875" bestFit="1" customWidth="1"/>
    <col min="9987" max="9987" width="11.47265625" customWidth="1"/>
    <col min="9988" max="9989" width="12.5234375" customWidth="1"/>
    <col min="9990" max="9990" width="10.26171875" bestFit="1" customWidth="1"/>
    <col min="9991" max="9996" width="11.26171875" customWidth="1"/>
    <col min="9997" max="9997" width="12.15625" customWidth="1"/>
    <col min="9998" max="9998" width="4.1015625" customWidth="1"/>
    <col min="9999" max="9999" width="4.7890625" customWidth="1"/>
    <col min="10000" max="10000" width="11.26171875" customWidth="1"/>
    <col min="10001" max="10001" width="12" customWidth="1"/>
    <col min="10002" max="10002" width="12.26171875" customWidth="1"/>
    <col min="10003" max="10003" width="11" customWidth="1"/>
    <col min="10004" max="10004" width="10.7890625" customWidth="1"/>
    <col min="10005" max="10005" width="12" customWidth="1"/>
    <col min="10006" max="10006" width="14.7890625" customWidth="1"/>
    <col min="10007" max="10007" width="13.734375" customWidth="1"/>
    <col min="10008" max="10008" width="13.7890625" customWidth="1"/>
    <col min="10009" max="10011" width="8.89453125"/>
    <col min="10012" max="10012" width="12.5234375" customWidth="1"/>
    <col min="10013" max="10013" width="13.15625" customWidth="1"/>
    <col min="10014" max="10239" width="8.89453125"/>
    <col min="10240" max="10240" width="4.26171875" customWidth="1"/>
    <col min="10241" max="10241" width="18.26171875" customWidth="1"/>
    <col min="10242" max="10242" width="10.26171875" bestFit="1" customWidth="1"/>
    <col min="10243" max="10243" width="11.47265625" customWidth="1"/>
    <col min="10244" max="10245" width="12.5234375" customWidth="1"/>
    <col min="10246" max="10246" width="10.26171875" bestFit="1" customWidth="1"/>
    <col min="10247" max="10252" width="11.26171875" customWidth="1"/>
    <col min="10253" max="10253" width="12.15625" customWidth="1"/>
    <col min="10254" max="10254" width="4.1015625" customWidth="1"/>
    <col min="10255" max="10255" width="4.7890625" customWidth="1"/>
    <col min="10256" max="10256" width="11.26171875" customWidth="1"/>
    <col min="10257" max="10257" width="12" customWidth="1"/>
    <col min="10258" max="10258" width="12.26171875" customWidth="1"/>
    <col min="10259" max="10259" width="11" customWidth="1"/>
    <col min="10260" max="10260" width="10.7890625" customWidth="1"/>
    <col min="10261" max="10261" width="12" customWidth="1"/>
    <col min="10262" max="10262" width="14.7890625" customWidth="1"/>
    <col min="10263" max="10263" width="13.734375" customWidth="1"/>
    <col min="10264" max="10264" width="13.7890625" customWidth="1"/>
    <col min="10265" max="10267" width="8.89453125"/>
    <col min="10268" max="10268" width="12.5234375" customWidth="1"/>
    <col min="10269" max="10269" width="13.15625" customWidth="1"/>
    <col min="10270" max="10495" width="8.89453125"/>
    <col min="10496" max="10496" width="4.26171875" customWidth="1"/>
    <col min="10497" max="10497" width="18.26171875" customWidth="1"/>
    <col min="10498" max="10498" width="10.26171875" bestFit="1" customWidth="1"/>
    <col min="10499" max="10499" width="11.47265625" customWidth="1"/>
    <col min="10500" max="10501" width="12.5234375" customWidth="1"/>
    <col min="10502" max="10502" width="10.26171875" bestFit="1" customWidth="1"/>
    <col min="10503" max="10508" width="11.26171875" customWidth="1"/>
    <col min="10509" max="10509" width="12.15625" customWidth="1"/>
    <col min="10510" max="10510" width="4.1015625" customWidth="1"/>
    <col min="10511" max="10511" width="4.7890625" customWidth="1"/>
    <col min="10512" max="10512" width="11.26171875" customWidth="1"/>
    <col min="10513" max="10513" width="12" customWidth="1"/>
    <col min="10514" max="10514" width="12.26171875" customWidth="1"/>
    <col min="10515" max="10515" width="11" customWidth="1"/>
    <col min="10516" max="10516" width="10.7890625" customWidth="1"/>
    <col min="10517" max="10517" width="12" customWidth="1"/>
    <col min="10518" max="10518" width="14.7890625" customWidth="1"/>
    <col min="10519" max="10519" width="13.734375" customWidth="1"/>
    <col min="10520" max="10520" width="13.7890625" customWidth="1"/>
    <col min="10521" max="10523" width="8.89453125"/>
    <col min="10524" max="10524" width="12.5234375" customWidth="1"/>
    <col min="10525" max="10525" width="13.15625" customWidth="1"/>
    <col min="10526" max="10751" width="8.89453125"/>
    <col min="10752" max="10752" width="4.26171875" customWidth="1"/>
    <col min="10753" max="10753" width="18.26171875" customWidth="1"/>
    <col min="10754" max="10754" width="10.26171875" bestFit="1" customWidth="1"/>
    <col min="10755" max="10755" width="11.47265625" customWidth="1"/>
    <col min="10756" max="10757" width="12.5234375" customWidth="1"/>
    <col min="10758" max="10758" width="10.26171875" bestFit="1" customWidth="1"/>
    <col min="10759" max="10764" width="11.26171875" customWidth="1"/>
    <col min="10765" max="10765" width="12.15625" customWidth="1"/>
    <col min="10766" max="10766" width="4.1015625" customWidth="1"/>
    <col min="10767" max="10767" width="4.7890625" customWidth="1"/>
    <col min="10768" max="10768" width="11.26171875" customWidth="1"/>
    <col min="10769" max="10769" width="12" customWidth="1"/>
    <col min="10770" max="10770" width="12.26171875" customWidth="1"/>
    <col min="10771" max="10771" width="11" customWidth="1"/>
    <col min="10772" max="10772" width="10.7890625" customWidth="1"/>
    <col min="10773" max="10773" width="12" customWidth="1"/>
    <col min="10774" max="10774" width="14.7890625" customWidth="1"/>
    <col min="10775" max="10775" width="13.734375" customWidth="1"/>
    <col min="10776" max="10776" width="13.7890625" customWidth="1"/>
    <col min="10777" max="10779" width="8.89453125"/>
    <col min="10780" max="10780" width="12.5234375" customWidth="1"/>
    <col min="10781" max="10781" width="13.15625" customWidth="1"/>
    <col min="10782" max="11007" width="8.89453125"/>
    <col min="11008" max="11008" width="4.26171875" customWidth="1"/>
    <col min="11009" max="11009" width="18.26171875" customWidth="1"/>
    <col min="11010" max="11010" width="10.26171875" bestFit="1" customWidth="1"/>
    <col min="11011" max="11011" width="11.47265625" customWidth="1"/>
    <col min="11012" max="11013" width="12.5234375" customWidth="1"/>
    <col min="11014" max="11014" width="10.26171875" bestFit="1" customWidth="1"/>
    <col min="11015" max="11020" width="11.26171875" customWidth="1"/>
    <col min="11021" max="11021" width="12.15625" customWidth="1"/>
    <col min="11022" max="11022" width="4.1015625" customWidth="1"/>
    <col min="11023" max="11023" width="4.7890625" customWidth="1"/>
    <col min="11024" max="11024" width="11.26171875" customWidth="1"/>
    <col min="11025" max="11025" width="12" customWidth="1"/>
    <col min="11026" max="11026" width="12.26171875" customWidth="1"/>
    <col min="11027" max="11027" width="11" customWidth="1"/>
    <col min="11028" max="11028" width="10.7890625" customWidth="1"/>
    <col min="11029" max="11029" width="12" customWidth="1"/>
    <col min="11030" max="11030" width="14.7890625" customWidth="1"/>
    <col min="11031" max="11031" width="13.734375" customWidth="1"/>
    <col min="11032" max="11032" width="13.7890625" customWidth="1"/>
    <col min="11033" max="11035" width="8.89453125"/>
    <col min="11036" max="11036" width="12.5234375" customWidth="1"/>
    <col min="11037" max="11037" width="13.15625" customWidth="1"/>
    <col min="11038" max="11263" width="8.89453125"/>
    <col min="11264" max="11264" width="4.26171875" customWidth="1"/>
    <col min="11265" max="11265" width="18.26171875" customWidth="1"/>
    <col min="11266" max="11266" width="10.26171875" bestFit="1" customWidth="1"/>
    <col min="11267" max="11267" width="11.47265625" customWidth="1"/>
    <col min="11268" max="11269" width="12.5234375" customWidth="1"/>
    <col min="11270" max="11270" width="10.26171875" bestFit="1" customWidth="1"/>
    <col min="11271" max="11276" width="11.26171875" customWidth="1"/>
    <col min="11277" max="11277" width="12.15625" customWidth="1"/>
    <col min="11278" max="11278" width="4.1015625" customWidth="1"/>
    <col min="11279" max="11279" width="4.7890625" customWidth="1"/>
    <col min="11280" max="11280" width="11.26171875" customWidth="1"/>
    <col min="11281" max="11281" width="12" customWidth="1"/>
    <col min="11282" max="11282" width="12.26171875" customWidth="1"/>
    <col min="11283" max="11283" width="11" customWidth="1"/>
    <col min="11284" max="11284" width="10.7890625" customWidth="1"/>
    <col min="11285" max="11285" width="12" customWidth="1"/>
    <col min="11286" max="11286" width="14.7890625" customWidth="1"/>
    <col min="11287" max="11287" width="13.734375" customWidth="1"/>
    <col min="11288" max="11288" width="13.7890625" customWidth="1"/>
    <col min="11289" max="11291" width="8.89453125"/>
    <col min="11292" max="11292" width="12.5234375" customWidth="1"/>
    <col min="11293" max="11293" width="13.15625" customWidth="1"/>
    <col min="11294" max="11519" width="8.89453125"/>
    <col min="11520" max="11520" width="4.26171875" customWidth="1"/>
    <col min="11521" max="11521" width="18.26171875" customWidth="1"/>
    <col min="11522" max="11522" width="10.26171875" bestFit="1" customWidth="1"/>
    <col min="11523" max="11523" width="11.47265625" customWidth="1"/>
    <col min="11524" max="11525" width="12.5234375" customWidth="1"/>
    <col min="11526" max="11526" width="10.26171875" bestFit="1" customWidth="1"/>
    <col min="11527" max="11532" width="11.26171875" customWidth="1"/>
    <col min="11533" max="11533" width="12.15625" customWidth="1"/>
    <col min="11534" max="11534" width="4.1015625" customWidth="1"/>
    <col min="11535" max="11535" width="4.7890625" customWidth="1"/>
    <col min="11536" max="11536" width="11.26171875" customWidth="1"/>
    <col min="11537" max="11537" width="12" customWidth="1"/>
    <col min="11538" max="11538" width="12.26171875" customWidth="1"/>
    <col min="11539" max="11539" width="11" customWidth="1"/>
    <col min="11540" max="11540" width="10.7890625" customWidth="1"/>
    <col min="11541" max="11541" width="12" customWidth="1"/>
    <col min="11542" max="11542" width="14.7890625" customWidth="1"/>
    <col min="11543" max="11543" width="13.734375" customWidth="1"/>
    <col min="11544" max="11544" width="13.7890625" customWidth="1"/>
    <col min="11545" max="11547" width="8.89453125"/>
    <col min="11548" max="11548" width="12.5234375" customWidth="1"/>
    <col min="11549" max="11549" width="13.15625" customWidth="1"/>
    <col min="11550" max="11775" width="8.89453125"/>
    <col min="11776" max="11776" width="4.26171875" customWidth="1"/>
    <col min="11777" max="11777" width="18.26171875" customWidth="1"/>
    <col min="11778" max="11778" width="10.26171875" bestFit="1" customWidth="1"/>
    <col min="11779" max="11779" width="11.47265625" customWidth="1"/>
    <col min="11780" max="11781" width="12.5234375" customWidth="1"/>
    <col min="11782" max="11782" width="10.26171875" bestFit="1" customWidth="1"/>
    <col min="11783" max="11788" width="11.26171875" customWidth="1"/>
    <col min="11789" max="11789" width="12.15625" customWidth="1"/>
    <col min="11790" max="11790" width="4.1015625" customWidth="1"/>
    <col min="11791" max="11791" width="4.7890625" customWidth="1"/>
    <col min="11792" max="11792" width="11.26171875" customWidth="1"/>
    <col min="11793" max="11793" width="12" customWidth="1"/>
    <col min="11794" max="11794" width="12.26171875" customWidth="1"/>
    <col min="11795" max="11795" width="11" customWidth="1"/>
    <col min="11796" max="11796" width="10.7890625" customWidth="1"/>
    <col min="11797" max="11797" width="12" customWidth="1"/>
    <col min="11798" max="11798" width="14.7890625" customWidth="1"/>
    <col min="11799" max="11799" width="13.734375" customWidth="1"/>
    <col min="11800" max="11800" width="13.7890625" customWidth="1"/>
    <col min="11801" max="11803" width="8.89453125"/>
    <col min="11804" max="11804" width="12.5234375" customWidth="1"/>
    <col min="11805" max="11805" width="13.15625" customWidth="1"/>
    <col min="11806" max="12031" width="8.89453125"/>
    <col min="12032" max="12032" width="4.26171875" customWidth="1"/>
    <col min="12033" max="12033" width="18.26171875" customWidth="1"/>
    <col min="12034" max="12034" width="10.26171875" bestFit="1" customWidth="1"/>
    <col min="12035" max="12035" width="11.47265625" customWidth="1"/>
    <col min="12036" max="12037" width="12.5234375" customWidth="1"/>
    <col min="12038" max="12038" width="10.26171875" bestFit="1" customWidth="1"/>
    <col min="12039" max="12044" width="11.26171875" customWidth="1"/>
    <col min="12045" max="12045" width="12.15625" customWidth="1"/>
    <col min="12046" max="12046" width="4.1015625" customWidth="1"/>
    <col min="12047" max="12047" width="4.7890625" customWidth="1"/>
    <col min="12048" max="12048" width="11.26171875" customWidth="1"/>
    <col min="12049" max="12049" width="12" customWidth="1"/>
    <col min="12050" max="12050" width="12.26171875" customWidth="1"/>
    <col min="12051" max="12051" width="11" customWidth="1"/>
    <col min="12052" max="12052" width="10.7890625" customWidth="1"/>
    <col min="12053" max="12053" width="12" customWidth="1"/>
    <col min="12054" max="12054" width="14.7890625" customWidth="1"/>
    <col min="12055" max="12055" width="13.734375" customWidth="1"/>
    <col min="12056" max="12056" width="13.7890625" customWidth="1"/>
    <col min="12057" max="12059" width="8.89453125"/>
    <col min="12060" max="12060" width="12.5234375" customWidth="1"/>
    <col min="12061" max="12061" width="13.15625" customWidth="1"/>
    <col min="12062" max="12287" width="8.89453125"/>
    <col min="12288" max="12288" width="4.26171875" customWidth="1"/>
    <col min="12289" max="12289" width="18.26171875" customWidth="1"/>
    <col min="12290" max="12290" width="10.26171875" bestFit="1" customWidth="1"/>
    <col min="12291" max="12291" width="11.47265625" customWidth="1"/>
    <col min="12292" max="12293" width="12.5234375" customWidth="1"/>
    <col min="12294" max="12294" width="10.26171875" bestFit="1" customWidth="1"/>
    <col min="12295" max="12300" width="11.26171875" customWidth="1"/>
    <col min="12301" max="12301" width="12.15625" customWidth="1"/>
    <col min="12302" max="12302" width="4.1015625" customWidth="1"/>
    <col min="12303" max="12303" width="4.7890625" customWidth="1"/>
    <col min="12304" max="12304" width="11.26171875" customWidth="1"/>
    <col min="12305" max="12305" width="12" customWidth="1"/>
    <col min="12306" max="12306" width="12.26171875" customWidth="1"/>
    <col min="12307" max="12307" width="11" customWidth="1"/>
    <col min="12308" max="12308" width="10.7890625" customWidth="1"/>
    <col min="12309" max="12309" width="12" customWidth="1"/>
    <col min="12310" max="12310" width="14.7890625" customWidth="1"/>
    <col min="12311" max="12311" width="13.734375" customWidth="1"/>
    <col min="12312" max="12312" width="13.7890625" customWidth="1"/>
    <col min="12313" max="12315" width="8.89453125"/>
    <col min="12316" max="12316" width="12.5234375" customWidth="1"/>
    <col min="12317" max="12317" width="13.15625" customWidth="1"/>
    <col min="12318" max="12543" width="8.89453125"/>
    <col min="12544" max="12544" width="4.26171875" customWidth="1"/>
    <col min="12545" max="12545" width="18.26171875" customWidth="1"/>
    <col min="12546" max="12546" width="10.26171875" bestFit="1" customWidth="1"/>
    <col min="12547" max="12547" width="11.47265625" customWidth="1"/>
    <col min="12548" max="12549" width="12.5234375" customWidth="1"/>
    <col min="12550" max="12550" width="10.26171875" bestFit="1" customWidth="1"/>
    <col min="12551" max="12556" width="11.26171875" customWidth="1"/>
    <col min="12557" max="12557" width="12.15625" customWidth="1"/>
    <col min="12558" max="12558" width="4.1015625" customWidth="1"/>
    <col min="12559" max="12559" width="4.7890625" customWidth="1"/>
    <col min="12560" max="12560" width="11.26171875" customWidth="1"/>
    <col min="12561" max="12561" width="12" customWidth="1"/>
    <col min="12562" max="12562" width="12.26171875" customWidth="1"/>
    <col min="12563" max="12563" width="11" customWidth="1"/>
    <col min="12564" max="12564" width="10.7890625" customWidth="1"/>
    <col min="12565" max="12565" width="12" customWidth="1"/>
    <col min="12566" max="12566" width="14.7890625" customWidth="1"/>
    <col min="12567" max="12567" width="13.734375" customWidth="1"/>
    <col min="12568" max="12568" width="13.7890625" customWidth="1"/>
    <col min="12569" max="12571" width="8.89453125"/>
    <col min="12572" max="12572" width="12.5234375" customWidth="1"/>
    <col min="12573" max="12573" width="13.15625" customWidth="1"/>
    <col min="12574" max="12799" width="8.89453125"/>
    <col min="12800" max="12800" width="4.26171875" customWidth="1"/>
    <col min="12801" max="12801" width="18.26171875" customWidth="1"/>
    <col min="12802" max="12802" width="10.26171875" bestFit="1" customWidth="1"/>
    <col min="12803" max="12803" width="11.47265625" customWidth="1"/>
    <col min="12804" max="12805" width="12.5234375" customWidth="1"/>
    <col min="12806" max="12806" width="10.26171875" bestFit="1" customWidth="1"/>
    <col min="12807" max="12812" width="11.26171875" customWidth="1"/>
    <col min="12813" max="12813" width="12.15625" customWidth="1"/>
    <col min="12814" max="12814" width="4.1015625" customWidth="1"/>
    <col min="12815" max="12815" width="4.7890625" customWidth="1"/>
    <col min="12816" max="12816" width="11.26171875" customWidth="1"/>
    <col min="12817" max="12817" width="12" customWidth="1"/>
    <col min="12818" max="12818" width="12.26171875" customWidth="1"/>
    <col min="12819" max="12819" width="11" customWidth="1"/>
    <col min="12820" max="12820" width="10.7890625" customWidth="1"/>
    <col min="12821" max="12821" width="12" customWidth="1"/>
    <col min="12822" max="12822" width="14.7890625" customWidth="1"/>
    <col min="12823" max="12823" width="13.734375" customWidth="1"/>
    <col min="12824" max="12824" width="13.7890625" customWidth="1"/>
    <col min="12825" max="12827" width="8.89453125"/>
    <col min="12828" max="12828" width="12.5234375" customWidth="1"/>
    <col min="12829" max="12829" width="13.15625" customWidth="1"/>
    <col min="12830" max="13055" width="8.89453125"/>
    <col min="13056" max="13056" width="4.26171875" customWidth="1"/>
    <col min="13057" max="13057" width="18.26171875" customWidth="1"/>
    <col min="13058" max="13058" width="10.26171875" bestFit="1" customWidth="1"/>
    <col min="13059" max="13059" width="11.47265625" customWidth="1"/>
    <col min="13060" max="13061" width="12.5234375" customWidth="1"/>
    <col min="13062" max="13062" width="10.26171875" bestFit="1" customWidth="1"/>
    <col min="13063" max="13068" width="11.26171875" customWidth="1"/>
    <col min="13069" max="13069" width="12.15625" customWidth="1"/>
    <col min="13070" max="13070" width="4.1015625" customWidth="1"/>
    <col min="13071" max="13071" width="4.7890625" customWidth="1"/>
    <col min="13072" max="13072" width="11.26171875" customWidth="1"/>
    <col min="13073" max="13073" width="12" customWidth="1"/>
    <col min="13074" max="13074" width="12.26171875" customWidth="1"/>
    <col min="13075" max="13075" width="11" customWidth="1"/>
    <col min="13076" max="13076" width="10.7890625" customWidth="1"/>
    <col min="13077" max="13077" width="12" customWidth="1"/>
    <col min="13078" max="13078" width="14.7890625" customWidth="1"/>
    <col min="13079" max="13079" width="13.734375" customWidth="1"/>
    <col min="13080" max="13080" width="13.7890625" customWidth="1"/>
    <col min="13081" max="13083" width="8.89453125"/>
    <col min="13084" max="13084" width="12.5234375" customWidth="1"/>
    <col min="13085" max="13085" width="13.15625" customWidth="1"/>
    <col min="13086" max="13311" width="8.89453125"/>
    <col min="13312" max="13312" width="4.26171875" customWidth="1"/>
    <col min="13313" max="13313" width="18.26171875" customWidth="1"/>
    <col min="13314" max="13314" width="10.26171875" bestFit="1" customWidth="1"/>
    <col min="13315" max="13315" width="11.47265625" customWidth="1"/>
    <col min="13316" max="13317" width="12.5234375" customWidth="1"/>
    <col min="13318" max="13318" width="10.26171875" bestFit="1" customWidth="1"/>
    <col min="13319" max="13324" width="11.26171875" customWidth="1"/>
    <col min="13325" max="13325" width="12.15625" customWidth="1"/>
    <col min="13326" max="13326" width="4.1015625" customWidth="1"/>
    <col min="13327" max="13327" width="4.7890625" customWidth="1"/>
    <col min="13328" max="13328" width="11.26171875" customWidth="1"/>
    <col min="13329" max="13329" width="12" customWidth="1"/>
    <col min="13330" max="13330" width="12.26171875" customWidth="1"/>
    <col min="13331" max="13331" width="11" customWidth="1"/>
    <col min="13332" max="13332" width="10.7890625" customWidth="1"/>
    <col min="13333" max="13333" width="12" customWidth="1"/>
    <col min="13334" max="13334" width="14.7890625" customWidth="1"/>
    <col min="13335" max="13335" width="13.734375" customWidth="1"/>
    <col min="13336" max="13336" width="13.7890625" customWidth="1"/>
    <col min="13337" max="13339" width="8.89453125"/>
    <col min="13340" max="13340" width="12.5234375" customWidth="1"/>
    <col min="13341" max="13341" width="13.15625" customWidth="1"/>
    <col min="13342" max="13567" width="8.89453125"/>
    <col min="13568" max="13568" width="4.26171875" customWidth="1"/>
    <col min="13569" max="13569" width="18.26171875" customWidth="1"/>
    <col min="13570" max="13570" width="10.26171875" bestFit="1" customWidth="1"/>
    <col min="13571" max="13571" width="11.47265625" customWidth="1"/>
    <col min="13572" max="13573" width="12.5234375" customWidth="1"/>
    <col min="13574" max="13574" width="10.26171875" bestFit="1" customWidth="1"/>
    <col min="13575" max="13580" width="11.26171875" customWidth="1"/>
    <col min="13581" max="13581" width="12.15625" customWidth="1"/>
    <col min="13582" max="13582" width="4.1015625" customWidth="1"/>
    <col min="13583" max="13583" width="4.7890625" customWidth="1"/>
    <col min="13584" max="13584" width="11.26171875" customWidth="1"/>
    <col min="13585" max="13585" width="12" customWidth="1"/>
    <col min="13586" max="13586" width="12.26171875" customWidth="1"/>
    <col min="13587" max="13587" width="11" customWidth="1"/>
    <col min="13588" max="13588" width="10.7890625" customWidth="1"/>
    <col min="13589" max="13589" width="12" customWidth="1"/>
    <col min="13590" max="13590" width="14.7890625" customWidth="1"/>
    <col min="13591" max="13591" width="13.734375" customWidth="1"/>
    <col min="13592" max="13592" width="13.7890625" customWidth="1"/>
    <col min="13593" max="13595" width="8.89453125"/>
    <col min="13596" max="13596" width="12.5234375" customWidth="1"/>
    <col min="13597" max="13597" width="13.15625" customWidth="1"/>
    <col min="13598" max="13823" width="8.89453125"/>
    <col min="13824" max="13824" width="4.26171875" customWidth="1"/>
    <col min="13825" max="13825" width="18.26171875" customWidth="1"/>
    <col min="13826" max="13826" width="10.26171875" bestFit="1" customWidth="1"/>
    <col min="13827" max="13827" width="11.47265625" customWidth="1"/>
    <col min="13828" max="13829" width="12.5234375" customWidth="1"/>
    <col min="13830" max="13830" width="10.26171875" bestFit="1" customWidth="1"/>
    <col min="13831" max="13836" width="11.26171875" customWidth="1"/>
    <col min="13837" max="13837" width="12.15625" customWidth="1"/>
    <col min="13838" max="13838" width="4.1015625" customWidth="1"/>
    <col min="13839" max="13839" width="4.7890625" customWidth="1"/>
    <col min="13840" max="13840" width="11.26171875" customWidth="1"/>
    <col min="13841" max="13841" width="12" customWidth="1"/>
    <col min="13842" max="13842" width="12.26171875" customWidth="1"/>
    <col min="13843" max="13843" width="11" customWidth="1"/>
    <col min="13844" max="13844" width="10.7890625" customWidth="1"/>
    <col min="13845" max="13845" width="12" customWidth="1"/>
    <col min="13846" max="13846" width="14.7890625" customWidth="1"/>
    <col min="13847" max="13847" width="13.734375" customWidth="1"/>
    <col min="13848" max="13848" width="13.7890625" customWidth="1"/>
    <col min="13849" max="13851" width="8.89453125"/>
    <col min="13852" max="13852" width="12.5234375" customWidth="1"/>
    <col min="13853" max="13853" width="13.15625" customWidth="1"/>
    <col min="13854" max="14079" width="8.89453125"/>
    <col min="14080" max="14080" width="4.26171875" customWidth="1"/>
    <col min="14081" max="14081" width="18.26171875" customWidth="1"/>
    <col min="14082" max="14082" width="10.26171875" bestFit="1" customWidth="1"/>
    <col min="14083" max="14083" width="11.47265625" customWidth="1"/>
    <col min="14084" max="14085" width="12.5234375" customWidth="1"/>
    <col min="14086" max="14086" width="10.26171875" bestFit="1" customWidth="1"/>
    <col min="14087" max="14092" width="11.26171875" customWidth="1"/>
    <col min="14093" max="14093" width="12.15625" customWidth="1"/>
    <col min="14094" max="14094" width="4.1015625" customWidth="1"/>
    <col min="14095" max="14095" width="4.7890625" customWidth="1"/>
    <col min="14096" max="14096" width="11.26171875" customWidth="1"/>
    <col min="14097" max="14097" width="12" customWidth="1"/>
    <col min="14098" max="14098" width="12.26171875" customWidth="1"/>
    <col min="14099" max="14099" width="11" customWidth="1"/>
    <col min="14100" max="14100" width="10.7890625" customWidth="1"/>
    <col min="14101" max="14101" width="12" customWidth="1"/>
    <col min="14102" max="14102" width="14.7890625" customWidth="1"/>
    <col min="14103" max="14103" width="13.734375" customWidth="1"/>
    <col min="14104" max="14104" width="13.7890625" customWidth="1"/>
    <col min="14105" max="14107" width="8.89453125"/>
    <col min="14108" max="14108" width="12.5234375" customWidth="1"/>
    <col min="14109" max="14109" width="13.15625" customWidth="1"/>
    <col min="14110" max="14335" width="8.89453125"/>
    <col min="14336" max="14336" width="4.26171875" customWidth="1"/>
    <col min="14337" max="14337" width="18.26171875" customWidth="1"/>
    <col min="14338" max="14338" width="10.26171875" bestFit="1" customWidth="1"/>
    <col min="14339" max="14339" width="11.47265625" customWidth="1"/>
    <col min="14340" max="14341" width="12.5234375" customWidth="1"/>
    <col min="14342" max="14342" width="10.26171875" bestFit="1" customWidth="1"/>
    <col min="14343" max="14348" width="11.26171875" customWidth="1"/>
    <col min="14349" max="14349" width="12.15625" customWidth="1"/>
    <col min="14350" max="14350" width="4.1015625" customWidth="1"/>
    <col min="14351" max="14351" width="4.7890625" customWidth="1"/>
    <col min="14352" max="14352" width="11.26171875" customWidth="1"/>
    <col min="14353" max="14353" width="12" customWidth="1"/>
    <col min="14354" max="14354" width="12.26171875" customWidth="1"/>
    <col min="14355" max="14355" width="11" customWidth="1"/>
    <col min="14356" max="14356" width="10.7890625" customWidth="1"/>
    <col min="14357" max="14357" width="12" customWidth="1"/>
    <col min="14358" max="14358" width="14.7890625" customWidth="1"/>
    <col min="14359" max="14359" width="13.734375" customWidth="1"/>
    <col min="14360" max="14360" width="13.7890625" customWidth="1"/>
    <col min="14361" max="14363" width="8.89453125"/>
    <col min="14364" max="14364" width="12.5234375" customWidth="1"/>
    <col min="14365" max="14365" width="13.15625" customWidth="1"/>
    <col min="14366" max="14591" width="8.89453125"/>
    <col min="14592" max="14592" width="4.26171875" customWidth="1"/>
    <col min="14593" max="14593" width="18.26171875" customWidth="1"/>
    <col min="14594" max="14594" width="10.26171875" bestFit="1" customWidth="1"/>
    <col min="14595" max="14595" width="11.47265625" customWidth="1"/>
    <col min="14596" max="14597" width="12.5234375" customWidth="1"/>
    <col min="14598" max="14598" width="10.26171875" bestFit="1" customWidth="1"/>
    <col min="14599" max="14604" width="11.26171875" customWidth="1"/>
    <col min="14605" max="14605" width="12.15625" customWidth="1"/>
    <col min="14606" max="14606" width="4.1015625" customWidth="1"/>
    <col min="14607" max="14607" width="4.7890625" customWidth="1"/>
    <col min="14608" max="14608" width="11.26171875" customWidth="1"/>
    <col min="14609" max="14609" width="12" customWidth="1"/>
    <col min="14610" max="14610" width="12.26171875" customWidth="1"/>
    <col min="14611" max="14611" width="11" customWidth="1"/>
    <col min="14612" max="14612" width="10.7890625" customWidth="1"/>
    <col min="14613" max="14613" width="12" customWidth="1"/>
    <col min="14614" max="14614" width="14.7890625" customWidth="1"/>
    <col min="14615" max="14615" width="13.734375" customWidth="1"/>
    <col min="14616" max="14616" width="13.7890625" customWidth="1"/>
    <col min="14617" max="14619" width="8.89453125"/>
    <col min="14620" max="14620" width="12.5234375" customWidth="1"/>
    <col min="14621" max="14621" width="13.15625" customWidth="1"/>
    <col min="14622" max="14847" width="8.89453125"/>
    <col min="14848" max="14848" width="4.26171875" customWidth="1"/>
    <col min="14849" max="14849" width="18.26171875" customWidth="1"/>
    <col min="14850" max="14850" width="10.26171875" bestFit="1" customWidth="1"/>
    <col min="14851" max="14851" width="11.47265625" customWidth="1"/>
    <col min="14852" max="14853" width="12.5234375" customWidth="1"/>
    <col min="14854" max="14854" width="10.26171875" bestFit="1" customWidth="1"/>
    <col min="14855" max="14860" width="11.26171875" customWidth="1"/>
    <col min="14861" max="14861" width="12.15625" customWidth="1"/>
    <col min="14862" max="14862" width="4.1015625" customWidth="1"/>
    <col min="14863" max="14863" width="4.7890625" customWidth="1"/>
    <col min="14864" max="14864" width="11.26171875" customWidth="1"/>
    <col min="14865" max="14865" width="12" customWidth="1"/>
    <col min="14866" max="14866" width="12.26171875" customWidth="1"/>
    <col min="14867" max="14867" width="11" customWidth="1"/>
    <col min="14868" max="14868" width="10.7890625" customWidth="1"/>
    <col min="14869" max="14869" width="12" customWidth="1"/>
    <col min="14870" max="14870" width="14.7890625" customWidth="1"/>
    <col min="14871" max="14871" width="13.734375" customWidth="1"/>
    <col min="14872" max="14872" width="13.7890625" customWidth="1"/>
    <col min="14873" max="14875" width="8.89453125"/>
    <col min="14876" max="14876" width="12.5234375" customWidth="1"/>
    <col min="14877" max="14877" width="13.15625" customWidth="1"/>
    <col min="14878" max="15103" width="8.89453125"/>
    <col min="15104" max="15104" width="4.26171875" customWidth="1"/>
    <col min="15105" max="15105" width="18.26171875" customWidth="1"/>
    <col min="15106" max="15106" width="10.26171875" bestFit="1" customWidth="1"/>
    <col min="15107" max="15107" width="11.47265625" customWidth="1"/>
    <col min="15108" max="15109" width="12.5234375" customWidth="1"/>
    <col min="15110" max="15110" width="10.26171875" bestFit="1" customWidth="1"/>
    <col min="15111" max="15116" width="11.26171875" customWidth="1"/>
    <col min="15117" max="15117" width="12.15625" customWidth="1"/>
    <col min="15118" max="15118" width="4.1015625" customWidth="1"/>
    <col min="15119" max="15119" width="4.7890625" customWidth="1"/>
    <col min="15120" max="15120" width="11.26171875" customWidth="1"/>
    <col min="15121" max="15121" width="12" customWidth="1"/>
    <col min="15122" max="15122" width="12.26171875" customWidth="1"/>
    <col min="15123" max="15123" width="11" customWidth="1"/>
    <col min="15124" max="15124" width="10.7890625" customWidth="1"/>
    <col min="15125" max="15125" width="12" customWidth="1"/>
    <col min="15126" max="15126" width="14.7890625" customWidth="1"/>
    <col min="15127" max="15127" width="13.734375" customWidth="1"/>
    <col min="15128" max="15128" width="13.7890625" customWidth="1"/>
    <col min="15129" max="15131" width="8.89453125"/>
    <col min="15132" max="15132" width="12.5234375" customWidth="1"/>
    <col min="15133" max="15133" width="13.15625" customWidth="1"/>
    <col min="15134" max="15359" width="8.89453125"/>
    <col min="15360" max="15360" width="4.26171875" customWidth="1"/>
    <col min="15361" max="15361" width="18.26171875" customWidth="1"/>
    <col min="15362" max="15362" width="10.26171875" bestFit="1" customWidth="1"/>
    <col min="15363" max="15363" width="11.47265625" customWidth="1"/>
    <col min="15364" max="15365" width="12.5234375" customWidth="1"/>
    <col min="15366" max="15366" width="10.26171875" bestFit="1" customWidth="1"/>
    <col min="15367" max="15372" width="11.26171875" customWidth="1"/>
    <col min="15373" max="15373" width="12.15625" customWidth="1"/>
    <col min="15374" max="15374" width="4.1015625" customWidth="1"/>
    <col min="15375" max="15375" width="4.7890625" customWidth="1"/>
    <col min="15376" max="15376" width="11.26171875" customWidth="1"/>
    <col min="15377" max="15377" width="12" customWidth="1"/>
    <col min="15378" max="15378" width="12.26171875" customWidth="1"/>
    <col min="15379" max="15379" width="11" customWidth="1"/>
    <col min="15380" max="15380" width="10.7890625" customWidth="1"/>
    <col min="15381" max="15381" width="12" customWidth="1"/>
    <col min="15382" max="15382" width="14.7890625" customWidth="1"/>
    <col min="15383" max="15383" width="13.734375" customWidth="1"/>
    <col min="15384" max="15384" width="13.7890625" customWidth="1"/>
    <col min="15385" max="15387" width="8.89453125"/>
    <col min="15388" max="15388" width="12.5234375" customWidth="1"/>
    <col min="15389" max="15389" width="13.15625" customWidth="1"/>
    <col min="15390" max="15615" width="8.89453125"/>
    <col min="15616" max="15616" width="4.26171875" customWidth="1"/>
    <col min="15617" max="15617" width="18.26171875" customWidth="1"/>
    <col min="15618" max="15618" width="10.26171875" bestFit="1" customWidth="1"/>
    <col min="15619" max="15619" width="11.47265625" customWidth="1"/>
    <col min="15620" max="15621" width="12.5234375" customWidth="1"/>
    <col min="15622" max="15622" width="10.26171875" bestFit="1" customWidth="1"/>
    <col min="15623" max="15628" width="11.26171875" customWidth="1"/>
    <col min="15629" max="15629" width="12.15625" customWidth="1"/>
    <col min="15630" max="15630" width="4.1015625" customWidth="1"/>
    <col min="15631" max="15631" width="4.7890625" customWidth="1"/>
    <col min="15632" max="15632" width="11.26171875" customWidth="1"/>
    <col min="15633" max="15633" width="12" customWidth="1"/>
    <col min="15634" max="15634" width="12.26171875" customWidth="1"/>
    <col min="15635" max="15635" width="11" customWidth="1"/>
    <col min="15636" max="15636" width="10.7890625" customWidth="1"/>
    <col min="15637" max="15637" width="12" customWidth="1"/>
    <col min="15638" max="15638" width="14.7890625" customWidth="1"/>
    <col min="15639" max="15639" width="13.734375" customWidth="1"/>
    <col min="15640" max="15640" width="13.7890625" customWidth="1"/>
    <col min="15641" max="15643" width="8.89453125"/>
    <col min="15644" max="15644" width="12.5234375" customWidth="1"/>
    <col min="15645" max="15645" width="13.15625" customWidth="1"/>
    <col min="15646" max="15871" width="8.89453125"/>
    <col min="15872" max="15872" width="4.26171875" customWidth="1"/>
    <col min="15873" max="15873" width="18.26171875" customWidth="1"/>
    <col min="15874" max="15874" width="10.26171875" bestFit="1" customWidth="1"/>
    <col min="15875" max="15875" width="11.47265625" customWidth="1"/>
    <col min="15876" max="15877" width="12.5234375" customWidth="1"/>
    <col min="15878" max="15878" width="10.26171875" bestFit="1" customWidth="1"/>
    <col min="15879" max="15884" width="11.26171875" customWidth="1"/>
    <col min="15885" max="15885" width="12.15625" customWidth="1"/>
    <col min="15886" max="15886" width="4.1015625" customWidth="1"/>
    <col min="15887" max="15887" width="4.7890625" customWidth="1"/>
    <col min="15888" max="15888" width="11.26171875" customWidth="1"/>
    <col min="15889" max="15889" width="12" customWidth="1"/>
    <col min="15890" max="15890" width="12.26171875" customWidth="1"/>
    <col min="15891" max="15891" width="11" customWidth="1"/>
    <col min="15892" max="15892" width="10.7890625" customWidth="1"/>
    <col min="15893" max="15893" width="12" customWidth="1"/>
    <col min="15894" max="15894" width="14.7890625" customWidth="1"/>
    <col min="15895" max="15895" width="13.734375" customWidth="1"/>
    <col min="15896" max="15896" width="13.7890625" customWidth="1"/>
    <col min="15897" max="15899" width="8.89453125"/>
    <col min="15900" max="15900" width="12.5234375" customWidth="1"/>
    <col min="15901" max="15901" width="13.15625" customWidth="1"/>
    <col min="15902" max="16127" width="8.89453125"/>
    <col min="16128" max="16128" width="4.26171875" customWidth="1"/>
    <col min="16129" max="16129" width="18.26171875" customWidth="1"/>
    <col min="16130" max="16130" width="10.26171875" bestFit="1" customWidth="1"/>
    <col min="16131" max="16131" width="11.47265625" customWidth="1"/>
    <col min="16132" max="16133" width="12.5234375" customWidth="1"/>
    <col min="16134" max="16134" width="10.26171875" bestFit="1" customWidth="1"/>
    <col min="16135" max="16140" width="11.26171875" customWidth="1"/>
    <col min="16141" max="16141" width="12.15625" customWidth="1"/>
    <col min="16142" max="16142" width="4.1015625" customWidth="1"/>
    <col min="16143" max="16143" width="4.7890625" customWidth="1"/>
    <col min="16144" max="16144" width="11.26171875" customWidth="1"/>
    <col min="16145" max="16145" width="12" customWidth="1"/>
    <col min="16146" max="16146" width="12.26171875" customWidth="1"/>
    <col min="16147" max="16147" width="11" customWidth="1"/>
    <col min="16148" max="16148" width="10.7890625" customWidth="1"/>
    <col min="16149" max="16149" width="12" customWidth="1"/>
    <col min="16150" max="16150" width="14.7890625" customWidth="1"/>
    <col min="16151" max="16151" width="13.734375" customWidth="1"/>
    <col min="16152" max="16152" width="13.7890625" customWidth="1"/>
    <col min="16153" max="16155" width="8.89453125"/>
    <col min="16156" max="16156" width="12.5234375" customWidth="1"/>
    <col min="16157" max="16157" width="13.15625" customWidth="1"/>
    <col min="16158" max="16384" width="8.89453125"/>
  </cols>
  <sheetData>
    <row r="1" spans="1:9" ht="14.5" customHeight="1" x14ac:dyDescent="0.55000000000000004"/>
    <row r="2" spans="1:9" ht="20.5" customHeight="1" x14ac:dyDescent="0.6">
      <c r="A2" s="17" t="s">
        <v>209</v>
      </c>
      <c r="B2" s="18"/>
      <c r="C2" s="18"/>
      <c r="D2" s="18"/>
      <c r="E2" s="18"/>
      <c r="F2" s="18"/>
      <c r="G2" s="18"/>
      <c r="H2" s="18"/>
      <c r="I2" s="18"/>
    </row>
    <row r="3" spans="1:9" ht="14.5" customHeight="1" x14ac:dyDescent="0.55000000000000004"/>
    <row r="4" spans="1:9" ht="20.399999999999999" customHeight="1" x14ac:dyDescent="0.55000000000000004">
      <c r="A4" s="319" t="s">
        <v>217</v>
      </c>
      <c r="B4" s="318" t="s">
        <v>211</v>
      </c>
      <c r="C4" s="318"/>
      <c r="D4" s="314">
        <f>DATE(2020,3,12)</f>
        <v>43902</v>
      </c>
      <c r="E4" s="315"/>
    </row>
    <row r="5" spans="1:9" ht="28.75" customHeight="1" x14ac:dyDescent="0.55000000000000004">
      <c r="A5" s="319"/>
      <c r="B5" s="312" t="s">
        <v>213</v>
      </c>
      <c r="C5" s="312"/>
      <c r="D5" s="316">
        <f>+D4+5</f>
        <v>43907</v>
      </c>
      <c r="E5" s="317"/>
    </row>
    <row r="6" spans="1:9" ht="14.5" customHeight="1" x14ac:dyDescent="0.55000000000000004">
      <c r="A6" s="319"/>
      <c r="B6" s="312" t="s">
        <v>214</v>
      </c>
      <c r="C6" s="312"/>
      <c r="D6" s="328">
        <v>97.5</v>
      </c>
      <c r="E6" s="329"/>
    </row>
    <row r="7" spans="1:9" ht="14.5" customHeight="1" x14ac:dyDescent="0.55000000000000004">
      <c r="A7" s="319"/>
      <c r="B7" s="312" t="s">
        <v>126</v>
      </c>
      <c r="C7" s="312"/>
      <c r="D7" s="330">
        <v>6.25E-2</v>
      </c>
      <c r="E7" s="317"/>
      <c r="I7" s="23" t="s">
        <v>73</v>
      </c>
    </row>
    <row r="8" spans="1:9" ht="14.5" customHeight="1" x14ac:dyDescent="0.55000000000000004">
      <c r="A8" s="319"/>
      <c r="B8" s="312" t="s">
        <v>215</v>
      </c>
      <c r="C8" s="312"/>
      <c r="D8" s="331" t="s">
        <v>316</v>
      </c>
      <c r="E8" s="317"/>
      <c r="I8" s="25" t="s">
        <v>75</v>
      </c>
    </row>
    <row r="9" spans="1:9" ht="26.4" customHeight="1" x14ac:dyDescent="0.55000000000000004">
      <c r="A9" s="319"/>
      <c r="B9" s="312" t="s">
        <v>223</v>
      </c>
      <c r="C9" s="312"/>
      <c r="D9" s="321">
        <f>+D7*D10/2</f>
        <v>31.25</v>
      </c>
      <c r="E9" s="322"/>
      <c r="I9" s="25"/>
    </row>
    <row r="10" spans="1:9" ht="14.5" customHeight="1" x14ac:dyDescent="0.55000000000000004">
      <c r="A10" s="319"/>
      <c r="B10" s="312" t="s">
        <v>135</v>
      </c>
      <c r="C10" s="312"/>
      <c r="D10" s="332">
        <v>1000</v>
      </c>
      <c r="E10" s="317"/>
      <c r="I10" s="25" t="s">
        <v>79</v>
      </c>
    </row>
    <row r="11" spans="1:9" ht="14.5" customHeight="1" x14ac:dyDescent="0.55000000000000004">
      <c r="A11" s="319"/>
      <c r="B11" s="312" t="s">
        <v>216</v>
      </c>
      <c r="C11" s="312"/>
      <c r="D11" s="178">
        <v>360</v>
      </c>
      <c r="E11" s="179" t="s">
        <v>83</v>
      </c>
      <c r="I11" s="25" t="s">
        <v>81</v>
      </c>
    </row>
    <row r="12" spans="1:9" ht="14.5" customHeight="1" x14ac:dyDescent="0.55000000000000004">
      <c r="A12" s="23" t="s">
        <v>84</v>
      </c>
      <c r="B12" s="313"/>
      <c r="C12" s="313"/>
    </row>
    <row r="13" spans="1:9" ht="18" customHeight="1" x14ac:dyDescent="0.55000000000000004">
      <c r="A13" s="320" t="s">
        <v>218</v>
      </c>
      <c r="B13" s="325" t="s">
        <v>219</v>
      </c>
      <c r="C13" s="326"/>
      <c r="D13" s="184">
        <f>+D6*10</f>
        <v>975</v>
      </c>
      <c r="E13" s="186"/>
      <c r="F13" t="s">
        <v>323</v>
      </c>
    </row>
    <row r="14" spans="1:9" ht="18" customHeight="1" x14ac:dyDescent="0.55000000000000004">
      <c r="A14" s="320"/>
      <c r="B14" s="325" t="s">
        <v>220</v>
      </c>
      <c r="C14" s="326"/>
      <c r="D14" s="182">
        <f>+(D17/D11)*(D7*D10)</f>
        <v>26.5625</v>
      </c>
      <c r="E14" s="183"/>
      <c r="F14" t="s">
        <v>322</v>
      </c>
    </row>
    <row r="15" spans="1:9" ht="18" customHeight="1" x14ac:dyDescent="0.55000000000000004">
      <c r="A15" s="320"/>
      <c r="B15" s="325" t="s">
        <v>221</v>
      </c>
      <c r="C15" s="327"/>
      <c r="D15" s="185">
        <f>+D14+D13</f>
        <v>1001.5625</v>
      </c>
      <c r="E15" s="186"/>
    </row>
    <row r="16" spans="1:9" ht="18" customHeight="1" thickBot="1" x14ac:dyDescent="0.6">
      <c r="A16" s="181"/>
      <c r="B16" s="181"/>
      <c r="C16" s="181"/>
      <c r="D16" s="181"/>
      <c r="E16" s="181"/>
      <c r="F16" s="181"/>
      <c r="G16" s="181"/>
      <c r="H16" s="181"/>
    </row>
    <row r="17" spans="1:9" ht="14.5" customHeight="1" thickBot="1" x14ac:dyDescent="0.6">
      <c r="B17" s="187" t="s">
        <v>222</v>
      </c>
      <c r="C17" s="159"/>
      <c r="D17" s="188">
        <f>SUM(B23:G23)</f>
        <v>153</v>
      </c>
      <c r="F17" s="29"/>
      <c r="G17" s="29" t="s">
        <v>319</v>
      </c>
    </row>
    <row r="18" spans="1:9" ht="14.5" customHeight="1" x14ac:dyDescent="0.55000000000000004"/>
    <row r="19" spans="1:9" ht="14.5" customHeight="1" x14ac:dyDescent="0.55000000000000004">
      <c r="B19" s="30">
        <f>+$D$7*$D$10/2</f>
        <v>31.25</v>
      </c>
      <c r="I19" s="30">
        <f>+$D$7*$D$10/2</f>
        <v>31.25</v>
      </c>
    </row>
    <row r="20" spans="1:9" ht="14.5" customHeight="1" x14ac:dyDescent="0.55000000000000004">
      <c r="B20" s="9"/>
      <c r="C20" s="9"/>
      <c r="D20" s="9"/>
      <c r="E20" s="9"/>
      <c r="F20" s="9"/>
      <c r="G20" s="31"/>
      <c r="H20" s="31"/>
    </row>
    <row r="21" spans="1:9" ht="14.5" customHeight="1" x14ac:dyDescent="0.55000000000000004">
      <c r="B21" s="32" t="s">
        <v>317</v>
      </c>
      <c r="C21" s="33" t="s">
        <v>91</v>
      </c>
      <c r="D21" s="33" t="s">
        <v>92</v>
      </c>
      <c r="E21" s="33" t="s">
        <v>93</v>
      </c>
      <c r="F21" s="33" t="s">
        <v>94</v>
      </c>
      <c r="G21" s="33" t="s">
        <v>318</v>
      </c>
      <c r="I21" s="32" t="s">
        <v>95</v>
      </c>
    </row>
    <row r="22" spans="1:9" ht="14.5" customHeight="1" x14ac:dyDescent="0.55000000000000004"/>
    <row r="23" spans="1:9" ht="22.75" customHeight="1" x14ac:dyDescent="0.55000000000000004">
      <c r="A23" s="34" t="s">
        <v>96</v>
      </c>
      <c r="B23" s="35">
        <v>16</v>
      </c>
      <c r="C23" s="35">
        <v>30</v>
      </c>
      <c r="D23" s="35">
        <v>30</v>
      </c>
      <c r="E23" s="35">
        <v>30</v>
      </c>
      <c r="F23" s="35">
        <v>30</v>
      </c>
      <c r="G23" s="287">
        <v>17</v>
      </c>
    </row>
    <row r="24" spans="1:9" ht="14.5" customHeight="1" x14ac:dyDescent="0.55000000000000004">
      <c r="A24" s="34"/>
      <c r="B24" s="35"/>
      <c r="C24" s="35"/>
      <c r="D24" s="35"/>
      <c r="E24" s="35"/>
      <c r="F24" s="35"/>
      <c r="G24" s="36"/>
    </row>
    <row r="25" spans="1:9" ht="14.5" customHeight="1" x14ac:dyDescent="0.55000000000000004"/>
    <row r="26" spans="1:9" ht="14.5" customHeight="1" x14ac:dyDescent="0.55000000000000004">
      <c r="F26" t="s">
        <v>227</v>
      </c>
    </row>
    <row r="27" spans="1:9" x14ac:dyDescent="0.55000000000000004">
      <c r="D27" s="323" t="s">
        <v>321</v>
      </c>
      <c r="E27" s="324"/>
    </row>
    <row r="29" spans="1:9" x14ac:dyDescent="0.55000000000000004">
      <c r="H29" s="13"/>
      <c r="I29" s="13" t="s">
        <v>320</v>
      </c>
    </row>
    <row r="31" spans="1:9" x14ac:dyDescent="0.55000000000000004">
      <c r="G31" s="6"/>
    </row>
  </sheetData>
  <mergeCells count="22">
    <mergeCell ref="D27:E27"/>
    <mergeCell ref="D10:E10"/>
    <mergeCell ref="A13:A15"/>
    <mergeCell ref="B13:C13"/>
    <mergeCell ref="B14:C14"/>
    <mergeCell ref="B15:C15"/>
    <mergeCell ref="B11:C11"/>
    <mergeCell ref="B12:C12"/>
    <mergeCell ref="A4:A11"/>
    <mergeCell ref="B4:C4"/>
    <mergeCell ref="D4:E4"/>
    <mergeCell ref="B5:C5"/>
    <mergeCell ref="D5:E5"/>
    <mergeCell ref="B6:C6"/>
    <mergeCell ref="D6:E6"/>
    <mergeCell ref="B7:C7"/>
    <mergeCell ref="B10:C10"/>
    <mergeCell ref="D7:E7"/>
    <mergeCell ref="B8:C8"/>
    <mergeCell ref="D8:E8"/>
    <mergeCell ref="B9:C9"/>
    <mergeCell ref="D9:E9"/>
  </mergeCells>
  <phoneticPr fontId="24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ACBF3B6D8E13419D685A6DDF0C7BC0" ma:contentTypeVersion="14" ma:contentTypeDescription="Create a new document." ma:contentTypeScope="" ma:versionID="d396eb0b67e63f7b659e13489b14c9fe">
  <xsd:schema xmlns:xsd="http://www.w3.org/2001/XMLSchema" xmlns:xs="http://www.w3.org/2001/XMLSchema" xmlns:p="http://schemas.microsoft.com/office/2006/metadata/properties" xmlns:ns3="9c2f2024-216a-4521-88b0-e6135b761467" xmlns:ns4="eee6dc19-a619-4acf-aa2a-4e708a5587dc" targetNamespace="http://schemas.microsoft.com/office/2006/metadata/properties" ma:root="true" ma:fieldsID="e053cdc1c3e9996a6e110689b4e1d0e6" ns3:_="" ns4:_="">
    <xsd:import namespace="9c2f2024-216a-4521-88b0-e6135b761467"/>
    <xsd:import namespace="eee6dc19-a619-4acf-aa2a-4e708a5587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f2024-216a-4521-88b0-e6135b761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6dc19-a619-4acf-aa2a-4e708a5587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CDEA5-77E7-4B79-A739-DA6CB7108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f2024-216a-4521-88b0-e6135b761467"/>
    <ds:schemaRef ds:uri="eee6dc19-a619-4acf-aa2a-4e708a558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7A7C0B-B611-4DC7-B4B0-D2DA3A1E7CC5}">
  <ds:schemaRefs>
    <ds:schemaRef ds:uri="http://purl.org/dc/dcmitype/"/>
    <ds:schemaRef ds:uri="eee6dc19-a619-4acf-aa2a-4e708a558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c2f2024-216a-4521-88b0-e6135b761467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A4EB5F5-016C-4B73-A9A3-EBBBC3C9B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Fig. 11.1</vt:lpstr>
      <vt:lpstr>Fig. 11.2</vt:lpstr>
      <vt:lpstr>Fig. 11.3</vt:lpstr>
      <vt:lpstr>Fig. 11.4</vt:lpstr>
      <vt:lpstr>Fig. 11.5</vt:lpstr>
      <vt:lpstr>Fig. 11.6</vt:lpstr>
      <vt:lpstr>Fig. 11.7</vt:lpstr>
      <vt:lpstr>Fig. 11.8</vt:lpstr>
      <vt:lpstr>Fig. 11.9</vt:lpstr>
      <vt:lpstr>Fig. 11.10</vt:lpstr>
      <vt:lpstr>Fig. 11.11</vt:lpstr>
      <vt:lpstr>Fig. 11.12</vt:lpstr>
      <vt:lpstr>NO NEED TO 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stuart shelly</cp:lastModifiedBy>
  <dcterms:created xsi:type="dcterms:W3CDTF">2019-03-20T20:08:09Z</dcterms:created>
  <dcterms:modified xsi:type="dcterms:W3CDTF">2022-10-25T01:57:40Z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0x0101002DACBF3B6D8E13419D685A6DDF0C7BC0</vt:lpwstr>
  </property>
</Properties>
</file>