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Text Book project/Excel Spreadsheets/"/>
    </mc:Choice>
  </mc:AlternateContent>
  <xr:revisionPtr revIDLastSave="38" documentId="8_{1929466D-744B-4E16-BFAF-AF084CB6AE57}" xr6:coauthVersionLast="40" xr6:coauthVersionMax="40" xr10:uidLastSave="{F2F06451-137F-4D88-B830-129A52BEAC4A}"/>
  <bookViews>
    <workbookView xWindow="0" yWindow="1800" windowWidth="16413" windowHeight="7240" firstSheet="5" activeTab="10" xr2:uid="{6698E664-8C9C-4C76-8C2F-C3AF11A78B20}"/>
  </bookViews>
  <sheets>
    <sheet name="Revene Assump" sheetId="4" r:id="rId1"/>
    <sheet name="Cost Assump" sheetId="5" r:id="rId2"/>
    <sheet name="Working Capital Assump" sheetId="7" r:id="rId3"/>
    <sheet name="Cash Flow Assump" sheetId="8" r:id="rId4"/>
    <sheet name="Debt Schedule" sheetId="9" r:id="rId5"/>
    <sheet name="Tax Assump" sheetId="10" r:id="rId6"/>
    <sheet name="Summary" sheetId="14" r:id="rId7"/>
    <sheet name="Proj. Balance Sheet" sheetId="2" r:id="rId8"/>
    <sheet name="Proj. Income Stat" sheetId="1" r:id="rId9"/>
    <sheet name="Proj. Cash Flow Stat" sheetId="6" r:id="rId10"/>
    <sheet name="Proj. Ratio Anal." sheetId="13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4" l="1"/>
  <c r="F19" i="14"/>
  <c r="D19" i="14"/>
  <c r="D18" i="14"/>
  <c r="F26" i="13"/>
  <c r="F25" i="13"/>
  <c r="F24" i="13"/>
  <c r="F23" i="13"/>
  <c r="D24" i="13"/>
  <c r="D23" i="13"/>
  <c r="F20" i="13"/>
  <c r="F19" i="13"/>
  <c r="F16" i="13"/>
  <c r="F15" i="13"/>
  <c r="F23" i="14" s="1"/>
  <c r="F14" i="13"/>
  <c r="F22" i="14" s="1"/>
  <c r="F13" i="13"/>
  <c r="D15" i="13"/>
  <c r="D23" i="14" s="1"/>
  <c r="D14" i="13"/>
  <c r="D22" i="14" s="1"/>
  <c r="D13" i="13"/>
  <c r="F7" i="13"/>
  <c r="F8" i="13"/>
  <c r="F9" i="13"/>
  <c r="F10" i="13"/>
  <c r="D8" i="13"/>
  <c r="D7" i="13"/>
  <c r="D16" i="13" l="1"/>
  <c r="H42" i="2"/>
  <c r="I42" i="2" s="1"/>
  <c r="H41" i="2"/>
  <c r="I32" i="6"/>
  <c r="J32" i="6"/>
  <c r="K32" i="6"/>
  <c r="L32" i="6"/>
  <c r="H32" i="6"/>
  <c r="I31" i="6"/>
  <c r="J31" i="6"/>
  <c r="J34" i="6" s="1"/>
  <c r="K31" i="6"/>
  <c r="L31" i="6"/>
  <c r="L34" i="6" s="1"/>
  <c r="H31" i="6"/>
  <c r="I32" i="2"/>
  <c r="J32" i="2"/>
  <c r="K32" i="2"/>
  <c r="L32" i="2"/>
  <c r="I29" i="9"/>
  <c r="J29" i="9"/>
  <c r="K29" i="9"/>
  <c r="L29" i="9"/>
  <c r="H29" i="9"/>
  <c r="D23" i="9"/>
  <c r="F23" i="9"/>
  <c r="D14" i="9"/>
  <c r="F14" i="9"/>
  <c r="H14" i="9" s="1"/>
  <c r="I20" i="9"/>
  <c r="J20" i="9"/>
  <c r="K20" i="9"/>
  <c r="L20" i="9"/>
  <c r="H20" i="9"/>
  <c r="H6" i="9"/>
  <c r="H12" i="9" s="1"/>
  <c r="F34" i="6"/>
  <c r="F26" i="6"/>
  <c r="F19" i="6"/>
  <c r="F10" i="6"/>
  <c r="F21" i="6" l="1"/>
  <c r="F28" i="6" s="1"/>
  <c r="F36" i="6" s="1"/>
  <c r="F40" i="6" s="1"/>
  <c r="H38" i="6" s="1"/>
  <c r="I6" i="9"/>
  <c r="J6" i="9" s="1"/>
  <c r="H25" i="9"/>
  <c r="H34" i="6"/>
  <c r="H21" i="9"/>
  <c r="K34" i="6"/>
  <c r="I21" i="9"/>
  <c r="I34" i="6"/>
  <c r="D28" i="9"/>
  <c r="H32" i="2"/>
  <c r="F28" i="9"/>
  <c r="H16" i="9"/>
  <c r="H17" i="9" s="1"/>
  <c r="J42" i="2"/>
  <c r="K42" i="2" s="1"/>
  <c r="L42" i="2" s="1"/>
  <c r="H26" i="9"/>
  <c r="I41" i="2"/>
  <c r="J41" i="2" s="1"/>
  <c r="K41" i="2" s="1"/>
  <c r="L41" i="2" s="1"/>
  <c r="H23" i="9"/>
  <c r="K6" i="9"/>
  <c r="K21" i="9" s="1"/>
  <c r="J12" i="9"/>
  <c r="J16" i="9" s="1"/>
  <c r="J17" i="9" s="1"/>
  <c r="J21" i="9"/>
  <c r="I12" i="9"/>
  <c r="I16" i="9" s="1"/>
  <c r="I17" i="9" s="1"/>
  <c r="H30" i="9" l="1"/>
  <c r="H28" i="9"/>
  <c r="I23" i="9"/>
  <c r="H35" i="2"/>
  <c r="I25" i="9"/>
  <c r="H31" i="9"/>
  <c r="K12" i="9"/>
  <c r="K16" i="9" s="1"/>
  <c r="K17" i="9" s="1"/>
  <c r="L6" i="9"/>
  <c r="H19" i="14" l="1"/>
  <c r="J25" i="9"/>
  <c r="I28" i="9"/>
  <c r="J23" i="9"/>
  <c r="I35" i="2"/>
  <c r="H32" i="9"/>
  <c r="H39" i="1"/>
  <c r="H12" i="14" s="1"/>
  <c r="I30" i="9"/>
  <c r="I26" i="9"/>
  <c r="I31" i="9" s="1"/>
  <c r="L12" i="9"/>
  <c r="L16" i="9" s="1"/>
  <c r="L17" i="9" s="1"/>
  <c r="L21" i="9"/>
  <c r="I19" i="14" l="1"/>
  <c r="J26" i="9"/>
  <c r="J31" i="9" s="1"/>
  <c r="J30" i="9"/>
  <c r="I39" i="1"/>
  <c r="I12" i="14" s="1"/>
  <c r="I32" i="9"/>
  <c r="K25" i="9"/>
  <c r="K23" i="9"/>
  <c r="J35" i="2"/>
  <c r="J28" i="9"/>
  <c r="J19" i="14" l="1"/>
  <c r="J32" i="9"/>
  <c r="J39" i="1"/>
  <c r="J12" i="14" s="1"/>
  <c r="L23" i="9"/>
  <c r="K35" i="2"/>
  <c r="L25" i="9"/>
  <c r="K28" i="9"/>
  <c r="K26" i="9"/>
  <c r="K31" i="9" s="1"/>
  <c r="K30" i="9"/>
  <c r="K19" i="14" l="1"/>
  <c r="L30" i="9"/>
  <c r="L26" i="9"/>
  <c r="L31" i="9" s="1"/>
  <c r="K32" i="9"/>
  <c r="K39" i="1"/>
  <c r="K12" i="14" s="1"/>
  <c r="L28" i="9"/>
  <c r="L35" i="2"/>
  <c r="L19" i="14" l="1"/>
  <c r="L39" i="1"/>
  <c r="L12" i="14" s="1"/>
  <c r="L32" i="9"/>
  <c r="H15" i="5" l="1"/>
  <c r="H14" i="5"/>
  <c r="H13" i="5"/>
  <c r="B15" i="5"/>
  <c r="B14" i="5"/>
  <c r="B13" i="5"/>
  <c r="I21" i="5"/>
  <c r="J21" i="5" s="1"/>
  <c r="K21" i="5" s="1"/>
  <c r="L21" i="5" s="1"/>
  <c r="I20" i="5"/>
  <c r="J20" i="5" s="1"/>
  <c r="K20" i="5" s="1"/>
  <c r="L20" i="5" s="1"/>
  <c r="I19" i="5"/>
  <c r="J19" i="5" s="1"/>
  <c r="K19" i="5" s="1"/>
  <c r="L19" i="5" s="1"/>
  <c r="F19" i="5"/>
  <c r="I9" i="5"/>
  <c r="I15" i="5" s="1"/>
  <c r="F9" i="5"/>
  <c r="F15" i="5" s="1"/>
  <c r="D9" i="5"/>
  <c r="D15" i="5" s="1"/>
  <c r="B9" i="5"/>
  <c r="I8" i="5"/>
  <c r="J8" i="5" s="1"/>
  <c r="K8" i="5" s="1"/>
  <c r="L8" i="5" s="1"/>
  <c r="L14" i="5" s="1"/>
  <c r="F8" i="5"/>
  <c r="F14" i="5" s="1"/>
  <c r="D8" i="5"/>
  <c r="D14" i="5" s="1"/>
  <c r="B8" i="5"/>
  <c r="I7" i="5"/>
  <c r="J7" i="5" s="1"/>
  <c r="K7" i="5" s="1"/>
  <c r="L7" i="5" s="1"/>
  <c r="L13" i="5" s="1"/>
  <c r="F7" i="5"/>
  <c r="F13" i="5" s="1"/>
  <c r="D7" i="5"/>
  <c r="D13" i="5" s="1"/>
  <c r="B7" i="5"/>
  <c r="F35" i="4"/>
  <c r="F34" i="4"/>
  <c r="F33" i="4"/>
  <c r="F29" i="4"/>
  <c r="H29" i="4" s="1"/>
  <c r="D29" i="4"/>
  <c r="F28" i="4"/>
  <c r="D28" i="4"/>
  <c r="F27" i="4"/>
  <c r="H27" i="4" s="1"/>
  <c r="I27" i="4" s="1"/>
  <c r="J27" i="4" s="1"/>
  <c r="K27" i="4" s="1"/>
  <c r="L27" i="4" s="1"/>
  <c r="D27" i="4"/>
  <c r="I23" i="4"/>
  <c r="J23" i="4" s="1"/>
  <c r="K23" i="4" s="1"/>
  <c r="L21" i="4"/>
  <c r="F18" i="4"/>
  <c r="D18" i="4"/>
  <c r="H17" i="4"/>
  <c r="I17" i="4" s="1"/>
  <c r="J17" i="4" s="1"/>
  <c r="K17" i="4" s="1"/>
  <c r="L17" i="4" s="1"/>
  <c r="H16" i="4"/>
  <c r="I16" i="4" s="1"/>
  <c r="J16" i="4" s="1"/>
  <c r="K16" i="4" s="1"/>
  <c r="L16" i="4" s="1"/>
  <c r="H15" i="4"/>
  <c r="F11" i="4"/>
  <c r="F10" i="4"/>
  <c r="F9" i="4"/>
  <c r="F33" i="2"/>
  <c r="D33" i="2"/>
  <c r="D38" i="2" s="1"/>
  <c r="D18" i="2"/>
  <c r="D20" i="2" s="1"/>
  <c r="F18" i="2"/>
  <c r="D12" i="2"/>
  <c r="F19" i="1"/>
  <c r="F10" i="5" s="1"/>
  <c r="F16" i="5" s="1"/>
  <c r="D19" i="1"/>
  <c r="H25" i="1"/>
  <c r="F28" i="1"/>
  <c r="D28" i="1"/>
  <c r="B18" i="1"/>
  <c r="B17" i="1"/>
  <c r="B16" i="1"/>
  <c r="F12" i="1"/>
  <c r="F24" i="5" s="1"/>
  <c r="D12" i="1"/>
  <c r="F22" i="5" l="1"/>
  <c r="D21" i="5"/>
  <c r="D6" i="14"/>
  <c r="D10" i="5"/>
  <c r="D16" i="5" s="1"/>
  <c r="F6" i="14"/>
  <c r="D22" i="5"/>
  <c r="F20" i="5"/>
  <c r="D24" i="5"/>
  <c r="D25" i="7"/>
  <c r="D22" i="7"/>
  <c r="F12" i="4"/>
  <c r="F7" i="8"/>
  <c r="H7" i="8" s="1"/>
  <c r="I7" i="8" s="1"/>
  <c r="J7" i="8" s="1"/>
  <c r="K7" i="8" s="1"/>
  <c r="L7" i="8" s="1"/>
  <c r="F22" i="7"/>
  <c r="H22" i="7" s="1"/>
  <c r="I22" i="7" s="1"/>
  <c r="J22" i="7" s="1"/>
  <c r="K22" i="7" s="1"/>
  <c r="L22" i="7" s="1"/>
  <c r="F7" i="7"/>
  <c r="F8" i="7" s="1"/>
  <c r="H8" i="7" s="1"/>
  <c r="F25" i="7"/>
  <c r="H25" i="7" s="1"/>
  <c r="I25" i="7" s="1"/>
  <c r="J25" i="7" s="1"/>
  <c r="K25" i="7" s="1"/>
  <c r="L25" i="7" s="1"/>
  <c r="F15" i="7"/>
  <c r="H15" i="7" s="1"/>
  <c r="I15" i="7" s="1"/>
  <c r="J15" i="7" s="1"/>
  <c r="K15" i="7" s="1"/>
  <c r="L15" i="7" s="1"/>
  <c r="F10" i="8"/>
  <c r="H10" i="8" s="1"/>
  <c r="I10" i="8" s="1"/>
  <c r="J10" i="8" s="1"/>
  <c r="K10" i="8" s="1"/>
  <c r="L10" i="8" s="1"/>
  <c r="F18" i="7"/>
  <c r="F19" i="7" s="1"/>
  <c r="H19" i="7" s="1"/>
  <c r="F11" i="7"/>
  <c r="F12" i="7" s="1"/>
  <c r="H12" i="7" s="1"/>
  <c r="D20" i="5"/>
  <c r="F21" i="5"/>
  <c r="H18" i="4"/>
  <c r="I29" i="4"/>
  <c r="J29" i="4" s="1"/>
  <c r="K29" i="4" s="1"/>
  <c r="L29" i="4" s="1"/>
  <c r="D24" i="2"/>
  <c r="I13" i="5"/>
  <c r="J14" i="5"/>
  <c r="J9" i="5"/>
  <c r="J13" i="5"/>
  <c r="K14" i="5"/>
  <c r="K13" i="5"/>
  <c r="I14" i="5"/>
  <c r="F22" i="4"/>
  <c r="F21" i="4"/>
  <c r="F23" i="4"/>
  <c r="H28" i="4"/>
  <c r="I28" i="4" s="1"/>
  <c r="J28" i="4" s="1"/>
  <c r="K28" i="4" s="1"/>
  <c r="L28" i="4" s="1"/>
  <c r="D30" i="4"/>
  <c r="F30" i="4"/>
  <c r="F36" i="4"/>
  <c r="I15" i="4"/>
  <c r="I9" i="1" s="1"/>
  <c r="D21" i="1"/>
  <c r="D30" i="1" s="1"/>
  <c r="F21" i="1"/>
  <c r="I25" i="1"/>
  <c r="D44" i="2"/>
  <c r="F38" i="2"/>
  <c r="F20" i="2"/>
  <c r="F13" i="1"/>
  <c r="H9" i="1"/>
  <c r="F7" i="14" l="1"/>
  <c r="H33" i="4"/>
  <c r="D46" i="2"/>
  <c r="D20" i="14"/>
  <c r="D24" i="14" s="1"/>
  <c r="D36" i="1"/>
  <c r="D9" i="14"/>
  <c r="D47" i="2"/>
  <c r="H18" i="7"/>
  <c r="I19" i="7"/>
  <c r="H7" i="7"/>
  <c r="I8" i="7"/>
  <c r="H11" i="7"/>
  <c r="I12" i="7"/>
  <c r="K9" i="5"/>
  <c r="J15" i="5"/>
  <c r="I33" i="4"/>
  <c r="I18" i="4"/>
  <c r="J15" i="4"/>
  <c r="J9" i="1" s="1"/>
  <c r="D37" i="1"/>
  <c r="D31" i="1"/>
  <c r="F30" i="1"/>
  <c r="F9" i="14" s="1"/>
  <c r="F22" i="1"/>
  <c r="J25" i="1"/>
  <c r="F44" i="2"/>
  <c r="F20" i="14" s="1"/>
  <c r="F24" i="14" s="1"/>
  <c r="I16" i="1"/>
  <c r="H16" i="1"/>
  <c r="H10" i="1"/>
  <c r="H11" i="1"/>
  <c r="H35" i="4" l="1"/>
  <c r="J33" i="4"/>
  <c r="H34" i="4"/>
  <c r="J12" i="7"/>
  <c r="I11" i="7"/>
  <c r="J19" i="7"/>
  <c r="I18" i="7"/>
  <c r="J8" i="7"/>
  <c r="I7" i="7"/>
  <c r="F31" i="1"/>
  <c r="F36" i="1"/>
  <c r="F37" i="1" s="1"/>
  <c r="L9" i="5"/>
  <c r="L15" i="5" s="1"/>
  <c r="K15" i="5"/>
  <c r="K25" i="1"/>
  <c r="J18" i="4"/>
  <c r="K15" i="4"/>
  <c r="H17" i="1"/>
  <c r="F46" i="2"/>
  <c r="H18" i="1"/>
  <c r="J16" i="1"/>
  <c r="H12" i="1"/>
  <c r="L11" i="1"/>
  <c r="J11" i="1"/>
  <c r="J10" i="1"/>
  <c r="K11" i="1"/>
  <c r="I11" i="1"/>
  <c r="K10" i="1"/>
  <c r="I10" i="1"/>
  <c r="L10" i="1"/>
  <c r="I35" i="4" l="1"/>
  <c r="I34" i="4"/>
  <c r="H6" i="14"/>
  <c r="H7" i="14" s="1"/>
  <c r="J18" i="7"/>
  <c r="K19" i="7"/>
  <c r="J7" i="7"/>
  <c r="K8" i="7"/>
  <c r="K12" i="7"/>
  <c r="J11" i="7"/>
  <c r="H25" i="6"/>
  <c r="H22" i="2" s="1"/>
  <c r="H24" i="6"/>
  <c r="H15" i="14" s="1"/>
  <c r="H31" i="2"/>
  <c r="H18" i="6" s="1"/>
  <c r="H30" i="2"/>
  <c r="H17" i="6" s="1"/>
  <c r="H11" i="2"/>
  <c r="H9" i="2"/>
  <c r="H9" i="13" s="1"/>
  <c r="H10" i="13" s="1"/>
  <c r="J35" i="4"/>
  <c r="L25" i="1"/>
  <c r="H19" i="1"/>
  <c r="K34" i="4"/>
  <c r="L35" i="4"/>
  <c r="L34" i="4"/>
  <c r="K35" i="4"/>
  <c r="H36" i="4"/>
  <c r="H30" i="4"/>
  <c r="H24" i="4" s="1"/>
  <c r="H12" i="4"/>
  <c r="K18" i="4"/>
  <c r="L15" i="4"/>
  <c r="K9" i="1"/>
  <c r="J34" i="4"/>
  <c r="L17" i="1"/>
  <c r="J17" i="1"/>
  <c r="K18" i="1"/>
  <c r="I17" i="1"/>
  <c r="K17" i="1"/>
  <c r="J18" i="1"/>
  <c r="H33" i="1"/>
  <c r="H27" i="1"/>
  <c r="H26" i="1"/>
  <c r="I18" i="1"/>
  <c r="L18" i="1"/>
  <c r="H13" i="1"/>
  <c r="I12" i="1"/>
  <c r="J12" i="1"/>
  <c r="K12" i="1" l="1"/>
  <c r="K25" i="6" s="1"/>
  <c r="J6" i="14"/>
  <c r="I6" i="14"/>
  <c r="I7" i="14" s="1"/>
  <c r="K7" i="7"/>
  <c r="L8" i="7"/>
  <c r="L7" i="7" s="1"/>
  <c r="L19" i="7"/>
  <c r="L18" i="7" s="1"/>
  <c r="K18" i="7"/>
  <c r="L12" i="7"/>
  <c r="L11" i="7" s="1"/>
  <c r="K11" i="7"/>
  <c r="J25" i="6"/>
  <c r="J24" i="6"/>
  <c r="J11" i="2"/>
  <c r="J30" i="2"/>
  <c r="J31" i="2"/>
  <c r="J9" i="2"/>
  <c r="H13" i="6"/>
  <c r="H26" i="6"/>
  <c r="H18" i="2"/>
  <c r="I25" i="6"/>
  <c r="I22" i="2" s="1"/>
  <c r="J22" i="2" s="1"/>
  <c r="I24" i="6"/>
  <c r="I15" i="14" s="1"/>
  <c r="I11" i="2"/>
  <c r="I15" i="6" s="1"/>
  <c r="I31" i="2"/>
  <c r="I18" i="6" s="1"/>
  <c r="I30" i="2"/>
  <c r="I17" i="6" s="1"/>
  <c r="I9" i="2"/>
  <c r="I9" i="13" s="1"/>
  <c r="I10" i="13" s="1"/>
  <c r="H10" i="5"/>
  <c r="H16" i="5" s="1"/>
  <c r="H29" i="2"/>
  <c r="H10" i="2"/>
  <c r="H19" i="13" s="1"/>
  <c r="H20" i="13" s="1"/>
  <c r="H19" i="2"/>
  <c r="H8" i="6"/>
  <c r="K30" i="2"/>
  <c r="K9" i="2"/>
  <c r="K9" i="13" s="1"/>
  <c r="K10" i="13" s="1"/>
  <c r="H15" i="6"/>
  <c r="H21" i="1"/>
  <c r="H22" i="1" s="1"/>
  <c r="I19" i="1"/>
  <c r="J19" i="1"/>
  <c r="J12" i="4"/>
  <c r="J36" i="4"/>
  <c r="J30" i="4"/>
  <c r="L18" i="4"/>
  <c r="L9" i="1"/>
  <c r="K33" i="4"/>
  <c r="K16" i="1"/>
  <c r="K19" i="1" s="1"/>
  <c r="I12" i="4"/>
  <c r="I36" i="4"/>
  <c r="I30" i="4"/>
  <c r="I24" i="4" s="1"/>
  <c r="I33" i="1"/>
  <c r="I8" i="6" s="1"/>
  <c r="J33" i="1"/>
  <c r="J8" i="6" s="1"/>
  <c r="H28" i="1"/>
  <c r="I26" i="1"/>
  <c r="I27" i="1"/>
  <c r="F12" i="2"/>
  <c r="J26" i="1"/>
  <c r="J27" i="1"/>
  <c r="I13" i="1"/>
  <c r="J13" i="1"/>
  <c r="K13" i="1" l="1"/>
  <c r="K24" i="6"/>
  <c r="K15" i="14" s="1"/>
  <c r="K12" i="4"/>
  <c r="K27" i="1"/>
  <c r="K33" i="1"/>
  <c r="K8" i="6" s="1"/>
  <c r="K30" i="4"/>
  <c r="H23" i="13"/>
  <c r="K31" i="2"/>
  <c r="K6" i="14"/>
  <c r="K7" i="14" s="1"/>
  <c r="J7" i="14"/>
  <c r="K26" i="1"/>
  <c r="H22" i="5"/>
  <c r="K36" i="4"/>
  <c r="K11" i="2"/>
  <c r="J9" i="13"/>
  <c r="J10" i="13" s="1"/>
  <c r="K26" i="6"/>
  <c r="J26" i="6"/>
  <c r="J15" i="14"/>
  <c r="K18" i="6"/>
  <c r="J17" i="6"/>
  <c r="J13" i="6"/>
  <c r="I26" i="6"/>
  <c r="K22" i="2"/>
  <c r="I10" i="5"/>
  <c r="I16" i="5" s="1"/>
  <c r="I10" i="2"/>
  <c r="I19" i="13" s="1"/>
  <c r="I20" i="13" s="1"/>
  <c r="I29" i="2"/>
  <c r="I19" i="2"/>
  <c r="J19" i="2" s="1"/>
  <c r="K19" i="2" s="1"/>
  <c r="K10" i="5"/>
  <c r="K16" i="5" s="1"/>
  <c r="K10" i="2"/>
  <c r="K29" i="2"/>
  <c r="K15" i="6"/>
  <c r="K17" i="6"/>
  <c r="H16" i="6"/>
  <c r="H33" i="2"/>
  <c r="I18" i="2"/>
  <c r="H20" i="2"/>
  <c r="K13" i="6"/>
  <c r="I13" i="6"/>
  <c r="H14" i="6"/>
  <c r="I21" i="1"/>
  <c r="I22" i="1" s="1"/>
  <c r="J10" i="5"/>
  <c r="J16" i="5" s="1"/>
  <c r="J29" i="2"/>
  <c r="J10" i="2"/>
  <c r="J19" i="13" s="1"/>
  <c r="J20" i="13" s="1"/>
  <c r="J15" i="6"/>
  <c r="J18" i="6"/>
  <c r="J21" i="1"/>
  <c r="J22" i="1" s="1"/>
  <c r="K21" i="1"/>
  <c r="K22" i="1" s="1"/>
  <c r="H30" i="1"/>
  <c r="L33" i="4"/>
  <c r="L16" i="1"/>
  <c r="L19" i="1" s="1"/>
  <c r="L12" i="1"/>
  <c r="K24" i="4"/>
  <c r="J24" i="4"/>
  <c r="J28" i="1"/>
  <c r="I28" i="1"/>
  <c r="F24" i="2"/>
  <c r="F47" i="2" s="1"/>
  <c r="K28" i="1" l="1"/>
  <c r="K22" i="5"/>
  <c r="K23" i="13"/>
  <c r="J22" i="5"/>
  <c r="J23" i="13"/>
  <c r="I23" i="13"/>
  <c r="I22" i="5"/>
  <c r="H19" i="6"/>
  <c r="H14" i="14" s="1"/>
  <c r="K19" i="13"/>
  <c r="K20" i="13" s="1"/>
  <c r="H14" i="13"/>
  <c r="H22" i="14" s="1"/>
  <c r="H9" i="14"/>
  <c r="H15" i="13"/>
  <c r="H23" i="14" s="1"/>
  <c r="L6" i="14"/>
  <c r="L7" i="14" s="1"/>
  <c r="J14" i="6"/>
  <c r="I14" i="6"/>
  <c r="I16" i="6"/>
  <c r="I33" i="2"/>
  <c r="H36" i="1"/>
  <c r="H40" i="1" s="1"/>
  <c r="L24" i="6"/>
  <c r="L15" i="14" s="1"/>
  <c r="L25" i="6"/>
  <c r="L22" i="2" s="1"/>
  <c r="L11" i="2"/>
  <c r="L15" i="6" s="1"/>
  <c r="L9" i="2"/>
  <c r="L13" i="6" s="1"/>
  <c r="L30" i="2"/>
  <c r="L17" i="6" s="1"/>
  <c r="L31" i="2"/>
  <c r="L18" i="6" s="1"/>
  <c r="K14" i="6"/>
  <c r="K19" i="6" s="1"/>
  <c r="K14" i="14" s="1"/>
  <c r="J18" i="2"/>
  <c r="I20" i="2"/>
  <c r="K16" i="6"/>
  <c r="K33" i="2"/>
  <c r="L10" i="2"/>
  <c r="L14" i="6" s="1"/>
  <c r="L29" i="2"/>
  <c r="J16" i="6"/>
  <c r="J33" i="2"/>
  <c r="L10" i="5"/>
  <c r="L16" i="5" s="1"/>
  <c r="H31" i="1"/>
  <c r="L36" i="4"/>
  <c r="L30" i="4"/>
  <c r="L24" i="4" s="1"/>
  <c r="L12" i="4"/>
  <c r="L27" i="1"/>
  <c r="L13" i="1"/>
  <c r="L21" i="1"/>
  <c r="L22" i="1" s="1"/>
  <c r="L33" i="1"/>
  <c r="L8" i="6" s="1"/>
  <c r="L26" i="1"/>
  <c r="J30" i="1"/>
  <c r="I30" i="1"/>
  <c r="K30" i="1" l="1"/>
  <c r="L23" i="13"/>
  <c r="H24" i="13"/>
  <c r="I36" i="1"/>
  <c r="I40" i="1" s="1"/>
  <c r="I9" i="14"/>
  <c r="I14" i="13"/>
  <c r="I22" i="14" s="1"/>
  <c r="I15" i="13"/>
  <c r="I23" i="14" s="1"/>
  <c r="L19" i="13"/>
  <c r="L20" i="13" s="1"/>
  <c r="J36" i="1"/>
  <c r="J40" i="1" s="1"/>
  <c r="J41" i="1" s="1"/>
  <c r="J9" i="14"/>
  <c r="J14" i="13"/>
  <c r="J22" i="14" s="1"/>
  <c r="J15" i="13"/>
  <c r="J23" i="14" s="1"/>
  <c r="K36" i="1"/>
  <c r="K40" i="1" s="1"/>
  <c r="K41" i="1" s="1"/>
  <c r="K14" i="13"/>
  <c r="K22" i="14" s="1"/>
  <c r="K15" i="13"/>
  <c r="K23" i="14" s="1"/>
  <c r="K9" i="14"/>
  <c r="J19" i="6"/>
  <c r="J14" i="14" s="1"/>
  <c r="L9" i="13"/>
  <c r="L10" i="13" s="1"/>
  <c r="I19" i="6"/>
  <c r="I14" i="14" s="1"/>
  <c r="L26" i="6"/>
  <c r="I6" i="10"/>
  <c r="I8" i="10" s="1"/>
  <c r="I41" i="1"/>
  <c r="L33" i="2"/>
  <c r="L16" i="6"/>
  <c r="L19" i="6" s="1"/>
  <c r="L14" i="14" s="1"/>
  <c r="H6" i="10"/>
  <c r="H8" i="10" s="1"/>
  <c r="H41" i="1"/>
  <c r="K18" i="2"/>
  <c r="J20" i="2"/>
  <c r="J6" i="10"/>
  <c r="J8" i="10" s="1"/>
  <c r="L19" i="2"/>
  <c r="H37" i="1"/>
  <c r="L28" i="1"/>
  <c r="L30" i="1"/>
  <c r="I37" i="1"/>
  <c r="I31" i="1"/>
  <c r="J31" i="1"/>
  <c r="K37" i="1"/>
  <c r="K31" i="1"/>
  <c r="K24" i="13" l="1"/>
  <c r="J24" i="13"/>
  <c r="L22" i="5"/>
  <c r="I24" i="13"/>
  <c r="K42" i="1"/>
  <c r="K13" i="14"/>
  <c r="J13" i="14"/>
  <c r="J42" i="1"/>
  <c r="K6" i="10"/>
  <c r="K8" i="10" s="1"/>
  <c r="H42" i="1"/>
  <c r="H13" i="14"/>
  <c r="I42" i="1"/>
  <c r="I13" i="14"/>
  <c r="L9" i="14"/>
  <c r="L14" i="13"/>
  <c r="L22" i="14" s="1"/>
  <c r="L15" i="13"/>
  <c r="L23" i="14" s="1"/>
  <c r="J37" i="1"/>
  <c r="K20" i="2"/>
  <c r="L18" i="2"/>
  <c r="L20" i="2" s="1"/>
  <c r="H9" i="10"/>
  <c r="H9" i="6" s="1"/>
  <c r="H37" i="2" s="1"/>
  <c r="J9" i="10"/>
  <c r="J9" i="6" s="1"/>
  <c r="I9" i="10"/>
  <c r="I9" i="6" s="1"/>
  <c r="L36" i="1"/>
  <c r="L40" i="1" s="1"/>
  <c r="H43" i="2"/>
  <c r="K9" i="10"/>
  <c r="K9" i="6" s="1"/>
  <c r="L31" i="1"/>
  <c r="L24" i="13" l="1"/>
  <c r="H7" i="6"/>
  <c r="I7" i="6"/>
  <c r="I10" i="6" s="1"/>
  <c r="I21" i="6" s="1"/>
  <c r="I28" i="6" s="1"/>
  <c r="I36" i="6" s="1"/>
  <c r="J7" i="6"/>
  <c r="J10" i="6" s="1"/>
  <c r="J21" i="6" s="1"/>
  <c r="J28" i="6" s="1"/>
  <c r="J36" i="6" s="1"/>
  <c r="K7" i="6"/>
  <c r="K10" i="6" s="1"/>
  <c r="K21" i="6" s="1"/>
  <c r="K28" i="6" s="1"/>
  <c r="K36" i="6" s="1"/>
  <c r="J10" i="10"/>
  <c r="K10" i="10"/>
  <c r="L37" i="1"/>
  <c r="H10" i="6"/>
  <c r="H21" i="6" s="1"/>
  <c r="H28" i="6" s="1"/>
  <c r="H36" i="6" s="1"/>
  <c r="H40" i="6" s="1"/>
  <c r="I38" i="6" s="1"/>
  <c r="I10" i="10"/>
  <c r="H10" i="10"/>
  <c r="I43" i="2"/>
  <c r="H44" i="2"/>
  <c r="L6" i="10"/>
  <c r="L8" i="10" s="1"/>
  <c r="L9" i="10" s="1"/>
  <c r="L41" i="1"/>
  <c r="I37" i="2"/>
  <c r="H38" i="2"/>
  <c r="I40" i="6" l="1"/>
  <c r="H26" i="13"/>
  <c r="L42" i="1"/>
  <c r="L13" i="14"/>
  <c r="H20" i="14"/>
  <c r="H24" i="14" s="1"/>
  <c r="H13" i="13"/>
  <c r="H8" i="2"/>
  <c r="J43" i="2"/>
  <c r="I44" i="2"/>
  <c r="L10" i="10"/>
  <c r="L9" i="6"/>
  <c r="J37" i="2"/>
  <c r="I38" i="2"/>
  <c r="H46" i="2"/>
  <c r="J38" i="6"/>
  <c r="J40" i="6" s="1"/>
  <c r="I8" i="2"/>
  <c r="I13" i="13" l="1"/>
  <c r="I20" i="14"/>
  <c r="I24" i="14" s="1"/>
  <c r="I26" i="13"/>
  <c r="I12" i="2"/>
  <c r="I18" i="14"/>
  <c r="I8" i="13"/>
  <c r="H12" i="2"/>
  <c r="H18" i="14"/>
  <c r="H8" i="13"/>
  <c r="L7" i="6"/>
  <c r="L10" i="6" s="1"/>
  <c r="L21" i="6" s="1"/>
  <c r="L28" i="6" s="1"/>
  <c r="L36" i="6" s="1"/>
  <c r="K37" i="2"/>
  <c r="J38" i="2"/>
  <c r="K38" i="6"/>
  <c r="K40" i="6" s="1"/>
  <c r="J8" i="2"/>
  <c r="I46" i="2"/>
  <c r="K43" i="2"/>
  <c r="J44" i="2"/>
  <c r="I24" i="2" l="1"/>
  <c r="I16" i="13"/>
  <c r="I7" i="13"/>
  <c r="J12" i="2"/>
  <c r="J18" i="14"/>
  <c r="J8" i="13"/>
  <c r="H7" i="13"/>
  <c r="J20" i="14"/>
  <c r="J24" i="14" s="1"/>
  <c r="J13" i="13"/>
  <c r="J26" i="13"/>
  <c r="H24" i="2"/>
  <c r="J46" i="2"/>
  <c r="L43" i="2"/>
  <c r="L44" i="2" s="1"/>
  <c r="K44" i="2"/>
  <c r="L38" i="6"/>
  <c r="L40" i="6" s="1"/>
  <c r="L8" i="2" s="1"/>
  <c r="K8" i="2"/>
  <c r="L37" i="2"/>
  <c r="L38" i="2" s="1"/>
  <c r="K38" i="2"/>
  <c r="I25" i="13" l="1"/>
  <c r="H16" i="13"/>
  <c r="L13" i="13"/>
  <c r="L20" i="14"/>
  <c r="L24" i="14" s="1"/>
  <c r="L26" i="13"/>
  <c r="K12" i="2"/>
  <c r="K18" i="14"/>
  <c r="K8" i="13"/>
  <c r="L12" i="2"/>
  <c r="L18" i="14"/>
  <c r="L8" i="13"/>
  <c r="J24" i="2"/>
  <c r="J7" i="13"/>
  <c r="K20" i="14"/>
  <c r="K24" i="14" s="1"/>
  <c r="K13" i="13"/>
  <c r="K26" i="13"/>
  <c r="H47" i="2"/>
  <c r="H25" i="13"/>
  <c r="I47" i="2"/>
  <c r="K46" i="2"/>
  <c r="L46" i="2"/>
  <c r="J16" i="13" l="1"/>
  <c r="K24" i="2"/>
  <c r="K16" i="13"/>
  <c r="K7" i="13"/>
  <c r="L24" i="2"/>
  <c r="L7" i="13"/>
  <c r="J25" i="13"/>
  <c r="J47" i="2"/>
  <c r="L25" i="13" l="1"/>
  <c r="L16" i="13"/>
  <c r="K25" i="13"/>
  <c r="K47" i="2"/>
  <c r="L47" i="2"/>
</calcChain>
</file>

<file path=xl/sharedStrings.xml><?xml version="1.0" encoding="utf-8"?>
<sst xmlns="http://schemas.openxmlformats.org/spreadsheetml/2006/main" count="326" uniqueCount="187">
  <si>
    <t>Celerity Technogy Inc. ("CTI")</t>
  </si>
  <si>
    <t>Income Statement (000's)</t>
  </si>
  <si>
    <t>Revenues by Geography</t>
  </si>
  <si>
    <t xml:space="preserve">  U.S.</t>
  </si>
  <si>
    <t xml:space="preserve">  Europe</t>
  </si>
  <si>
    <t xml:space="preserve">  Asia</t>
  </si>
  <si>
    <t>Total Revenue</t>
  </si>
  <si>
    <t>Cost of Revenues by Geography</t>
  </si>
  <si>
    <t>Gross Profit</t>
  </si>
  <si>
    <t>Total Cost of Revenue</t>
  </si>
  <si>
    <t>Operating Expenses</t>
  </si>
  <si>
    <t xml:space="preserve"> Administrative &amp; General</t>
  </si>
  <si>
    <t xml:space="preserve"> Marketing Expenses</t>
  </si>
  <si>
    <t xml:space="preserve"> Other Operating Expenses</t>
  </si>
  <si>
    <t>Total Operating Expenses</t>
  </si>
  <si>
    <t>EBITDA</t>
  </si>
  <si>
    <t>Depreciation</t>
  </si>
  <si>
    <t>EBIT</t>
  </si>
  <si>
    <t xml:space="preserve"> Year  0</t>
  </si>
  <si>
    <t>Year  -1</t>
  </si>
  <si>
    <t xml:space="preserve"> Year  1</t>
  </si>
  <si>
    <t xml:space="preserve"> Year  2</t>
  </si>
  <si>
    <t xml:space="preserve"> Year  3</t>
  </si>
  <si>
    <t xml:space="preserve"> Year  4</t>
  </si>
  <si>
    <t xml:space="preserve"> Year  5</t>
  </si>
  <si>
    <t>Volume Growth</t>
  </si>
  <si>
    <t>Price Increase</t>
  </si>
  <si>
    <t>Total Volume Growth</t>
  </si>
  <si>
    <t>Total Volume</t>
  </si>
  <si>
    <t>Total Price Increase</t>
  </si>
  <si>
    <t>Average Price</t>
  </si>
  <si>
    <t xml:space="preserve">   Total Revenue Growth</t>
  </si>
  <si>
    <t>Revenue Growth</t>
  </si>
  <si>
    <t>Volume Sold (000's Units)</t>
  </si>
  <si>
    <t>Sales Price per Unit ($)</t>
  </si>
  <si>
    <t>Cost of Revenues as % of Revenue by Geography</t>
  </si>
  <si>
    <t>Total Cost of Rev. as % of Total Revenue</t>
  </si>
  <si>
    <t>Operating Expenses Assumptions</t>
  </si>
  <si>
    <t xml:space="preserve"> Administrative &amp; General Increase %</t>
  </si>
  <si>
    <t xml:space="preserve"> Other Operating Expenses as % of Total Rev.</t>
  </si>
  <si>
    <t>Total Operating Expenses as % of Total Rev.</t>
  </si>
  <si>
    <t xml:space="preserve"> Marketing Expenses as % of Total Revenue</t>
  </si>
  <si>
    <t>PROJECTED</t>
  </si>
  <si>
    <t>HISTORICAL</t>
  </si>
  <si>
    <t>Operating Assumptions</t>
  </si>
  <si>
    <t>Balance Sheet (000's)</t>
  </si>
  <si>
    <t>Current Assets</t>
  </si>
  <si>
    <t xml:space="preserve"> Cash</t>
  </si>
  <si>
    <t xml:space="preserve"> Accounts Receivable</t>
  </si>
  <si>
    <t xml:space="preserve"> Inventories</t>
  </si>
  <si>
    <t xml:space="preserve"> Prepaid Expenses</t>
  </si>
  <si>
    <t>Total Current Assets</t>
  </si>
  <si>
    <t>Property and Equipment</t>
  </si>
  <si>
    <t xml:space="preserve"> Land</t>
  </si>
  <si>
    <t xml:space="preserve"> Building</t>
  </si>
  <si>
    <t xml:space="preserve"> Furniture &amp; Equipment</t>
  </si>
  <si>
    <t>Total Gross P&amp;E</t>
  </si>
  <si>
    <t>Less Accumulated Depreciaition</t>
  </si>
  <si>
    <t>Net P&amp;E</t>
  </si>
  <si>
    <t>Long-Term Investments</t>
  </si>
  <si>
    <t>Total Assets</t>
  </si>
  <si>
    <t>Liabilities and Owners Equity</t>
  </si>
  <si>
    <t>Current Liabilities</t>
  </si>
  <si>
    <t xml:space="preserve"> Accounts Payable</t>
  </si>
  <si>
    <t xml:space="preserve"> Accrued Income Taxes</t>
  </si>
  <si>
    <t xml:space="preserve"> Accrued Expenses</t>
  </si>
  <si>
    <t xml:space="preserve"> Current Portion of Long Term Debt</t>
  </si>
  <si>
    <t>Total Current Liabilities</t>
  </si>
  <si>
    <t>Long-Term Debt:</t>
  </si>
  <si>
    <t>Deferred Income Taxes</t>
  </si>
  <si>
    <t>Total Liabilties</t>
  </si>
  <si>
    <t>Owners' Equity</t>
  </si>
  <si>
    <t xml:space="preserve"> Common Stock</t>
  </si>
  <si>
    <t xml:space="preserve"> Paid-in-Capital</t>
  </si>
  <si>
    <t xml:space="preserve"> Retained Earnings</t>
  </si>
  <si>
    <t>Total Owners' Equity</t>
  </si>
  <si>
    <t>Total Liabilities &amp; Owner's Equity</t>
  </si>
  <si>
    <t>Depreciation Expense % of Total Revenue</t>
  </si>
  <si>
    <t xml:space="preserve">  EBITDA Margin %</t>
  </si>
  <si>
    <t xml:space="preserve">   Total Margin</t>
  </si>
  <si>
    <t xml:space="preserve">  EBITA Margin %</t>
  </si>
  <si>
    <t>Income Statement Cost Assumptions</t>
  </si>
  <si>
    <t>Gross Margin by Geography</t>
  </si>
  <si>
    <t>Cash Flow Statement (000's)</t>
  </si>
  <si>
    <t>Net Income</t>
  </si>
  <si>
    <t xml:space="preserve">  Plus Depreciation</t>
  </si>
  <si>
    <t xml:space="preserve">  Plus Deffered Taxes</t>
  </si>
  <si>
    <t>Cash Income</t>
  </si>
  <si>
    <t>Working Capital Activities</t>
  </si>
  <si>
    <t xml:space="preserve">  Change in Accounts Receivable</t>
  </si>
  <si>
    <t xml:space="preserve">  Change in Inventory</t>
  </si>
  <si>
    <t xml:space="preserve">  Change in Prepaid Expenses</t>
  </si>
  <si>
    <t xml:space="preserve">  Change in Accounts Payable</t>
  </si>
  <si>
    <t xml:space="preserve">  Change in Accrued Income Taxes</t>
  </si>
  <si>
    <t xml:space="preserve">  Change in Accrued Expenses</t>
  </si>
  <si>
    <t>Total Change in Working Capital</t>
  </si>
  <si>
    <t>Operating Cash Flow (OCF)</t>
  </si>
  <si>
    <t>Investment Activities</t>
  </si>
  <si>
    <t xml:space="preserve">  Capital Expenditures</t>
  </si>
  <si>
    <t xml:space="preserve">  Investments (Change)</t>
  </si>
  <si>
    <t>Total Financing Activities</t>
  </si>
  <si>
    <t>Cash Available Before Financing Activities</t>
  </si>
  <si>
    <t>Financing Activities</t>
  </si>
  <si>
    <t xml:space="preserve">   ST Debt Payments</t>
  </si>
  <si>
    <t xml:space="preserve">   LT Debt Payments</t>
  </si>
  <si>
    <t xml:space="preserve">   Equity Contribution</t>
  </si>
  <si>
    <t>Free Cash Flow</t>
  </si>
  <si>
    <t>Beginning Cash</t>
  </si>
  <si>
    <t>Ending Cash</t>
  </si>
  <si>
    <t>Amortization</t>
  </si>
  <si>
    <t>EBT</t>
  </si>
  <si>
    <t>Taxes</t>
  </si>
  <si>
    <t>Working Capital Assumptions</t>
  </si>
  <si>
    <t>Accounts Receivable</t>
  </si>
  <si>
    <t xml:space="preserve">  Accounts Receivable Turnover</t>
  </si>
  <si>
    <t xml:space="preserve">  Accounts Receivable Days</t>
  </si>
  <si>
    <t>Inventory</t>
  </si>
  <si>
    <t xml:space="preserve">  Inventory Turnover</t>
  </si>
  <si>
    <t xml:space="preserve">  Inventory Days</t>
  </si>
  <si>
    <t>Prepaid Expenses</t>
  </si>
  <si>
    <t xml:space="preserve">  Prepaid Expenses as % of Revene</t>
  </si>
  <si>
    <t>Accounts Payable</t>
  </si>
  <si>
    <t xml:space="preserve">  Accounts Payable Turnover</t>
  </si>
  <si>
    <t xml:space="preserve">  Accounts Payable Days</t>
  </si>
  <si>
    <t>Accrued Income Taxes</t>
  </si>
  <si>
    <t xml:space="preserve">  Accrued Income Taxes as % of Revenues</t>
  </si>
  <si>
    <t>Accrued Expenses</t>
  </si>
  <si>
    <t xml:space="preserve">  Accrued Expenses as % of Revenues</t>
  </si>
  <si>
    <t>Capital Expenditures</t>
  </si>
  <si>
    <t xml:space="preserve">  Capital Expenditures as % of Revenue</t>
  </si>
  <si>
    <t>Long Term Investments</t>
  </si>
  <si>
    <t>Investment Activity Assumptions</t>
  </si>
  <si>
    <t xml:space="preserve">  Long Term Investments as % of Revenues</t>
  </si>
  <si>
    <t xml:space="preserve">  Outstanding</t>
  </si>
  <si>
    <t>Short-Term Debt</t>
  </si>
  <si>
    <t xml:space="preserve">  Principal Payment</t>
  </si>
  <si>
    <t xml:space="preserve">  Interest Payment</t>
  </si>
  <si>
    <t xml:space="preserve">  Total Payment</t>
  </si>
  <si>
    <t xml:space="preserve">  LIBOR Incr./ (Decr.)</t>
  </si>
  <si>
    <t>Interest Rate Forward Assumptions- LIBOR</t>
  </si>
  <si>
    <t xml:space="preserve">  Spread Pricing (L + Spread)</t>
  </si>
  <si>
    <t>Long-Term Debt</t>
  </si>
  <si>
    <t xml:space="preserve">  Interest Rate</t>
  </si>
  <si>
    <t>Total Debt</t>
  </si>
  <si>
    <t>Total Interest Expense</t>
  </si>
  <si>
    <t>Error Check</t>
  </si>
  <si>
    <t xml:space="preserve">  Tax Rate</t>
  </si>
  <si>
    <t>Tax Deferred as % of Taxes</t>
  </si>
  <si>
    <t>Tax Schedule</t>
  </si>
  <si>
    <t xml:space="preserve">  Tax Expenses</t>
  </si>
  <si>
    <t xml:space="preserve">     Tax Deffered</t>
  </si>
  <si>
    <t xml:space="preserve">     Tax Paid (Cash)</t>
  </si>
  <si>
    <t>Year 0</t>
  </si>
  <si>
    <t>Financial Ratios</t>
  </si>
  <si>
    <t>Liquidity Ratios</t>
  </si>
  <si>
    <t xml:space="preserve"> Current Ratio </t>
  </si>
  <si>
    <t xml:space="preserve"> Quick ratio</t>
  </si>
  <si>
    <t xml:space="preserve"> Accounts Receivable Turnover (ART)</t>
  </si>
  <si>
    <t xml:space="preserve"> Accounts Receivable Days</t>
  </si>
  <si>
    <t>Solvency Ratios</t>
  </si>
  <si>
    <t xml:space="preserve"> LTD / Total Capitalization</t>
  </si>
  <si>
    <t xml:space="preserve"> EBITDA / Interest (Coverage Ratio)</t>
  </si>
  <si>
    <t xml:space="preserve"> LTD / EBITDA (Leverage Ratio)</t>
  </si>
  <si>
    <t>Activity Ratios / Operating Ratios</t>
  </si>
  <si>
    <t xml:space="preserve"> Inventory Ratio (IR)</t>
  </si>
  <si>
    <t xml:space="preserve"> Inventory Ratio - Days</t>
  </si>
  <si>
    <t>Profitability Ratios</t>
  </si>
  <si>
    <t>Gross Margin</t>
  </si>
  <si>
    <t>EBITDA Margin</t>
  </si>
  <si>
    <t>Return on Assets (ROA)</t>
  </si>
  <si>
    <t>Return on Equity (ROE)</t>
  </si>
  <si>
    <t>Altma's Z-score (used Book Value of Equity)</t>
  </si>
  <si>
    <t>Summary of Results</t>
  </si>
  <si>
    <t>BASE CASE</t>
  </si>
  <si>
    <t>Revenues</t>
  </si>
  <si>
    <t xml:space="preserve">  Revenue Growth</t>
  </si>
  <si>
    <t xml:space="preserve">  EBITDA Margin</t>
  </si>
  <si>
    <t>Cash on Balance Sheet</t>
  </si>
  <si>
    <t>Equity Ownerhip</t>
  </si>
  <si>
    <t>EBITDA / Interest (Coverage Ratio)</t>
  </si>
  <si>
    <t>Total Debt / EBITDA (Leveraged Ratio)</t>
  </si>
  <si>
    <t>Debt Capitalization</t>
  </si>
  <si>
    <t>Interest Expense</t>
  </si>
  <si>
    <t>Tax Expense</t>
  </si>
  <si>
    <t>Working Capital</t>
  </si>
  <si>
    <t>Capex</t>
  </si>
  <si>
    <t>Debt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</si>
</sst>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\x"/>
    <numFmt numFmtId="167" formatCode="0.000\x"/>
    <numFmt numFmtId="168" formatCode="0.0"/>
    <numFmt numFmtId="169" formatCode="0.0\x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7" fillId="0" borderId="0" xfId="0" applyFont="1" applyBorder="1"/>
    <xf numFmtId="0" fontId="7" fillId="2" borderId="0" xfId="0" applyFont="1" applyFill="1" applyBorder="1" applyAlignment="1">
      <alignment horizontal="right"/>
    </xf>
    <xf numFmtId="41" fontId="0" fillId="0" borderId="0" xfId="1" applyNumberFormat="1" applyFont="1" applyBorder="1" applyAlignment="1">
      <alignment horizontal="right"/>
    </xf>
    <xf numFmtId="41" fontId="0" fillId="0" borderId="0" xfId="1" applyNumberFormat="1" applyFont="1" applyBorder="1"/>
    <xf numFmtId="41" fontId="9" fillId="0" borderId="0" xfId="1" applyNumberFormat="1" applyFont="1" applyBorder="1"/>
    <xf numFmtId="0" fontId="0" fillId="0" borderId="6" xfId="0" applyBorder="1"/>
    <xf numFmtId="0" fontId="0" fillId="0" borderId="7" xfId="0" applyBorder="1"/>
    <xf numFmtId="41" fontId="0" fillId="0" borderId="7" xfId="1" applyNumberFormat="1" applyFont="1" applyBorder="1"/>
    <xf numFmtId="0" fontId="0" fillId="0" borderId="8" xfId="0" applyBorder="1"/>
    <xf numFmtId="41" fontId="0" fillId="0" borderId="0" xfId="1" applyNumberFormat="1" applyFont="1"/>
    <xf numFmtId="43" fontId="0" fillId="0" borderId="0" xfId="1" applyFont="1"/>
    <xf numFmtId="10" fontId="9" fillId="0" borderId="0" xfId="3" applyNumberFormat="1" applyFont="1" applyBorder="1"/>
    <xf numFmtId="165" fontId="0" fillId="0" borderId="9" xfId="0" applyNumberFormat="1" applyBorder="1"/>
    <xf numFmtId="10" fontId="0" fillId="0" borderId="9" xfId="3" applyNumberFormat="1" applyFont="1" applyBorder="1"/>
    <xf numFmtId="0" fontId="0" fillId="0" borderId="9" xfId="0" applyBorder="1"/>
    <xf numFmtId="10" fontId="10" fillId="0" borderId="9" xfId="3" applyNumberFormat="1" applyFont="1" applyBorder="1"/>
    <xf numFmtId="44" fontId="0" fillId="0" borderId="9" xfId="2" applyFont="1" applyBorder="1"/>
    <xf numFmtId="41" fontId="0" fillId="0" borderId="9" xfId="1" applyNumberFormat="1" applyFont="1" applyBorder="1"/>
    <xf numFmtId="165" fontId="0" fillId="0" borderId="9" xfId="1" applyNumberFormat="1" applyFont="1" applyBorder="1"/>
    <xf numFmtId="164" fontId="0" fillId="0" borderId="0" xfId="3" applyNumberFormat="1" applyFont="1" applyBorder="1"/>
    <xf numFmtId="41" fontId="0" fillId="0" borderId="11" xfId="1" applyNumberFormat="1" applyFont="1" applyBorder="1"/>
    <xf numFmtId="41" fontId="0" fillId="0" borderId="12" xfId="1" applyNumberFormat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41" fontId="11" fillId="0" borderId="0" xfId="1" applyNumberFormat="1" applyFont="1" applyBorder="1"/>
    <xf numFmtId="164" fontId="11" fillId="0" borderId="0" xfId="3" applyNumberFormat="1" applyFont="1" applyBorder="1"/>
    <xf numFmtId="0" fontId="11" fillId="0" borderId="0" xfId="0" applyFont="1" applyBorder="1"/>
    <xf numFmtId="41" fontId="12" fillId="0" borderId="0" xfId="1" applyNumberFormat="1" applyFont="1" applyBorder="1"/>
    <xf numFmtId="41" fontId="2" fillId="0" borderId="0" xfId="1" applyNumberFormat="1" applyFont="1" applyBorder="1"/>
    <xf numFmtId="10" fontId="0" fillId="0" borderId="0" xfId="3" applyNumberFormat="1" applyFont="1" applyBorder="1"/>
    <xf numFmtId="44" fontId="0" fillId="0" borderId="0" xfId="0" applyNumberFormat="1" applyBorder="1"/>
    <xf numFmtId="44" fontId="0" fillId="0" borderId="0" xfId="2" applyFont="1" applyBorder="1"/>
    <xf numFmtId="0" fontId="3" fillId="0" borderId="0" xfId="0" applyFont="1"/>
    <xf numFmtId="0" fontId="7" fillId="0" borderId="4" xfId="0" applyFont="1" applyBorder="1"/>
    <xf numFmtId="10" fontId="10" fillId="0" borderId="0" xfId="3" applyNumberFormat="1" applyFont="1" applyBorder="1"/>
    <xf numFmtId="0" fontId="7" fillId="2" borderId="0" xfId="0" applyFont="1" applyFill="1" applyBorder="1" applyAlignment="1">
      <alignment horizontal="center"/>
    </xf>
    <xf numFmtId="41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/>
    <xf numFmtId="0" fontId="14" fillId="0" borderId="0" xfId="0" applyFont="1"/>
    <xf numFmtId="0" fontId="14" fillId="0" borderId="2" xfId="0" applyFont="1" applyBorder="1"/>
    <xf numFmtId="0" fontId="14" fillId="0" borderId="0" xfId="0" applyFont="1" applyBorder="1"/>
    <xf numFmtId="41" fontId="14" fillId="0" borderId="0" xfId="1" applyNumberFormat="1" applyFont="1" applyBorder="1"/>
    <xf numFmtId="41" fontId="10" fillId="0" borderId="0" xfId="1" applyNumberFormat="1" applyFont="1" applyBorder="1"/>
    <xf numFmtId="41" fontId="10" fillId="0" borderId="9" xfId="1" applyNumberFormat="1" applyFont="1" applyBorder="1"/>
    <xf numFmtId="41" fontId="14" fillId="0" borderId="11" xfId="1" applyNumberFormat="1" applyFont="1" applyBorder="1"/>
    <xf numFmtId="41" fontId="12" fillId="0" borderId="10" xfId="1" applyNumberFormat="1" applyFont="1" applyBorder="1"/>
    <xf numFmtId="41" fontId="2" fillId="0" borderId="10" xfId="1" applyNumberFormat="1" applyFont="1" applyBorder="1"/>
    <xf numFmtId="2" fontId="9" fillId="0" borderId="0" xfId="3" applyNumberFormat="1" applyFont="1" applyBorder="1"/>
    <xf numFmtId="166" fontId="10" fillId="0" borderId="0" xfId="3" applyNumberFormat="1" applyFont="1" applyBorder="1"/>
    <xf numFmtId="165" fontId="0" fillId="0" borderId="10" xfId="1" applyNumberFormat="1" applyFont="1" applyBorder="1"/>
    <xf numFmtId="0" fontId="15" fillId="0" borderId="4" xfId="0" applyFont="1" applyBorder="1"/>
    <xf numFmtId="166" fontId="0" fillId="0" borderId="0" xfId="0" applyNumberFormat="1" applyBorder="1"/>
    <xf numFmtId="2" fontId="0" fillId="0" borderId="0" xfId="0" applyNumberFormat="1" applyBorder="1"/>
    <xf numFmtId="10" fontId="0" fillId="0" borderId="0" xfId="0" applyNumberFormat="1" applyBorder="1"/>
    <xf numFmtId="10" fontId="0" fillId="0" borderId="0" xfId="1" applyNumberFormat="1" applyFont="1" applyBorder="1"/>
    <xf numFmtId="10" fontId="12" fillId="0" borderId="0" xfId="3" applyNumberFormat="1" applyFont="1" applyBorder="1"/>
    <xf numFmtId="165" fontId="9" fillId="0" borderId="0" xfId="1" applyNumberFormat="1" applyFont="1" applyBorder="1"/>
    <xf numFmtId="165" fontId="0" fillId="0" borderId="10" xfId="0" applyNumberFormat="1" applyBorder="1"/>
    <xf numFmtId="0" fontId="0" fillId="0" borderId="10" xfId="0" applyBorder="1"/>
    <xf numFmtId="165" fontId="0" fillId="0" borderId="11" xfId="0" applyNumberFormat="1" applyBorder="1"/>
    <xf numFmtId="165" fontId="0" fillId="0" borderId="11" xfId="1" applyNumberFormat="1" applyFont="1" applyBorder="1"/>
    <xf numFmtId="41" fontId="7" fillId="0" borderId="0" xfId="1" applyNumberFormat="1" applyFont="1" applyBorder="1"/>
    <xf numFmtId="0" fontId="14" fillId="0" borderId="4" xfId="0" applyFont="1" applyBorder="1"/>
    <xf numFmtId="0" fontId="6" fillId="0" borderId="4" xfId="0" applyFont="1" applyBorder="1"/>
    <xf numFmtId="0" fontId="10" fillId="0" borderId="4" xfId="0" applyFont="1" applyBorder="1"/>
    <xf numFmtId="0" fontId="13" fillId="0" borderId="4" xfId="0" applyFont="1" applyBorder="1"/>
    <xf numFmtId="41" fontId="0" fillId="0" borderId="0" xfId="0" applyNumberFormat="1" applyBorder="1"/>
    <xf numFmtId="0" fontId="3" fillId="0" borderId="0" xfId="0" applyFont="1" applyBorder="1"/>
    <xf numFmtId="0" fontId="14" fillId="0" borderId="6" xfId="0" applyFont="1" applyBorder="1"/>
    <xf numFmtId="0" fontId="14" fillId="0" borderId="7" xfId="0" applyFont="1" applyBorder="1"/>
    <xf numFmtId="165" fontId="0" fillId="0" borderId="7" xfId="1" applyNumberFormat="1" applyFont="1" applyBorder="1"/>
    <xf numFmtId="41" fontId="0" fillId="0" borderId="10" xfId="0" applyNumberFormat="1" applyBorder="1"/>
    <xf numFmtId="41" fontId="16" fillId="0" borderId="0" xfId="1" applyNumberFormat="1" applyFont="1" applyBorder="1"/>
    <xf numFmtId="10" fontId="9" fillId="0" borderId="10" xfId="3" applyNumberFormat="1" applyFont="1" applyBorder="1"/>
    <xf numFmtId="41" fontId="0" fillId="0" borderId="5" xfId="1" applyNumberFormat="1" applyFont="1" applyBorder="1"/>
    <xf numFmtId="0" fontId="0" fillId="0" borderId="4" xfId="0" applyFill="1" applyBorder="1"/>
    <xf numFmtId="165" fontId="9" fillId="0" borderId="5" xfId="1" applyNumberFormat="1" applyFont="1" applyFill="1" applyBorder="1"/>
    <xf numFmtId="9" fontId="0" fillId="0" borderId="0" xfId="0" applyNumberFormat="1" applyBorder="1"/>
    <xf numFmtId="43" fontId="0" fillId="0" borderId="0" xfId="1" applyFont="1" applyBorder="1"/>
    <xf numFmtId="166" fontId="0" fillId="0" borderId="0" xfId="1" applyNumberFormat="1" applyFont="1" applyBorder="1"/>
    <xf numFmtId="167" fontId="0" fillId="0" borderId="0" xfId="1" applyNumberFormat="1" applyFont="1" applyBorder="1"/>
    <xf numFmtId="43" fontId="0" fillId="0" borderId="0" xfId="1" applyNumberFormat="1" applyFont="1" applyBorder="1"/>
    <xf numFmtId="168" fontId="0" fillId="0" borderId="0" xfId="1" applyNumberFormat="1" applyFont="1" applyBorder="1"/>
    <xf numFmtId="0" fontId="16" fillId="0" borderId="4" xfId="0" applyFont="1" applyFill="1" applyBorder="1"/>
    <xf numFmtId="0" fontId="8" fillId="0" borderId="4" xfId="0" applyFont="1" applyBorder="1"/>
    <xf numFmtId="0" fontId="11" fillId="0" borderId="4" xfId="0" applyFont="1" applyFill="1" applyBorder="1"/>
    <xf numFmtId="0" fontId="3" fillId="0" borderId="4" xfId="0" applyFont="1" applyBorder="1"/>
    <xf numFmtId="169" fontId="0" fillId="0" borderId="0" xfId="1" applyNumberFormat="1" applyFont="1" applyBorder="1"/>
    <xf numFmtId="169" fontId="10" fillId="0" borderId="0" xfId="1" quotePrefix="1" applyNumberFormat="1" applyFont="1" applyBorder="1"/>
    <xf numFmtId="169" fontId="0" fillId="0" borderId="0" xfId="0" applyNumberFormat="1" applyBorder="1"/>
    <xf numFmtId="168" fontId="0" fillId="0" borderId="0" xfId="0" applyNumberFormat="1" applyBorder="1"/>
    <xf numFmtId="0" fontId="7" fillId="2" borderId="13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14</xdr:row>
      <xdr:rowOff>38100</xdr:rowOff>
    </xdr:from>
    <xdr:to>
      <xdr:col>6</xdr:col>
      <xdr:colOff>179070</xdr:colOff>
      <xdr:row>17</xdr:row>
      <xdr:rowOff>64770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5E1307C4-8195-44D0-B237-DACACC406110}"/>
            </a:ext>
          </a:extLst>
        </xdr:cNvPr>
        <xdr:cNvSpPr/>
      </xdr:nvSpPr>
      <xdr:spPr>
        <a:xfrm>
          <a:off x="5093970" y="2724150"/>
          <a:ext cx="163830" cy="575310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6921b89f68d3868/Documents/Text%20Book%20project/Figures/Chapter%2016%20-%20Financial%20Stat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6.1"/>
      <sheetName val="Fig 16.2"/>
      <sheetName val="Fig 16.3"/>
      <sheetName val="Fig 16.4"/>
      <sheetName val="Fig 16.5"/>
      <sheetName val="Fig 16.6"/>
      <sheetName val="Fig 16.7"/>
      <sheetName val="Fig 16.8"/>
      <sheetName val="Fig 16.9"/>
      <sheetName val="Fig 16.10"/>
      <sheetName val="Fig 16.11"/>
      <sheetName val="Fig 16.12"/>
      <sheetName val="Fig 16.13"/>
      <sheetName val="Fig 16.14"/>
      <sheetName val="Fig 16.15"/>
      <sheetName val="Problem 16.1a"/>
      <sheetName val="Problem 16.1b"/>
      <sheetName val="Problem 16.2a"/>
      <sheetName val="Problem 16.2b"/>
      <sheetName val="Problem 16.2c"/>
      <sheetName val="Problem 16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F12">
            <v>1.7532467532467533</v>
          </cell>
          <cell r="H12">
            <v>2.5705882352941178</v>
          </cell>
        </row>
        <row r="13">
          <cell r="F13">
            <v>1.1688311688311688</v>
          </cell>
          <cell r="H13">
            <v>1.85</v>
          </cell>
        </row>
        <row r="15">
          <cell r="H15">
            <v>21.142857142857142</v>
          </cell>
        </row>
        <row r="16">
          <cell r="H16">
            <v>17.263513513513512</v>
          </cell>
        </row>
        <row r="20">
          <cell r="F20">
            <v>0.40733197556008149</v>
          </cell>
          <cell r="H20">
            <v>0.38066972062713722</v>
          </cell>
        </row>
        <row r="21">
          <cell r="F21">
            <v>2.9615384615384617</v>
          </cell>
          <cell r="H21">
            <v>3.6083333333333334</v>
          </cell>
        </row>
        <row r="25">
          <cell r="F25">
            <v>3.116883116883117</v>
          </cell>
          <cell r="H25">
            <v>2.725173210161663</v>
          </cell>
        </row>
        <row r="28">
          <cell r="H28">
            <v>11.2</v>
          </cell>
        </row>
        <row r="29">
          <cell r="H29">
            <v>32.589285714285715</v>
          </cell>
        </row>
        <row r="34">
          <cell r="F34">
            <v>0.640625</v>
          </cell>
          <cell r="H34">
            <v>0.6216216216216216</v>
          </cell>
        </row>
        <row r="35">
          <cell r="F35">
            <v>0.40104166666666669</v>
          </cell>
          <cell r="H35">
            <v>0.3900900900900901</v>
          </cell>
        </row>
        <row r="37">
          <cell r="H37">
            <v>4.7847197659088715E-2</v>
          </cell>
        </row>
        <row r="39">
          <cell r="H39">
            <v>8.1182825031371045E-2</v>
          </cell>
        </row>
        <row r="51">
          <cell r="F51">
            <v>2.1501448960472787</v>
          </cell>
          <cell r="H51">
            <v>2.6749905778202865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71475-FF74-4F2E-A639-8BAC29570A09}">
  <dimension ref="B1:M38"/>
  <sheetViews>
    <sheetView showGridLines="0" topLeftCell="A19" workbookViewId="0">
      <selection activeCell="L38" sqref="L38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14.7" thickBot="1" x14ac:dyDescent="0.55000000000000004">
      <c r="B5" s="7"/>
      <c r="C5" s="5"/>
      <c r="D5" s="101" t="s">
        <v>43</v>
      </c>
      <c r="E5" s="101"/>
      <c r="F5" s="101"/>
      <c r="G5" s="5"/>
      <c r="H5" s="101" t="s">
        <v>42</v>
      </c>
      <c r="I5" s="101"/>
      <c r="J5" s="101"/>
      <c r="K5" s="101"/>
      <c r="L5" s="101"/>
      <c r="M5" s="6"/>
    </row>
    <row r="6" spans="2:13" ht="14.7" thickBot="1" x14ac:dyDescent="0.55000000000000004">
      <c r="B6" s="100" t="s">
        <v>173</v>
      </c>
      <c r="C6" s="5"/>
      <c r="D6" s="9" t="s">
        <v>19</v>
      </c>
      <c r="E6" s="10"/>
      <c r="F6" s="9" t="s">
        <v>18</v>
      </c>
      <c r="G6" s="5"/>
      <c r="H6" s="9" t="s">
        <v>20</v>
      </c>
      <c r="I6" s="9" t="s">
        <v>21</v>
      </c>
      <c r="J6" s="9" t="s">
        <v>22</v>
      </c>
      <c r="K6" s="9" t="s">
        <v>23</v>
      </c>
      <c r="L6" s="9" t="s">
        <v>24</v>
      </c>
      <c r="M6" s="6"/>
    </row>
    <row r="7" spans="2:13" x14ac:dyDescent="0.5">
      <c r="B7" s="41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3" x14ac:dyDescent="0.5">
      <c r="B8" s="41" t="s">
        <v>25</v>
      </c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2:13" x14ac:dyDescent="0.5">
      <c r="B9" s="7" t="s">
        <v>3</v>
      </c>
      <c r="C9" s="12"/>
      <c r="D9" s="5"/>
      <c r="E9" s="5"/>
      <c r="F9" s="37">
        <f>+F15/D15-1</f>
        <v>7.4999999999999956E-2</v>
      </c>
      <c r="G9" s="5"/>
      <c r="H9" s="19">
        <v>0.05</v>
      </c>
      <c r="I9" s="19">
        <v>4.4999999999999998E-2</v>
      </c>
      <c r="J9" s="19">
        <v>0.03</v>
      </c>
      <c r="K9" s="19">
        <v>2.5000000000000001E-2</v>
      </c>
      <c r="L9" s="19">
        <v>0.02</v>
      </c>
      <c r="M9" s="6"/>
    </row>
    <row r="10" spans="2:13" x14ac:dyDescent="0.5">
      <c r="B10" s="7" t="s">
        <v>4</v>
      </c>
      <c r="C10" s="12"/>
      <c r="D10" s="5"/>
      <c r="E10" s="5"/>
      <c r="F10" s="37">
        <f>+F16/D16-1</f>
        <v>0.10869565217391308</v>
      </c>
      <c r="G10" s="5"/>
      <c r="H10" s="19">
        <v>0.1</v>
      </c>
      <c r="I10" s="19">
        <v>0.08</v>
      </c>
      <c r="J10" s="19">
        <v>0.06</v>
      </c>
      <c r="K10" s="19">
        <v>0.04</v>
      </c>
      <c r="L10" s="19">
        <v>0.02</v>
      </c>
      <c r="M10" s="6"/>
    </row>
    <row r="11" spans="2:13" x14ac:dyDescent="0.5">
      <c r="B11" s="7" t="s">
        <v>5</v>
      </c>
      <c r="C11" s="12"/>
      <c r="D11" s="5"/>
      <c r="E11" s="5"/>
      <c r="F11" s="37">
        <f>+F17/D17-1</f>
        <v>0.21951219512195119</v>
      </c>
      <c r="G11" s="5"/>
      <c r="H11" s="19">
        <v>0.2</v>
      </c>
      <c r="I11" s="19">
        <v>0.18</v>
      </c>
      <c r="J11" s="19">
        <v>0.15</v>
      </c>
      <c r="K11" s="19">
        <v>0.12</v>
      </c>
      <c r="L11" s="19">
        <v>0.08</v>
      </c>
      <c r="M11" s="6"/>
    </row>
    <row r="12" spans="2:13" x14ac:dyDescent="0.5">
      <c r="B12" s="7" t="s">
        <v>27</v>
      </c>
      <c r="C12" s="11"/>
      <c r="D12" s="5"/>
      <c r="E12" s="5"/>
      <c r="F12" s="21">
        <f>+'Proj. Income Stat'!F12/'Proj. Income Stat'!D12-1</f>
        <v>0.15625</v>
      </c>
      <c r="G12" s="5"/>
      <c r="H12" s="23">
        <f>+'Proj. Income Stat'!H12/'Proj. Income Stat'!F12-1</f>
        <v>0.10643243243243239</v>
      </c>
      <c r="I12" s="23">
        <f>+'Proj. Income Stat'!I12/'Proj. Income Stat'!H12-1</f>
        <v>9.4500503199960839E-2</v>
      </c>
      <c r="J12" s="23">
        <f>+'Proj. Income Stat'!J12/'Proj. Income Stat'!I12-1</f>
        <v>7.3440795438328488E-2</v>
      </c>
      <c r="K12" s="23">
        <f>+'Proj. Income Stat'!K12/'Proj. Income Stat'!J12-1</f>
        <v>5.9843112714663249E-2</v>
      </c>
      <c r="L12" s="23">
        <f>+'Proj. Income Stat'!L12/'Proj. Income Stat'!K12-1</f>
        <v>4.9627524074720375E-2</v>
      </c>
      <c r="M12" s="6"/>
    </row>
    <row r="13" spans="2:13" x14ac:dyDescent="0.5">
      <c r="B13" s="7"/>
      <c r="C13" s="11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2:13" x14ac:dyDescent="0.5">
      <c r="B14" s="41" t="s">
        <v>33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5">
      <c r="B15" s="7" t="s">
        <v>3</v>
      </c>
      <c r="C15" s="12"/>
      <c r="D15" s="30">
        <v>16000</v>
      </c>
      <c r="E15" s="5"/>
      <c r="F15" s="30">
        <v>17200</v>
      </c>
      <c r="G15" s="5"/>
      <c r="H15" s="30">
        <f>+F15*(1+H9)</f>
        <v>18060</v>
      </c>
      <c r="I15" s="30">
        <f t="shared" ref="I15:L17" si="0">+H15*(1+I9)</f>
        <v>18872.699999999997</v>
      </c>
      <c r="J15" s="30">
        <f t="shared" si="0"/>
        <v>19438.880999999998</v>
      </c>
      <c r="K15" s="30">
        <f t="shared" si="0"/>
        <v>19924.853024999997</v>
      </c>
      <c r="L15" s="30">
        <f t="shared" si="0"/>
        <v>20323.350085499998</v>
      </c>
      <c r="M15" s="6"/>
    </row>
    <row r="16" spans="2:13" x14ac:dyDescent="0.5">
      <c r="B16" s="7" t="s">
        <v>4</v>
      </c>
      <c r="C16" s="12"/>
      <c r="D16" s="30">
        <v>2300</v>
      </c>
      <c r="E16" s="5"/>
      <c r="F16" s="30">
        <v>2550</v>
      </c>
      <c r="G16" s="5"/>
      <c r="H16" s="30">
        <f>+F16*(1+H10)</f>
        <v>2805</v>
      </c>
      <c r="I16" s="30">
        <f t="shared" si="0"/>
        <v>3029.4</v>
      </c>
      <c r="J16" s="30">
        <f t="shared" si="0"/>
        <v>3211.1640000000002</v>
      </c>
      <c r="K16" s="30">
        <f t="shared" si="0"/>
        <v>3339.6105600000005</v>
      </c>
      <c r="L16" s="30">
        <f t="shared" si="0"/>
        <v>3406.4027712000006</v>
      </c>
      <c r="M16" s="6"/>
    </row>
    <row r="17" spans="2:13" x14ac:dyDescent="0.5">
      <c r="B17" s="7" t="s">
        <v>5</v>
      </c>
      <c r="C17" s="12"/>
      <c r="D17" s="30">
        <v>820</v>
      </c>
      <c r="E17" s="5"/>
      <c r="F17" s="30">
        <v>1000</v>
      </c>
      <c r="G17" s="5"/>
      <c r="H17" s="30">
        <f>+F17*(1+H11)</f>
        <v>1200</v>
      </c>
      <c r="I17" s="30">
        <f t="shared" si="0"/>
        <v>1416</v>
      </c>
      <c r="J17" s="30">
        <f t="shared" si="0"/>
        <v>1628.3999999999999</v>
      </c>
      <c r="K17" s="30">
        <f t="shared" si="0"/>
        <v>1823.808</v>
      </c>
      <c r="L17" s="30">
        <f t="shared" si="0"/>
        <v>1969.7126400000002</v>
      </c>
      <c r="M17" s="6"/>
    </row>
    <row r="18" spans="2:13" x14ac:dyDescent="0.5">
      <c r="B18" s="7" t="s">
        <v>28</v>
      </c>
      <c r="C18" s="11"/>
      <c r="D18" s="20">
        <f>SUM(D15:D17)</f>
        <v>19120</v>
      </c>
      <c r="E18" s="5"/>
      <c r="F18" s="20">
        <f>SUM(F15:F17)</f>
        <v>20750</v>
      </c>
      <c r="G18" s="5"/>
      <c r="H18" s="20">
        <f>SUM(H15:H17)</f>
        <v>22065</v>
      </c>
      <c r="I18" s="20">
        <f>SUM(I15:I17)</f>
        <v>23318.1</v>
      </c>
      <c r="J18" s="20">
        <f>SUM(J15:J17)</f>
        <v>24278.445</v>
      </c>
      <c r="K18" s="20">
        <f>SUM(K15:K17)</f>
        <v>25088.271584999999</v>
      </c>
      <c r="L18" s="20">
        <f>SUM(L15:L17)</f>
        <v>25699.465496699999</v>
      </c>
      <c r="M18" s="6"/>
    </row>
    <row r="19" spans="2:13" x14ac:dyDescent="0.5">
      <c r="B19" s="7"/>
      <c r="C19" s="11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2:13" x14ac:dyDescent="0.5">
      <c r="B20" s="41" t="s">
        <v>26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2:13" x14ac:dyDescent="0.5">
      <c r="B21" s="7" t="s">
        <v>3</v>
      </c>
      <c r="C21" s="12"/>
      <c r="D21" s="5"/>
      <c r="E21" s="5"/>
      <c r="F21" s="37">
        <f>+F27/D27-1</f>
        <v>6.976744186046524E-2</v>
      </c>
      <c r="G21" s="5"/>
      <c r="H21" s="19">
        <v>0.04</v>
      </c>
      <c r="I21" s="19">
        <v>3.5000000000000003E-2</v>
      </c>
      <c r="J21" s="19">
        <v>0.03</v>
      </c>
      <c r="K21" s="19">
        <v>2.5000000000000001E-2</v>
      </c>
      <c r="L21" s="19">
        <f>+K21</f>
        <v>2.5000000000000001E-2</v>
      </c>
      <c r="M21" s="6"/>
    </row>
    <row r="22" spans="2:13" x14ac:dyDescent="0.5">
      <c r="B22" s="7" t="s">
        <v>4</v>
      </c>
      <c r="C22" s="12"/>
      <c r="D22" s="5"/>
      <c r="E22" s="5"/>
      <c r="F22" s="37">
        <f>+F28/D28-1</f>
        <v>5.2287581699346442E-2</v>
      </c>
      <c r="G22" s="5"/>
      <c r="H22" s="19">
        <v>0.05</v>
      </c>
      <c r="I22" s="19">
        <v>4.4999999999999998E-2</v>
      </c>
      <c r="J22" s="19">
        <v>0.04</v>
      </c>
      <c r="K22" s="19">
        <v>0.03</v>
      </c>
      <c r="L22" s="19">
        <v>2.5000000000000001E-2</v>
      </c>
      <c r="M22" s="6"/>
    </row>
    <row r="23" spans="2:13" x14ac:dyDescent="0.5">
      <c r="B23" s="7" t="s">
        <v>5</v>
      </c>
      <c r="C23" s="12"/>
      <c r="D23" s="5"/>
      <c r="E23" s="5"/>
      <c r="F23" s="37">
        <f>+F29/D29-1</f>
        <v>2.4999999999999911E-2</v>
      </c>
      <c r="G23" s="5"/>
      <c r="H23" s="19">
        <v>0.03</v>
      </c>
      <c r="I23" s="19">
        <f>+H23</f>
        <v>0.03</v>
      </c>
      <c r="J23" s="19">
        <f>+I23</f>
        <v>0.03</v>
      </c>
      <c r="K23" s="19">
        <f>+J23</f>
        <v>0.03</v>
      </c>
      <c r="L23" s="19">
        <v>2.5000000000000001E-2</v>
      </c>
      <c r="M23" s="6"/>
    </row>
    <row r="24" spans="2:13" x14ac:dyDescent="0.5">
      <c r="B24" s="7" t="s">
        <v>29</v>
      </c>
      <c r="C24" s="11"/>
      <c r="D24" s="5"/>
      <c r="E24" s="5"/>
      <c r="F24" s="22"/>
      <c r="G24" s="5"/>
      <c r="H24" s="21">
        <f>+H30/F30-1</f>
        <v>4.0492770132471101E-2</v>
      </c>
      <c r="I24" s="21">
        <f>+I30/H30-1</f>
        <v>3.5682735862147208E-2</v>
      </c>
      <c r="J24" s="21">
        <f>+J30/I30-1</f>
        <v>3.0980353647463321E-2</v>
      </c>
      <c r="K24" s="21">
        <f>+K30/J30-1</f>
        <v>2.5632341131711645E-2</v>
      </c>
      <c r="L24" s="21">
        <f>+L30/K30-1</f>
        <v>2.4664905597320708E-2</v>
      </c>
      <c r="M24" s="6"/>
    </row>
    <row r="25" spans="2:13" x14ac:dyDescent="0.5">
      <c r="B25" s="7"/>
      <c r="C25" s="11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2:13" x14ac:dyDescent="0.5">
      <c r="B26" s="41" t="s">
        <v>34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2:13" x14ac:dyDescent="0.5">
      <c r="B27" s="7" t="s">
        <v>3</v>
      </c>
      <c r="C27" s="12"/>
      <c r="D27" s="38">
        <f>+'Proj. Income Stat'!D9/D15</f>
        <v>50</v>
      </c>
      <c r="E27" s="5"/>
      <c r="F27" s="38">
        <f>+'Proj. Income Stat'!F9/F15</f>
        <v>53.488372093023258</v>
      </c>
      <c r="G27" s="5"/>
      <c r="H27" s="39">
        <f>+F27*(1+H21)</f>
        <v>55.627906976744192</v>
      </c>
      <c r="I27" s="39">
        <f t="shared" ref="I27:L29" si="1">+H27*(1+I21)</f>
        <v>57.574883720930238</v>
      </c>
      <c r="J27" s="39">
        <f t="shared" si="1"/>
        <v>59.302130232558149</v>
      </c>
      <c r="K27" s="39">
        <f t="shared" si="1"/>
        <v>60.784683488372096</v>
      </c>
      <c r="L27" s="39">
        <f t="shared" si="1"/>
        <v>62.304300575581394</v>
      </c>
      <c r="M27" s="6"/>
    </row>
    <row r="28" spans="2:13" x14ac:dyDescent="0.5">
      <c r="B28" s="7" t="s">
        <v>4</v>
      </c>
      <c r="C28" s="12"/>
      <c r="D28" s="38">
        <f>+'Proj. Income Stat'!D10/D16</f>
        <v>52.173913043478258</v>
      </c>
      <c r="E28" s="5"/>
      <c r="F28" s="38">
        <f>+'Proj. Income Stat'!F10/F16</f>
        <v>54.901960784313722</v>
      </c>
      <c r="G28" s="5"/>
      <c r="H28" s="39">
        <f>+F28*(1+H22)</f>
        <v>57.647058823529413</v>
      </c>
      <c r="I28" s="39">
        <f t="shared" si="1"/>
        <v>60.241176470588229</v>
      </c>
      <c r="J28" s="39">
        <f t="shared" si="1"/>
        <v>62.65082352941176</v>
      </c>
      <c r="K28" s="39">
        <f t="shared" si="1"/>
        <v>64.530348235294113</v>
      </c>
      <c r="L28" s="39">
        <f t="shared" si="1"/>
        <v>66.143606941176458</v>
      </c>
      <c r="M28" s="6"/>
    </row>
    <row r="29" spans="2:13" x14ac:dyDescent="0.5">
      <c r="B29" s="7" t="s">
        <v>5</v>
      </c>
      <c r="C29" s="12"/>
      <c r="D29" s="38">
        <f>+'Proj. Income Stat'!D11/D17</f>
        <v>48.780487804878049</v>
      </c>
      <c r="E29" s="5"/>
      <c r="F29" s="38">
        <f>+'Proj. Income Stat'!F11/F17</f>
        <v>50</v>
      </c>
      <c r="G29" s="5"/>
      <c r="H29" s="39">
        <f>+F29*(1+H23)</f>
        <v>51.5</v>
      </c>
      <c r="I29" s="39">
        <f t="shared" si="1"/>
        <v>53.045000000000002</v>
      </c>
      <c r="J29" s="39">
        <f t="shared" si="1"/>
        <v>54.63635</v>
      </c>
      <c r="K29" s="39">
        <f t="shared" si="1"/>
        <v>56.275440500000002</v>
      </c>
      <c r="L29" s="39">
        <f t="shared" si="1"/>
        <v>57.682326512499998</v>
      </c>
      <c r="M29" s="6"/>
    </row>
    <row r="30" spans="2:13" x14ac:dyDescent="0.5">
      <c r="B30" s="7" t="s">
        <v>30</v>
      </c>
      <c r="C30" s="11"/>
      <c r="D30" s="24">
        <f>+'Proj. Income Stat'!D12/D18</f>
        <v>50.2092050209205</v>
      </c>
      <c r="E30" s="5"/>
      <c r="F30" s="24">
        <f>+'Proj. Income Stat'!F12/F18</f>
        <v>53.493975903614455</v>
      </c>
      <c r="G30" s="5"/>
      <c r="H30" s="24">
        <f>+'Proj. Income Stat'!H12/H18</f>
        <v>55.660095173351465</v>
      </c>
      <c r="I30" s="24">
        <f>+'Proj. Income Stat'!I12/I18</f>
        <v>57.646199647484146</v>
      </c>
      <c r="J30" s="24">
        <f>+'Proj. Income Stat'!J12/J18</f>
        <v>59.432099298995475</v>
      </c>
      <c r="K30" s="24">
        <f>+'Proj. Income Stat'!K12/K18</f>
        <v>60.955483142401093</v>
      </c>
      <c r="L30" s="24">
        <f>+'Proj. Income Stat'!L12/L18</f>
        <v>62.458944379747493</v>
      </c>
      <c r="M30" s="6"/>
    </row>
    <row r="31" spans="2:13" x14ac:dyDescent="0.5">
      <c r="B31" s="7"/>
      <c r="C31" s="11"/>
      <c r="D31" s="5"/>
      <c r="E31" s="5"/>
      <c r="F31" s="5"/>
      <c r="G31" s="5"/>
      <c r="H31" s="5"/>
      <c r="I31" s="5"/>
      <c r="J31" s="5"/>
      <c r="K31" s="5"/>
      <c r="L31" s="5"/>
      <c r="M31" s="6"/>
    </row>
    <row r="32" spans="2:13" x14ac:dyDescent="0.5">
      <c r="B32" s="41" t="s">
        <v>32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2:13" x14ac:dyDescent="0.5">
      <c r="B33" s="7" t="s">
        <v>3</v>
      </c>
      <c r="C33" s="12"/>
      <c r="D33" s="5"/>
      <c r="E33" s="5"/>
      <c r="F33" s="37">
        <f>+'Proj. Income Stat'!F9/'Proj. Income Stat'!D9-1</f>
        <v>0.14999999999999991</v>
      </c>
      <c r="G33" s="5"/>
      <c r="H33" s="37">
        <f>+'Proj. Income Stat'!H9/'Proj. Income Stat'!F9-1</f>
        <v>9.2000000000000082E-2</v>
      </c>
      <c r="I33" s="37">
        <f>+'Proj. Income Stat'!I9/'Proj. Income Stat'!H9-1</f>
        <v>8.1574999999999731E-2</v>
      </c>
      <c r="J33" s="37">
        <f>+'Proj. Income Stat'!J9/'Proj. Income Stat'!I9-1</f>
        <v>6.0900000000000176E-2</v>
      </c>
      <c r="K33" s="37">
        <f>+'Proj. Income Stat'!K9/'Proj. Income Stat'!J9-1</f>
        <v>5.062499999999992E-2</v>
      </c>
      <c r="L33" s="37">
        <f>+'Proj. Income Stat'!L9/'Proj. Income Stat'!K9-1</f>
        <v>4.5499999999999874E-2</v>
      </c>
      <c r="M33" s="6"/>
    </row>
    <row r="34" spans="2:13" x14ac:dyDescent="0.5">
      <c r="B34" s="7" t="s">
        <v>4</v>
      </c>
      <c r="C34" s="12"/>
      <c r="D34" s="5"/>
      <c r="E34" s="5"/>
      <c r="F34" s="37">
        <f>+'Proj. Income Stat'!F10/'Proj. Income Stat'!D10-1</f>
        <v>0.16666666666666674</v>
      </c>
      <c r="G34" s="5"/>
      <c r="H34" s="37">
        <f>+'Proj. Income Stat'!H10/'Proj. Income Stat'!F10-1</f>
        <v>0.15500000000000003</v>
      </c>
      <c r="I34" s="37">
        <f>+'Proj. Income Stat'!I10/'Proj. Income Stat'!H10-1</f>
        <v>0.12860000000000005</v>
      </c>
      <c r="J34" s="37">
        <f>+'Proj. Income Stat'!J10/'Proj. Income Stat'!I10-1</f>
        <v>0.10240000000000005</v>
      </c>
      <c r="K34" s="37">
        <f>+'Proj. Income Stat'!K10/'Proj. Income Stat'!J10-1</f>
        <v>7.1200000000000152E-2</v>
      </c>
      <c r="L34" s="37">
        <f>+'Proj. Income Stat'!L10/'Proj. Income Stat'!K10-1</f>
        <v>4.5499999999999874E-2</v>
      </c>
      <c r="M34" s="6"/>
    </row>
    <row r="35" spans="2:13" x14ac:dyDescent="0.5">
      <c r="B35" s="7" t="s">
        <v>5</v>
      </c>
      <c r="C35" s="12"/>
      <c r="D35" s="5"/>
      <c r="E35" s="5"/>
      <c r="F35" s="37">
        <f>+'Proj. Income Stat'!F11/'Proj. Income Stat'!D11-1</f>
        <v>0.25</v>
      </c>
      <c r="G35" s="5"/>
      <c r="H35" s="37">
        <f>+'Proj. Income Stat'!H11/'Proj. Income Stat'!F11-1</f>
        <v>0.23599999999999999</v>
      </c>
      <c r="I35" s="37">
        <f>+'Proj. Income Stat'!I11/'Proj. Income Stat'!H11-1</f>
        <v>0.21540000000000004</v>
      </c>
      <c r="J35" s="37">
        <f>+'Proj. Income Stat'!J11/'Proj. Income Stat'!I11-1</f>
        <v>0.18449999999999989</v>
      </c>
      <c r="K35" s="37">
        <f>+'Proj. Income Stat'!K11/'Proj. Income Stat'!J11-1</f>
        <v>0.15360000000000018</v>
      </c>
      <c r="L35" s="37">
        <f>+'Proj. Income Stat'!L11/'Proj. Income Stat'!K11-1</f>
        <v>0.10700000000000021</v>
      </c>
      <c r="M35" s="6"/>
    </row>
    <row r="36" spans="2:13" x14ac:dyDescent="0.5">
      <c r="B36" s="7" t="s">
        <v>29</v>
      </c>
      <c r="C36" s="11"/>
      <c r="D36" s="5"/>
      <c r="E36" s="5"/>
      <c r="F36" s="21">
        <f>+'Proj. Income Stat'!F12/'Proj. Income Stat'!D12-1</f>
        <v>0.15625</v>
      </c>
      <c r="G36" s="5"/>
      <c r="H36" s="21">
        <f>+'Proj. Income Stat'!H12/'Proj. Income Stat'!F12-1</f>
        <v>0.10643243243243239</v>
      </c>
      <c r="I36" s="21">
        <f>+'Proj. Income Stat'!I12/'Proj. Income Stat'!H12-1</f>
        <v>9.4500503199960839E-2</v>
      </c>
      <c r="J36" s="21">
        <f>+'Proj. Income Stat'!J12/'Proj. Income Stat'!I12-1</f>
        <v>7.3440795438328488E-2</v>
      </c>
      <c r="K36" s="21">
        <f>+'Proj. Income Stat'!K12/'Proj. Income Stat'!J12-1</f>
        <v>5.9843112714663249E-2</v>
      </c>
      <c r="L36" s="21">
        <f>+'Proj. Income Stat'!L12/'Proj. Income Stat'!K12-1</f>
        <v>4.9627524074720375E-2</v>
      </c>
      <c r="M36" s="6"/>
    </row>
    <row r="37" spans="2:13" ht="14.7" thickBot="1" x14ac:dyDescent="0.55000000000000004">
      <c r="B37" s="13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6"/>
    </row>
    <row r="38" spans="2:13" x14ac:dyDescent="0.5">
      <c r="L38" s="40"/>
    </row>
  </sheetData>
  <mergeCells count="2">
    <mergeCell ref="D5:F5"/>
    <mergeCell ref="H5:L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999D-593D-4597-AF75-D8A7F76A5565}">
  <dimension ref="B1:M41"/>
  <sheetViews>
    <sheetView showGridLines="0" topLeftCell="A31" workbookViewId="0">
      <selection activeCell="L42" sqref="L42"/>
    </sheetView>
  </sheetViews>
  <sheetFormatPr defaultRowHeight="14.35" x14ac:dyDescent="0.5"/>
  <cols>
    <col min="1" max="1" width="2.76171875" customWidth="1"/>
    <col min="2" max="2" width="36.64453125" style="47" customWidth="1"/>
    <col min="3" max="3" width="4.703125" style="47" customWidth="1"/>
    <col min="4" max="4" width="8.64453125" style="47" customWidth="1"/>
    <col min="5" max="5" width="2.703125" style="47" customWidth="1"/>
    <col min="6" max="6" width="11.64453125" style="47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48"/>
      <c r="D2" s="48"/>
      <c r="E2" s="48"/>
      <c r="F2" s="48"/>
      <c r="G2" s="2"/>
      <c r="H2" s="2"/>
      <c r="I2" s="2"/>
      <c r="J2" s="2"/>
      <c r="K2" s="2"/>
      <c r="L2" s="2"/>
      <c r="M2" s="3"/>
    </row>
    <row r="3" spans="2:13" ht="15.35" x14ac:dyDescent="0.5">
      <c r="B3" s="72" t="s">
        <v>83</v>
      </c>
      <c r="C3" s="49"/>
      <c r="D3" s="49"/>
      <c r="E3" s="49"/>
      <c r="F3" s="49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1"/>
      <c r="C4" s="49"/>
      <c r="D4" s="49"/>
      <c r="E4" s="49"/>
      <c r="F4" s="49"/>
      <c r="G4" s="5"/>
      <c r="H4" s="101" t="s">
        <v>42</v>
      </c>
      <c r="I4" s="101"/>
      <c r="J4" s="101"/>
      <c r="K4" s="101"/>
      <c r="L4" s="101"/>
      <c r="M4" s="6"/>
    </row>
    <row r="5" spans="2:13" ht="14.7" thickBot="1" x14ac:dyDescent="0.55000000000000004">
      <c r="B5" s="100" t="s">
        <v>173</v>
      </c>
      <c r="C5" s="49"/>
      <c r="D5" s="49"/>
      <c r="E5" s="8"/>
      <c r="F5" s="9" t="s">
        <v>152</v>
      </c>
      <c r="G5" s="5"/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6"/>
    </row>
    <row r="6" spans="2:13" x14ac:dyDescent="0.5">
      <c r="B6" s="71"/>
      <c r="C6" s="49"/>
      <c r="D6" s="49"/>
      <c r="E6" s="50"/>
      <c r="F6" s="50"/>
      <c r="G6" s="5"/>
      <c r="H6" s="5"/>
      <c r="I6" s="5"/>
      <c r="J6" s="5"/>
      <c r="K6" s="5"/>
      <c r="L6" s="5"/>
      <c r="M6" s="6"/>
    </row>
    <row r="7" spans="2:13" x14ac:dyDescent="0.5">
      <c r="B7" s="73" t="s">
        <v>84</v>
      </c>
      <c r="C7" s="46"/>
      <c r="D7" s="46"/>
      <c r="E7" s="51"/>
      <c r="F7" s="35">
        <v>148800</v>
      </c>
      <c r="G7" s="5"/>
      <c r="H7" s="30">
        <f>+'Proj. Income Stat'!H42</f>
        <v>194653.31999999995</v>
      </c>
      <c r="I7" s="30">
        <f>+'Proj. Income Stat'!I42</f>
        <v>220605.61874400006</v>
      </c>
      <c r="J7" s="30">
        <f>+'Proj. Income Stat'!J42</f>
        <v>235439.42302628167</v>
      </c>
      <c r="K7" s="30">
        <f>+'Proj. Income Stat'!K42</f>
        <v>237691.468363655</v>
      </c>
      <c r="L7" s="30">
        <f>+'Proj. Income Stat'!L42</f>
        <v>244276.83379024928</v>
      </c>
      <c r="M7" s="6"/>
    </row>
    <row r="8" spans="2:13" x14ac:dyDescent="0.5">
      <c r="B8" s="73" t="s">
        <v>85</v>
      </c>
      <c r="C8" s="46"/>
      <c r="D8" s="46"/>
      <c r="E8" s="51"/>
      <c r="F8" s="35">
        <v>65000</v>
      </c>
      <c r="G8" s="5"/>
      <c r="H8" s="30">
        <f>+'Proj. Income Stat'!H33</f>
        <v>73688.399999999994</v>
      </c>
      <c r="I8" s="30">
        <f>+'Proj. Income Stat'!I33</f>
        <v>80651.990879999998</v>
      </c>
      <c r="J8" s="30">
        <f>+'Proj. Income Stat'!J33</f>
        <v>86575.137243912002</v>
      </c>
      <c r="K8" s="30">
        <f>+'Proj. Income Stat'!K33</f>
        <v>91756.062940286865</v>
      </c>
      <c r="L8" s="30">
        <f>+'Proj. Income Stat'!L33</f>
        <v>96309.689162857496</v>
      </c>
      <c r="M8" s="6"/>
    </row>
    <row r="9" spans="2:13" x14ac:dyDescent="0.5">
      <c r="B9" s="73" t="s">
        <v>86</v>
      </c>
      <c r="C9" s="46"/>
      <c r="D9" s="46"/>
      <c r="E9" s="51"/>
      <c r="F9" s="54">
        <v>5000</v>
      </c>
      <c r="G9" s="5"/>
      <c r="H9" s="30">
        <f>+'Tax Assump'!H9</f>
        <v>5190.7551999999996</v>
      </c>
      <c r="I9" s="30">
        <f>+'Tax Assump'!I9</f>
        <v>5882.8164998400016</v>
      </c>
      <c r="J9" s="30">
        <f>+'Tax Assump'!J9</f>
        <v>6278.3846140341775</v>
      </c>
      <c r="K9" s="30">
        <f>+'Tax Assump'!K9</f>
        <v>6338.4391563641339</v>
      </c>
      <c r="L9" s="30">
        <f>+'Tax Assump'!L9</f>
        <v>6514.0489010733145</v>
      </c>
      <c r="M9" s="6"/>
    </row>
    <row r="10" spans="2:13" x14ac:dyDescent="0.5">
      <c r="B10" s="73" t="s">
        <v>87</v>
      </c>
      <c r="C10" s="46"/>
      <c r="D10" s="46"/>
      <c r="E10" s="51"/>
      <c r="F10" s="52">
        <f>SUM(F7:F9)</f>
        <v>218800</v>
      </c>
      <c r="G10" s="5"/>
      <c r="H10" s="52">
        <f t="shared" ref="H10:L10" si="0">SUM(H7:H9)</f>
        <v>273532.47519999999</v>
      </c>
      <c r="I10" s="52">
        <f t="shared" si="0"/>
        <v>307140.42612384004</v>
      </c>
      <c r="J10" s="52">
        <f t="shared" si="0"/>
        <v>328292.94488422782</v>
      </c>
      <c r="K10" s="52">
        <f t="shared" si="0"/>
        <v>335785.97046030598</v>
      </c>
      <c r="L10" s="52">
        <f t="shared" si="0"/>
        <v>347100.57185418007</v>
      </c>
      <c r="M10" s="6"/>
    </row>
    <row r="11" spans="2:13" x14ac:dyDescent="0.5">
      <c r="B11" s="71"/>
      <c r="C11" s="49"/>
      <c r="D11" s="49"/>
      <c r="E11" s="49"/>
      <c r="F11" s="49"/>
      <c r="G11" s="5"/>
      <c r="H11" s="5"/>
      <c r="I11" s="5"/>
      <c r="J11" s="5"/>
      <c r="K11" s="5"/>
      <c r="L11" s="5"/>
      <c r="M11" s="6"/>
    </row>
    <row r="12" spans="2:13" x14ac:dyDescent="0.5">
      <c r="B12" s="74" t="s">
        <v>88</v>
      </c>
      <c r="C12" s="46"/>
      <c r="D12" s="46"/>
      <c r="E12" s="51"/>
      <c r="F12" s="51"/>
      <c r="G12" s="5"/>
      <c r="H12" s="5"/>
      <c r="I12" s="5"/>
      <c r="J12" s="5"/>
      <c r="K12" s="5"/>
      <c r="L12" s="5"/>
      <c r="M12" s="6"/>
    </row>
    <row r="13" spans="2:13" x14ac:dyDescent="0.5">
      <c r="B13" s="73" t="s">
        <v>89</v>
      </c>
      <c r="C13" s="46"/>
      <c r="D13" s="46"/>
      <c r="E13" s="51"/>
      <c r="F13" s="35">
        <v>-15000</v>
      </c>
      <c r="G13" s="5"/>
      <c r="H13" s="30">
        <f>+'Proj. Balance Sheet'!F9-'Proj. Balance Sheet'!H9</f>
        <v>1912.2972972973075</v>
      </c>
      <c r="I13" s="30">
        <f>+'Proj. Balance Sheet'!H9-'Proj. Balance Sheet'!I9</f>
        <v>-5489.3171351351339</v>
      </c>
      <c r="J13" s="30">
        <f>+'Proj. Balance Sheet'!I9-'Proj. Balance Sheet'!J9</f>
        <v>-4669.1469084892015</v>
      </c>
      <c r="K13" s="30">
        <f>+'Proj. Balance Sheet'!J9-'Proj. Balance Sheet'!K9</f>
        <v>-4084.0630489441392</v>
      </c>
      <c r="L13" s="30">
        <f>+'Proj. Balance Sheet'!K9-'Proj. Balance Sheet'!L9</f>
        <v>-3589.5702204948757</v>
      </c>
      <c r="M13" s="6"/>
    </row>
    <row r="14" spans="2:13" x14ac:dyDescent="0.5">
      <c r="B14" s="73" t="s">
        <v>90</v>
      </c>
      <c r="C14" s="46"/>
      <c r="D14" s="46"/>
      <c r="E14" s="51"/>
      <c r="F14" s="35">
        <v>-5000</v>
      </c>
      <c r="G14" s="5"/>
      <c r="H14" s="75">
        <f>+'Proj. Balance Sheet'!F10-'Proj. Balance Sheet'!H10</f>
        <v>-1346.2678571428696</v>
      </c>
      <c r="I14" s="30">
        <f>+'Proj. Balance Sheet'!H10-'Proj. Balance Sheet'!I10</f>
        <v>-3905.815896428554</v>
      </c>
      <c r="J14" s="30">
        <f>+'Proj. Balance Sheet'!I10-'Proj. Balance Sheet'!J10</f>
        <v>-3324.0892034764402</v>
      </c>
      <c r="K14" s="30">
        <f>+'Proj. Balance Sheet'!J10-'Proj. Balance Sheet'!K10</f>
        <v>-2915.724985334884</v>
      </c>
      <c r="L14" s="30">
        <f>+'Proj. Balance Sheet'!K10-'Proj. Balance Sheet'!L10</f>
        <v>-2568.3131175614908</v>
      </c>
      <c r="M14" s="6"/>
    </row>
    <row r="15" spans="2:13" x14ac:dyDescent="0.5">
      <c r="B15" s="73" t="s">
        <v>91</v>
      </c>
      <c r="C15" s="46"/>
      <c r="D15" s="46"/>
      <c r="E15" s="51"/>
      <c r="F15" s="35">
        <v>1000</v>
      </c>
      <c r="G15" s="5"/>
      <c r="H15" s="75">
        <f>+'Proj. Balance Sheet'!F11-'Proj. Balance Sheet'!H11</f>
        <v>-957.89189189189165</v>
      </c>
      <c r="I15" s="30">
        <f>+'Proj. Balance Sheet'!H11-'Proj. Balance Sheet'!I11</f>
        <v>-941.02579459459594</v>
      </c>
      <c r="J15" s="30">
        <f>+'Proj. Balance Sheet'!I11-'Proj. Balance Sheet'!J11</f>
        <v>-800.42518431243298</v>
      </c>
      <c r="K15" s="30">
        <f>+'Proj. Balance Sheet'!J11-'Proj. Balance Sheet'!K11</f>
        <v>-700.12509410471102</v>
      </c>
      <c r="L15" s="30">
        <f>+'Proj. Balance Sheet'!K11-'Proj. Balance Sheet'!L11</f>
        <v>-615.35489494197827</v>
      </c>
      <c r="M15" s="6"/>
    </row>
    <row r="16" spans="2:13" x14ac:dyDescent="0.5">
      <c r="B16" s="73" t="s">
        <v>92</v>
      </c>
      <c r="C16" s="46"/>
      <c r="D16" s="46"/>
      <c r="E16" s="51"/>
      <c r="F16" s="35">
        <v>5000</v>
      </c>
      <c r="G16" s="5"/>
      <c r="H16" s="75">
        <f>+'Proj. Balance Sheet'!H29-'Proj. Balance Sheet'!F29</f>
        <v>1346.2678571428696</v>
      </c>
      <c r="I16" s="75">
        <f>+'Proj. Balance Sheet'!I29-'Proj. Balance Sheet'!H29</f>
        <v>3905.815896428554</v>
      </c>
      <c r="J16" s="75">
        <f>+'Proj. Balance Sheet'!J29-'Proj. Balance Sheet'!I29</f>
        <v>3324.0892034764402</v>
      </c>
      <c r="K16" s="75">
        <f>+'Proj. Balance Sheet'!K29-'Proj. Balance Sheet'!J29</f>
        <v>2915.724985334884</v>
      </c>
      <c r="L16" s="75">
        <f>+'Proj. Balance Sheet'!L29-'Proj. Balance Sheet'!K29</f>
        <v>2568.3131175614908</v>
      </c>
      <c r="M16" s="6"/>
    </row>
    <row r="17" spans="2:13" x14ac:dyDescent="0.5">
      <c r="B17" s="73" t="s">
        <v>93</v>
      </c>
      <c r="C17" s="46"/>
      <c r="D17" s="46"/>
      <c r="E17" s="51"/>
      <c r="F17" s="35">
        <v>-2000</v>
      </c>
      <c r="G17" s="5"/>
      <c r="H17" s="75">
        <f>+'Proj. Balance Sheet'!H30-'Proj. Balance Sheet'!F30</f>
        <v>1064.3243243243251</v>
      </c>
      <c r="I17" s="75">
        <f>+'Proj. Balance Sheet'!I30-'Proj. Balance Sheet'!H30</f>
        <v>1045.5842162162153</v>
      </c>
      <c r="J17" s="75">
        <f>+'Proj. Balance Sheet'!J30-'Proj. Balance Sheet'!I30</f>
        <v>889.36131590270452</v>
      </c>
      <c r="K17" s="75">
        <f>+'Proj. Balance Sheet'!K30-'Proj. Balance Sheet'!J30</f>
        <v>777.91677122745568</v>
      </c>
      <c r="L17" s="75">
        <f>+'Proj. Balance Sheet'!L30-'Proj. Balance Sheet'!K30</f>
        <v>683.72766104664151</v>
      </c>
      <c r="M17" s="6"/>
    </row>
    <row r="18" spans="2:13" x14ac:dyDescent="0.5">
      <c r="B18" s="73" t="s">
        <v>94</v>
      </c>
      <c r="C18" s="46"/>
      <c r="D18" s="46"/>
      <c r="E18" s="51"/>
      <c r="F18" s="35">
        <v>-2000</v>
      </c>
      <c r="G18" s="5"/>
      <c r="H18" s="75">
        <f>+'Proj. Balance Sheet'!H31-'Proj. Balance Sheet'!F31</f>
        <v>851.45945945946005</v>
      </c>
      <c r="I18" s="75">
        <f>+'Proj. Balance Sheet'!I31-'Proj. Balance Sheet'!H31</f>
        <v>836.46737297297295</v>
      </c>
      <c r="J18" s="75">
        <f>+'Proj. Balance Sheet'!J31-'Proj. Balance Sheet'!I31</f>
        <v>711.48905272216325</v>
      </c>
      <c r="K18" s="75">
        <f>+'Proj. Balance Sheet'!K31-'Proj. Balance Sheet'!J31</f>
        <v>622.33341698196455</v>
      </c>
      <c r="L18" s="75">
        <f>+'Proj. Balance Sheet'!L31-'Proj. Balance Sheet'!K31</f>
        <v>546.98212883731321</v>
      </c>
      <c r="M18" s="6"/>
    </row>
    <row r="19" spans="2:13" x14ac:dyDescent="0.5">
      <c r="B19" s="73" t="s">
        <v>95</v>
      </c>
      <c r="C19" s="46"/>
      <c r="D19" s="46"/>
      <c r="E19" s="51"/>
      <c r="F19" s="52">
        <f>SUM(F13:F18)</f>
        <v>-18000</v>
      </c>
      <c r="G19" s="5"/>
      <c r="H19" s="52">
        <f t="shared" ref="H19:L19" si="1">SUM(H13:H18)</f>
        <v>2870.189189189201</v>
      </c>
      <c r="I19" s="52">
        <f t="shared" si="1"/>
        <v>-4548.2913405405416</v>
      </c>
      <c r="J19" s="52">
        <f t="shared" si="1"/>
        <v>-3868.7217241767667</v>
      </c>
      <c r="K19" s="52">
        <f t="shared" si="1"/>
        <v>-3383.9379548394299</v>
      </c>
      <c r="L19" s="52">
        <f t="shared" si="1"/>
        <v>-2974.2153255528992</v>
      </c>
      <c r="M19" s="6"/>
    </row>
    <row r="20" spans="2:13" x14ac:dyDescent="0.5">
      <c r="B20" s="73"/>
      <c r="C20" s="46"/>
      <c r="D20" s="46"/>
      <c r="E20" s="51"/>
      <c r="F20" s="51"/>
      <c r="G20" s="51"/>
      <c r="H20" s="5"/>
      <c r="I20" s="5"/>
      <c r="J20" s="5"/>
      <c r="K20" s="5"/>
      <c r="L20" s="5"/>
      <c r="M20" s="6"/>
    </row>
    <row r="21" spans="2:13" x14ac:dyDescent="0.5">
      <c r="B21" s="41" t="s">
        <v>96</v>
      </c>
      <c r="C21" s="8"/>
      <c r="D21" s="8"/>
      <c r="E21" s="70"/>
      <c r="F21" s="70">
        <f>+F10+F19</f>
        <v>200800</v>
      </c>
      <c r="G21" s="76"/>
      <c r="H21" s="70">
        <f t="shared" ref="H21:L21" si="2">+H10+H19</f>
        <v>276402.66438918922</v>
      </c>
      <c r="I21" s="70">
        <f t="shared" si="2"/>
        <v>302592.13478329952</v>
      </c>
      <c r="J21" s="70">
        <f t="shared" si="2"/>
        <v>324424.22316005104</v>
      </c>
      <c r="K21" s="70">
        <f t="shared" si="2"/>
        <v>332402.03250546654</v>
      </c>
      <c r="L21" s="70">
        <f t="shared" si="2"/>
        <v>344126.35652862716</v>
      </c>
      <c r="M21" s="6"/>
    </row>
    <row r="22" spans="2:13" x14ac:dyDescent="0.5">
      <c r="B22" s="71"/>
      <c r="C22" s="49"/>
      <c r="D22" s="49"/>
      <c r="E22" s="49"/>
      <c r="F22" s="49"/>
      <c r="G22" s="5"/>
      <c r="H22" s="5"/>
      <c r="I22" s="5"/>
      <c r="J22" s="5"/>
      <c r="K22" s="5"/>
      <c r="L22" s="5"/>
      <c r="M22" s="6"/>
    </row>
    <row r="23" spans="2:13" x14ac:dyDescent="0.5">
      <c r="B23" s="74" t="s">
        <v>97</v>
      </c>
      <c r="C23" s="46"/>
      <c r="D23" s="46"/>
      <c r="E23" s="51"/>
      <c r="F23" s="51"/>
      <c r="G23" s="5"/>
      <c r="H23" s="5"/>
      <c r="I23" s="5"/>
      <c r="J23" s="5"/>
      <c r="K23" s="5"/>
      <c r="L23" s="5"/>
      <c r="M23" s="6"/>
    </row>
    <row r="24" spans="2:13" x14ac:dyDescent="0.5">
      <c r="B24" s="73" t="s">
        <v>98</v>
      </c>
      <c r="C24" s="46"/>
      <c r="D24" s="46"/>
      <c r="E24" s="51"/>
      <c r="F24" s="35">
        <v>-125000</v>
      </c>
      <c r="G24" s="5"/>
      <c r="H24" s="30">
        <f>-'Cash Flow Assump'!H7*'Proj. Income Stat'!H12</f>
        <v>-138304.05405405405</v>
      </c>
      <c r="I24" s="30">
        <f>-'Cash Flow Assump'!I7*'Proj. Income Stat'!I12</f>
        <v>-151373.85675675675</v>
      </c>
      <c r="J24" s="30">
        <f>-'Cash Flow Assump'!J7*'Proj. Income Stat'!J12</f>
        <v>-162490.87320554056</v>
      </c>
      <c r="K24" s="30">
        <f>-'Cash Flow Assump'!K7*'Proj. Income Stat'!K12</f>
        <v>-172214.83284588376</v>
      </c>
      <c r="L24" s="30">
        <f>-'Cash Flow Assump'!L7*'Proj. Income Stat'!L12</f>
        <v>-180761.42860896679</v>
      </c>
      <c r="M24" s="6"/>
    </row>
    <row r="25" spans="2:13" ht="14.7" thickBot="1" x14ac:dyDescent="0.55000000000000004">
      <c r="B25" s="73" t="s">
        <v>99</v>
      </c>
      <c r="C25" s="46"/>
      <c r="D25" s="46"/>
      <c r="E25" s="51"/>
      <c r="F25" s="54">
        <v>-50000</v>
      </c>
      <c r="G25" s="5"/>
      <c r="H25" s="69">
        <f>-'Cash Flow Assump'!H10*'Proj. Income Stat'!H12</f>
        <v>-55321.62162162162</v>
      </c>
      <c r="I25" s="69">
        <f>-'Cash Flow Assump'!I10*'Proj. Income Stat'!I12</f>
        <v>-60549.542702702696</v>
      </c>
      <c r="J25" s="69">
        <f>-'Cash Flow Assump'!J10*'Proj. Income Stat'!J12</f>
        <v>-64996.349282216222</v>
      </c>
      <c r="K25" s="69">
        <f>-'Cash Flow Assump'!K10*'Proj. Income Stat'!K12</f>
        <v>-68885.933138353503</v>
      </c>
      <c r="L25" s="69">
        <f>-'Cash Flow Assump'!L10*'Proj. Income Stat'!L12</f>
        <v>-72304.571443586712</v>
      </c>
      <c r="M25" s="6"/>
    </row>
    <row r="26" spans="2:13" ht="14.7" thickTop="1" x14ac:dyDescent="0.5">
      <c r="B26" s="73" t="s">
        <v>100</v>
      </c>
      <c r="C26" s="46"/>
      <c r="D26" s="46"/>
      <c r="E26" s="51"/>
      <c r="F26" s="51">
        <f>SUM(F24:F25)</f>
        <v>-175000</v>
      </c>
      <c r="G26" s="5"/>
      <c r="H26" s="51">
        <f>SUM(H24:H25)</f>
        <v>-193625.67567567568</v>
      </c>
      <c r="I26" s="51">
        <f t="shared" ref="I26:L26" si="3">SUM(I24:I25)</f>
        <v>-211923.39945945944</v>
      </c>
      <c r="J26" s="51">
        <f t="shared" si="3"/>
        <v>-227487.22248775678</v>
      </c>
      <c r="K26" s="51">
        <f t="shared" si="3"/>
        <v>-241100.76598423725</v>
      </c>
      <c r="L26" s="51">
        <f t="shared" si="3"/>
        <v>-253066.00005255349</v>
      </c>
      <c r="M26" s="6"/>
    </row>
    <row r="27" spans="2:13" x14ac:dyDescent="0.5">
      <c r="B27" s="73"/>
      <c r="C27" s="46"/>
      <c r="D27" s="46"/>
      <c r="E27" s="51"/>
      <c r="F27" s="51"/>
      <c r="G27" s="5"/>
      <c r="H27" s="51"/>
      <c r="I27" s="51"/>
      <c r="J27" s="51"/>
      <c r="K27" s="51"/>
      <c r="L27" s="51"/>
      <c r="M27" s="6"/>
    </row>
    <row r="28" spans="2:13" x14ac:dyDescent="0.5">
      <c r="B28" s="73" t="s">
        <v>101</v>
      </c>
      <c r="C28" s="46"/>
      <c r="D28" s="46"/>
      <c r="E28" s="51"/>
      <c r="F28" s="51">
        <f>+F21+F26</f>
        <v>25800</v>
      </c>
      <c r="G28" s="5"/>
      <c r="H28" s="51">
        <f>+H21+H26</f>
        <v>82776.988713513536</v>
      </c>
      <c r="I28" s="51">
        <f t="shared" ref="I28:L28" si="4">+I21+I26</f>
        <v>90668.735323840083</v>
      </c>
      <c r="J28" s="51">
        <f t="shared" si="4"/>
        <v>96937.000672294263</v>
      </c>
      <c r="K28" s="51">
        <f t="shared" si="4"/>
        <v>91301.266521229292</v>
      </c>
      <c r="L28" s="51">
        <f t="shared" si="4"/>
        <v>91060.356476073677</v>
      </c>
      <c r="M28" s="6"/>
    </row>
    <row r="29" spans="2:13" x14ac:dyDescent="0.5">
      <c r="B29" s="71"/>
      <c r="C29" s="49"/>
      <c r="D29" s="49"/>
      <c r="E29" s="49"/>
      <c r="F29" s="49"/>
      <c r="G29" s="5"/>
      <c r="H29" s="5"/>
      <c r="I29" s="5"/>
      <c r="J29" s="5"/>
      <c r="K29" s="5"/>
      <c r="L29" s="5"/>
      <c r="M29" s="6"/>
    </row>
    <row r="30" spans="2:13" x14ac:dyDescent="0.5">
      <c r="B30" s="74" t="s">
        <v>102</v>
      </c>
      <c r="C30" s="49"/>
      <c r="D30" s="49"/>
      <c r="E30" s="50"/>
      <c r="F30" s="50"/>
      <c r="G30" s="5"/>
      <c r="H30" s="5"/>
      <c r="I30" s="5"/>
      <c r="J30" s="5"/>
      <c r="K30" s="5"/>
      <c r="L30" s="5"/>
      <c r="M30" s="6"/>
    </row>
    <row r="31" spans="2:13" x14ac:dyDescent="0.5">
      <c r="B31" s="71" t="s">
        <v>103</v>
      </c>
      <c r="C31" s="49"/>
      <c r="D31" s="49"/>
      <c r="E31" s="50"/>
      <c r="F31" s="36">
        <v>-10000</v>
      </c>
      <c r="G31" s="5"/>
      <c r="H31" s="30">
        <f>-'Debt Schedule'!H15</f>
        <v>-10000</v>
      </c>
      <c r="I31" s="30">
        <f>-'Debt Schedule'!I15</f>
        <v>0</v>
      </c>
      <c r="J31" s="30">
        <f>-'Debt Schedule'!J15</f>
        <v>0</v>
      </c>
      <c r="K31" s="30">
        <f>-'Debt Schedule'!K15</f>
        <v>0</v>
      </c>
      <c r="L31" s="30">
        <f>-'Debt Schedule'!L15</f>
        <v>0</v>
      </c>
      <c r="M31" s="6"/>
    </row>
    <row r="32" spans="2:13" x14ac:dyDescent="0.5">
      <c r="B32" s="73" t="s">
        <v>104</v>
      </c>
      <c r="C32" s="49"/>
      <c r="D32" s="49"/>
      <c r="E32" s="50"/>
      <c r="F32" s="36">
        <v>-20000</v>
      </c>
      <c r="G32" s="5"/>
      <c r="H32" s="30">
        <f>-'Debt Schedule'!H24</f>
        <v>-20000</v>
      </c>
      <c r="I32" s="30">
        <f>-'Debt Schedule'!I24</f>
        <v>-30000</v>
      </c>
      <c r="J32" s="30">
        <f>-'Debt Schedule'!J24</f>
        <v>-40000</v>
      </c>
      <c r="K32" s="30">
        <f>-'Debt Schedule'!K24</f>
        <v>-60000</v>
      </c>
      <c r="L32" s="30">
        <f>-'Debt Schedule'!L24</f>
        <v>-80000</v>
      </c>
      <c r="M32" s="6"/>
    </row>
    <row r="33" spans="2:13" x14ac:dyDescent="0.5">
      <c r="B33" s="71" t="s">
        <v>105</v>
      </c>
      <c r="C33" s="49"/>
      <c r="D33" s="49"/>
      <c r="E33" s="50"/>
      <c r="F33" s="55">
        <v>25000</v>
      </c>
      <c r="G33" s="5"/>
      <c r="H33" s="58"/>
      <c r="I33" s="58"/>
      <c r="J33" s="58"/>
      <c r="K33" s="58"/>
      <c r="L33" s="58"/>
      <c r="M33" s="6"/>
    </row>
    <row r="34" spans="2:13" x14ac:dyDescent="0.5">
      <c r="B34" s="71" t="s">
        <v>100</v>
      </c>
      <c r="C34" s="49"/>
      <c r="D34" s="49"/>
      <c r="E34" s="50"/>
      <c r="F34" s="50">
        <f>SUM(F31:F33)</f>
        <v>-5000</v>
      </c>
      <c r="G34" s="5"/>
      <c r="H34" s="50">
        <f t="shared" ref="H34:L34" si="5">SUM(H31:H33)</f>
        <v>-30000</v>
      </c>
      <c r="I34" s="50">
        <f t="shared" si="5"/>
        <v>-30000</v>
      </c>
      <c r="J34" s="50">
        <f t="shared" si="5"/>
        <v>-40000</v>
      </c>
      <c r="K34" s="50">
        <f t="shared" si="5"/>
        <v>-60000</v>
      </c>
      <c r="L34" s="50">
        <f t="shared" si="5"/>
        <v>-80000</v>
      </c>
      <c r="M34" s="6"/>
    </row>
    <row r="35" spans="2:13" x14ac:dyDescent="0.5">
      <c r="B35" s="71"/>
      <c r="C35" s="49"/>
      <c r="D35" s="49"/>
      <c r="E35" s="50"/>
      <c r="F35" s="50"/>
      <c r="G35" s="5"/>
      <c r="H35" s="30"/>
      <c r="I35" s="30"/>
      <c r="J35" s="30"/>
      <c r="K35" s="30"/>
      <c r="L35" s="30"/>
      <c r="M35" s="6"/>
    </row>
    <row r="36" spans="2:13" x14ac:dyDescent="0.5">
      <c r="B36" s="41" t="s">
        <v>106</v>
      </c>
      <c r="C36" s="49"/>
      <c r="D36" s="49"/>
      <c r="E36" s="50"/>
      <c r="F36" s="50">
        <f>+F28+F34</f>
        <v>20800</v>
      </c>
      <c r="G36" s="5"/>
      <c r="H36" s="50">
        <f t="shared" ref="H36:L36" si="6">+H28+H34</f>
        <v>52776.988713513536</v>
      </c>
      <c r="I36" s="50">
        <f t="shared" si="6"/>
        <v>60668.735323840083</v>
      </c>
      <c r="J36" s="50">
        <f t="shared" si="6"/>
        <v>56937.000672294263</v>
      </c>
      <c r="K36" s="50">
        <f t="shared" si="6"/>
        <v>31301.266521229292</v>
      </c>
      <c r="L36" s="50">
        <f t="shared" si="6"/>
        <v>11060.356476073677</v>
      </c>
      <c r="M36" s="6"/>
    </row>
    <row r="37" spans="2:13" x14ac:dyDescent="0.5">
      <c r="B37" s="71"/>
      <c r="C37" s="49"/>
      <c r="D37" s="49"/>
      <c r="E37" s="50"/>
      <c r="F37" s="50"/>
      <c r="G37" s="5"/>
      <c r="H37" s="30"/>
      <c r="I37" s="30"/>
      <c r="J37" s="30"/>
      <c r="K37" s="30"/>
      <c r="L37" s="30"/>
      <c r="M37" s="6"/>
    </row>
    <row r="38" spans="2:13" x14ac:dyDescent="0.5">
      <c r="B38" s="71" t="s">
        <v>107</v>
      </c>
      <c r="C38" s="49"/>
      <c r="D38" s="49"/>
      <c r="E38" s="50"/>
      <c r="F38" s="36">
        <v>45000</v>
      </c>
      <c r="G38" s="5"/>
      <c r="H38" s="30">
        <f>+F40</f>
        <v>65800</v>
      </c>
      <c r="I38" s="30">
        <f>+H40</f>
        <v>118576.98871351354</v>
      </c>
      <c r="J38" s="30">
        <f t="shared" ref="J38:L38" si="7">+I40</f>
        <v>179245.72403735362</v>
      </c>
      <c r="K38" s="30">
        <f t="shared" si="7"/>
        <v>236182.72470964788</v>
      </c>
      <c r="L38" s="30">
        <f t="shared" si="7"/>
        <v>267483.99123087717</v>
      </c>
      <c r="M38" s="6"/>
    </row>
    <row r="39" spans="2:13" x14ac:dyDescent="0.5">
      <c r="B39" s="71"/>
      <c r="C39" s="49"/>
      <c r="D39" s="49"/>
      <c r="E39" s="50"/>
      <c r="F39" s="50"/>
      <c r="G39" s="5"/>
      <c r="H39" s="30"/>
      <c r="I39" s="30"/>
      <c r="J39" s="30"/>
      <c r="K39" s="30"/>
      <c r="L39" s="30"/>
      <c r="M39" s="6"/>
    </row>
    <row r="40" spans="2:13" ht="14.7" thickBot="1" x14ac:dyDescent="0.55000000000000004">
      <c r="B40" s="71" t="s">
        <v>108</v>
      </c>
      <c r="C40" s="49"/>
      <c r="D40" s="49"/>
      <c r="E40" s="50"/>
      <c r="F40" s="53">
        <f>+F36+F38</f>
        <v>65800</v>
      </c>
      <c r="G40" s="5"/>
      <c r="H40" s="69">
        <f>+H38+H36</f>
        <v>118576.98871351354</v>
      </c>
      <c r="I40" s="69">
        <f>+I38+I36</f>
        <v>179245.72403735362</v>
      </c>
      <c r="J40" s="69">
        <f t="shared" ref="J40:L40" si="8">+J38+J36</f>
        <v>236182.72470964788</v>
      </c>
      <c r="K40" s="69">
        <f t="shared" si="8"/>
        <v>267483.99123087717</v>
      </c>
      <c r="L40" s="69">
        <f t="shared" si="8"/>
        <v>278544.34770695085</v>
      </c>
      <c r="M40" s="6"/>
    </row>
    <row r="41" spans="2:13" ht="15" thickTop="1" thickBot="1" x14ac:dyDescent="0.55000000000000004">
      <c r="B41" s="77"/>
      <c r="C41" s="78"/>
      <c r="D41" s="78"/>
      <c r="E41" s="78"/>
      <c r="F41" s="78"/>
      <c r="G41" s="14"/>
      <c r="H41" s="79"/>
      <c r="I41" s="79"/>
      <c r="J41" s="79"/>
      <c r="K41" s="79"/>
      <c r="L41" s="79"/>
      <c r="M41" s="16"/>
    </row>
  </sheetData>
  <mergeCells count="1">
    <mergeCell ref="H4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4BCE-F701-4524-8735-3D210607698D}">
  <dimension ref="B1:M27"/>
  <sheetViews>
    <sheetView showGridLines="0" tabSelected="1" workbookViewId="0">
      <selection activeCell="P11" sqref="P11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35" x14ac:dyDescent="0.5">
      <c r="B3" s="72" t="s">
        <v>153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5"/>
      <c r="D4" s="101" t="s">
        <v>43</v>
      </c>
      <c r="E4" s="101"/>
      <c r="F4" s="101"/>
      <c r="G4" s="5"/>
      <c r="H4" s="101" t="s">
        <v>42</v>
      </c>
      <c r="I4" s="101"/>
      <c r="J4" s="101"/>
      <c r="K4" s="101"/>
      <c r="L4" s="101"/>
      <c r="M4" s="6"/>
    </row>
    <row r="5" spans="2:13" ht="14.7" thickBot="1" x14ac:dyDescent="0.55000000000000004">
      <c r="B5" s="100" t="s">
        <v>173</v>
      </c>
      <c r="C5" s="5"/>
      <c r="D5" s="43" t="s">
        <v>19</v>
      </c>
      <c r="E5" s="44"/>
      <c r="F5" s="43" t="s">
        <v>18</v>
      </c>
      <c r="G5" s="45"/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6"/>
    </row>
    <row r="6" spans="2:13" x14ac:dyDescent="0.5">
      <c r="B6" s="74" t="s">
        <v>154</v>
      </c>
      <c r="C6" s="5"/>
      <c r="D6" s="87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">
        <v>155</v>
      </c>
      <c r="C7" s="87"/>
      <c r="D7" s="96">
        <f>+'[1]Fig 16.10'!F12</f>
        <v>1.7532467532467533</v>
      </c>
      <c r="E7" s="98"/>
      <c r="F7" s="96">
        <f>+'[1]Fig 16.10'!H12</f>
        <v>2.5705882352941178</v>
      </c>
      <c r="G7" s="98"/>
      <c r="H7" s="96">
        <f>+'Proj. Balance Sheet'!H12/'Proj. Balance Sheet'!H33</f>
        <v>3.7212082367309156</v>
      </c>
      <c r="I7" s="96">
        <f>+'Proj. Balance Sheet'!I12/'Proj. Balance Sheet'!I33</f>
        <v>4.4589724970583688</v>
      </c>
      <c r="J7" s="96">
        <f>+'Proj. Balance Sheet'!J12/'Proj. Balance Sheet'!J33</f>
        <v>5.067108346968995</v>
      </c>
      <c r="K7" s="96">
        <f>+'Proj. Balance Sheet'!K12/'Proj. Balance Sheet'!K33</f>
        <v>5.2916656751945119</v>
      </c>
      <c r="L7" s="96">
        <f>+'Proj. Balance Sheet'!L12/'Proj. Balance Sheet'!L33</f>
        <v>5.2633279492852338</v>
      </c>
      <c r="M7" s="6"/>
    </row>
    <row r="8" spans="2:13" x14ac:dyDescent="0.5">
      <c r="B8" s="7" t="s">
        <v>156</v>
      </c>
      <c r="C8" s="87"/>
      <c r="D8" s="96">
        <f>+'[1]Fig 16.10'!F13</f>
        <v>1.1688311688311688</v>
      </c>
      <c r="E8" s="98"/>
      <c r="F8" s="96">
        <f>+'[1]Fig 16.10'!H13</f>
        <v>1.85</v>
      </c>
      <c r="G8" s="98"/>
      <c r="H8" s="96">
        <f>+('Proj. Balance Sheet'!H8+'Proj. Balance Sheet'!H9)/'Proj. Balance Sheet'!H33</f>
        <v>2.8837540807757378</v>
      </c>
      <c r="I8" s="96">
        <f>+('Proj. Balance Sheet'!I8+'Proj. Balance Sheet'!I9)/'Proj. Balance Sheet'!I33</f>
        <v>3.6215218010465926</v>
      </c>
      <c r="J8" s="96">
        <f>+('Proj. Balance Sheet'!J8+'Proj. Balance Sheet'!J9)/'Proj. Balance Sheet'!J33</f>
        <v>4.2296559793274469</v>
      </c>
      <c r="K8" s="96">
        <f>+('Proj. Balance Sheet'!K8+'Proj. Balance Sheet'!K9)/'Proj. Balance Sheet'!K33</f>
        <v>4.4541946100030696</v>
      </c>
      <c r="L8" s="96">
        <f>+('Proj. Balance Sheet'!L8+'Proj. Balance Sheet'!L9)/'Proj. Balance Sheet'!L33</f>
        <v>4.4258307103484169</v>
      </c>
      <c r="M8" s="6"/>
    </row>
    <row r="9" spans="2:13" x14ac:dyDescent="0.5">
      <c r="B9" s="7" t="s">
        <v>157</v>
      </c>
      <c r="C9" s="87"/>
      <c r="D9" s="96"/>
      <c r="E9" s="98"/>
      <c r="F9" s="96">
        <f>+'[1]Fig 16.10'!H15</f>
        <v>21.142857142857142</v>
      </c>
      <c r="G9" s="98"/>
      <c r="H9" s="96">
        <f>+'Proj. Income Stat'!H12/(('Proj. Balance Sheet'!H9+'Proj. Balance Sheet'!F9)/2)</f>
        <v>20.800472392827597</v>
      </c>
      <c r="I9" s="96">
        <f>+'Proj. Income Stat'!I12/(('Proj. Balance Sheet'!I9+'Proj. Balance Sheet'!H9)/2)</f>
        <v>22.096788944750887</v>
      </c>
      <c r="J9" s="96">
        <f>+'Proj. Income Stat'!J12/(('Proj. Balance Sheet'!J9+'Proj. Balance Sheet'!I9)/2)</f>
        <v>21.891732273425859</v>
      </c>
      <c r="K9" s="96">
        <f>+'Proj. Income Stat'!K12/(('Proj. Balance Sheet'!K9+'Proj. Balance Sheet'!J9)/2)</f>
        <v>21.757105080139389</v>
      </c>
      <c r="L9" s="96">
        <f>+'Proj. Income Stat'!L12/(('Proj. Balance Sheet'!L9+'Proj. Balance Sheet'!K9)/2)</f>
        <v>21.65478803739331</v>
      </c>
      <c r="M9" s="6"/>
    </row>
    <row r="10" spans="2:13" x14ac:dyDescent="0.5">
      <c r="B10" s="7" t="s">
        <v>158</v>
      </c>
      <c r="C10" s="87"/>
      <c r="D10" s="96"/>
      <c r="E10" s="98"/>
      <c r="F10" s="96">
        <f>+'[1]Fig 16.10'!H16</f>
        <v>17.263513513513512</v>
      </c>
      <c r="G10" s="98"/>
      <c r="H10" s="96">
        <f>365/H9</f>
        <v>17.547678394355074</v>
      </c>
      <c r="I10" s="96">
        <f t="shared" ref="I10:L10" si="0">365/I9</f>
        <v>16.518237148058841</v>
      </c>
      <c r="J10" s="96">
        <f t="shared" si="0"/>
        <v>16.67296107229804</v>
      </c>
      <c r="K10" s="96">
        <f t="shared" si="0"/>
        <v>16.77612893147187</v>
      </c>
      <c r="L10" s="96">
        <f t="shared" si="0"/>
        <v>16.855394722392155</v>
      </c>
      <c r="M10" s="6"/>
    </row>
    <row r="11" spans="2:13" x14ac:dyDescent="0.5">
      <c r="B11" s="7"/>
      <c r="C11" s="27"/>
      <c r="D11" s="27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74" t="s">
        <v>159</v>
      </c>
      <c r="C12" s="87"/>
      <c r="D12" s="87"/>
      <c r="E12" s="5"/>
      <c r="F12" s="5"/>
      <c r="G12" s="5"/>
      <c r="H12" s="5"/>
      <c r="I12" s="5"/>
      <c r="J12" s="5"/>
      <c r="K12" s="5"/>
      <c r="L12" s="5"/>
      <c r="M12" s="6"/>
    </row>
    <row r="13" spans="2:13" x14ac:dyDescent="0.5">
      <c r="B13" s="7" t="s">
        <v>160</v>
      </c>
      <c r="C13" s="27"/>
      <c r="D13" s="27">
        <f>+'[1]Fig 16.10'!F20</f>
        <v>0.40733197556008149</v>
      </c>
      <c r="E13" s="5"/>
      <c r="F13" s="27">
        <f>+'[1]Fig 16.10'!H20</f>
        <v>0.38066972062713722</v>
      </c>
      <c r="G13" s="5"/>
      <c r="H13" s="27">
        <f>+'Proj. Balance Sheet'!H35/('Proj. Balance Sheet'!H35+'Proj. Balance Sheet'!H44)</f>
        <v>0.35425760780123139</v>
      </c>
      <c r="I13" s="27">
        <f>+'Proj. Balance Sheet'!I35/('Proj. Balance Sheet'!I35+'Proj. Balance Sheet'!I44)</f>
        <v>0.32611277902522418</v>
      </c>
      <c r="J13" s="27">
        <f>+'Proj. Balance Sheet'!J35/('Proj. Balance Sheet'!J35+'Proj. Balance Sheet'!J44)</f>
        <v>0.29777366147293038</v>
      </c>
      <c r="K13" s="27">
        <f>+'Proj. Balance Sheet'!K35/('Proj. Balance Sheet'!K35+'Proj. Balance Sheet'!K44)</f>
        <v>0.26835566910041481</v>
      </c>
      <c r="L13" s="27">
        <f>+'Proj. Balance Sheet'!L35/('Proj. Balance Sheet'!L35+'Proj. Balance Sheet'!L44)</f>
        <v>0.23735363208961255</v>
      </c>
      <c r="M13" s="6"/>
    </row>
    <row r="14" spans="2:13" x14ac:dyDescent="0.5">
      <c r="B14" s="73" t="s">
        <v>161</v>
      </c>
      <c r="C14" s="87"/>
      <c r="D14" s="96">
        <f>+'[1]Fig 16.10'!F21</f>
        <v>2.9615384615384617</v>
      </c>
      <c r="E14" s="98"/>
      <c r="F14" s="96">
        <f>+'[1]Fig 16.10'!H21</f>
        <v>3.6083333333333334</v>
      </c>
      <c r="G14" s="98"/>
      <c r="H14" s="96">
        <f>+'Proj. Income Stat'!H30/'Proj. Income Stat'!H39</f>
        <v>5.1708810895756931</v>
      </c>
      <c r="I14" s="96">
        <f>+'Proj. Income Stat'!I30/'Proj. Income Stat'!I39</f>
        <v>5.5012853626506031</v>
      </c>
      <c r="J14" s="96">
        <f>+'Proj. Income Stat'!J30/'Proj. Income Stat'!J39</f>
        <v>5.2218966559810323</v>
      </c>
      <c r="K14" s="96">
        <f>+'Proj. Income Stat'!K30/'Proj. Income Stat'!K39</f>
        <v>4.4420353454183079</v>
      </c>
      <c r="L14" s="96">
        <f>+'Proj. Income Stat'!L30/'Proj. Income Stat'!L39</f>
        <v>4.2015118949439723</v>
      </c>
      <c r="M14" s="6"/>
    </row>
    <row r="15" spans="2:13" x14ac:dyDescent="0.5">
      <c r="B15" s="73" t="s">
        <v>162</v>
      </c>
      <c r="C15" s="87"/>
      <c r="D15" s="96">
        <f>+'[1]Fig 16.10'!F25</f>
        <v>3.116883116883117</v>
      </c>
      <c r="E15" s="98"/>
      <c r="F15" s="96">
        <f>+'[1]Fig 16.10'!H25</f>
        <v>2.725173210161663</v>
      </c>
      <c r="G15" s="98"/>
      <c r="H15" s="96">
        <f>+('Proj. Balance Sheet'!H35+'Proj. Balance Sheet'!H32)/'Proj. Income Stat'!H30</f>
        <v>2.3502686397577119</v>
      </c>
      <c r="I15" s="96">
        <f>+('Proj. Balance Sheet'!I35+'Proj. Balance Sheet'!I32)/'Proj. Income Stat'!I30</f>
        <v>2.062314673427164</v>
      </c>
      <c r="J15" s="96">
        <f>+('Proj. Balance Sheet'!J35+'Proj. Balance Sheet'!J32)/'Proj. Income Stat'!J30</f>
        <v>1.8398979056810687</v>
      </c>
      <c r="K15" s="96">
        <f>+('Proj. Balance Sheet'!K35+'Proj. Balance Sheet'!K32)/'Proj. Income Stat'!K30</f>
        <v>1.6358073198303937</v>
      </c>
      <c r="L15" s="96">
        <f>+('Proj. Balance Sheet'!L35+'Proj. Balance Sheet'!L32)/'Proj. Income Stat'!L30</f>
        <v>1.4378955966708553</v>
      </c>
      <c r="M15" s="6"/>
    </row>
    <row r="16" spans="2:13" x14ac:dyDescent="0.5">
      <c r="B16" s="73" t="s">
        <v>171</v>
      </c>
      <c r="C16" s="90"/>
      <c r="D16" s="96">
        <f>+'[1]Fig 16.10'!F51</f>
        <v>2.1501448960472787</v>
      </c>
      <c r="E16" s="98"/>
      <c r="F16" s="96">
        <f>+'[1]Fig 16.10'!H51</f>
        <v>2.6749905778202865</v>
      </c>
      <c r="G16" s="98"/>
      <c r="H16" s="97">
        <f>(1.2*('Proj. Balance Sheet'!H12-'Proj. Balance Sheet'!H33)/'Proj. Balance Sheet'!H24)+(1.4*'Proj. Balance Sheet'!H43/'Proj. Balance Sheet'!H24)+(3.3*'Proj. Income Stat'!H36/'Proj. Balance Sheet'!H24)+(0.6*'Proj. Balance Sheet'!H44/'Proj. Balance Sheet'!H38)+(0.99*'Proj. Income Stat'!H12/'Proj. Balance Sheet'!H24)</f>
        <v>2.308798738449279</v>
      </c>
      <c r="I16" s="97">
        <f>(1.2*('Proj. Balance Sheet'!I12-'Proj. Balance Sheet'!I33)/'Proj. Balance Sheet'!I24)+(1.4*'Proj. Balance Sheet'!I43/'Proj. Balance Sheet'!I24)+(3.3*'Proj. Income Stat'!I36/'Proj. Balance Sheet'!I24)+(0.6*'Proj. Balance Sheet'!I44/'Proj. Balance Sheet'!I38)+(0.99*'Proj. Income Stat'!I12/'Proj. Balance Sheet'!I24)</f>
        <v>2.5438411015653979</v>
      </c>
      <c r="J16" s="97">
        <f>(1.2*('Proj. Balance Sheet'!J12-'Proj. Balance Sheet'!J33)/'Proj. Balance Sheet'!J24)+(1.4*'Proj. Balance Sheet'!J43/'Proj. Balance Sheet'!J24)+(3.3*'Proj. Income Stat'!J36/'Proj. Balance Sheet'!J24)+(0.6*'Proj. Balance Sheet'!J44/'Proj. Balance Sheet'!J38)+(0.99*'Proj. Income Stat'!J12/'Proj. Balance Sheet'!J24)</f>
        <v>2.7792472239735266</v>
      </c>
      <c r="K16" s="97">
        <f>(1.2*('Proj. Balance Sheet'!K12-'Proj. Balance Sheet'!K33)/'Proj. Balance Sheet'!K24)+(1.4*'Proj. Balance Sheet'!K43/'Proj. Balance Sheet'!K24)+(3.3*'Proj. Income Stat'!K36/'Proj. Balance Sheet'!K24)+(0.6*'Proj. Balance Sheet'!K44/'Proj. Balance Sheet'!K38)+(0.99*'Proj. Income Stat'!K12/'Proj. Balance Sheet'!K24)</f>
        <v>3.0311097593568901</v>
      </c>
      <c r="L16" s="97">
        <f>(1.2*('Proj. Balance Sheet'!L12-'Proj. Balance Sheet'!L33)/'Proj. Balance Sheet'!L24)+(1.4*'Proj. Balance Sheet'!L43/'Proj. Balance Sheet'!L24)+(3.3*'Proj. Income Stat'!L36/'Proj. Balance Sheet'!L24)+(0.6*'Proj. Balance Sheet'!L44/'Proj. Balance Sheet'!L38)+(0.99*'Proj. Income Stat'!L12/'Proj. Balance Sheet'!L24)</f>
        <v>3.322383355204698</v>
      </c>
      <c r="M16" s="6"/>
    </row>
    <row r="17" spans="2:13" x14ac:dyDescent="0.5">
      <c r="B17" s="7"/>
      <c r="C17" s="87"/>
      <c r="D17" s="89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74" t="s">
        <v>163</v>
      </c>
      <c r="C18" s="87"/>
      <c r="D18" s="89"/>
      <c r="E18" s="5"/>
      <c r="F18" s="5"/>
      <c r="G18" s="5"/>
      <c r="H18" s="5"/>
      <c r="I18" s="5"/>
      <c r="J18" s="5"/>
      <c r="K18" s="5"/>
      <c r="L18" s="5"/>
      <c r="M18" s="6"/>
    </row>
    <row r="19" spans="2:13" x14ac:dyDescent="0.5">
      <c r="B19" s="7" t="s">
        <v>164</v>
      </c>
      <c r="C19" s="87"/>
      <c r="D19" s="88"/>
      <c r="E19" s="5"/>
      <c r="F19" s="96">
        <f>+'[1]Fig 16.10'!H28</f>
        <v>11.2</v>
      </c>
      <c r="G19" s="98"/>
      <c r="H19" s="98">
        <f>+'Proj. Income Stat'!H19/(('Proj. Balance Sheet'!H10+'Proj. Balance Sheet'!F10)/2)</f>
        <v>11.385358227208158</v>
      </c>
      <c r="I19" s="98">
        <f>+'Proj. Income Stat'!I19/(('Proj. Balance Sheet'!I10+'Proj. Balance Sheet'!H10)/2)</f>
        <v>11.705149777407398</v>
      </c>
      <c r="J19" s="98">
        <f>+'Proj. Income Stat'!J19/(('Proj. Balance Sheet'!J10+'Proj. Balance Sheet'!I10)/2)</f>
        <v>11.596786643854617</v>
      </c>
      <c r="K19" s="98">
        <f>+'Proj. Income Stat'!K19/(('Proj. Balance Sheet'!K10+'Proj. Balance Sheet'!J10)/2)</f>
        <v>11.526339056426604</v>
      </c>
      <c r="L19" s="98">
        <f>+'Proj. Income Stat'!L19/(('Proj. Balance Sheet'!L10+'Proj. Balance Sheet'!K10)/2)</f>
        <v>11.472520437427303</v>
      </c>
      <c r="M19" s="6"/>
    </row>
    <row r="20" spans="2:13" x14ac:dyDescent="0.5">
      <c r="B20" s="7" t="s">
        <v>165</v>
      </c>
      <c r="C20" s="87"/>
      <c r="D20" s="87"/>
      <c r="E20" s="5"/>
      <c r="F20" s="91">
        <f>+'[1]Fig 16.10'!H29</f>
        <v>32.589285714285715</v>
      </c>
      <c r="G20" s="5"/>
      <c r="H20" s="99">
        <f>365/H19</f>
        <v>32.058718989424619</v>
      </c>
      <c r="I20" s="99">
        <f t="shared" ref="I20:L20" si="1">365/I19</f>
        <v>31.18285600279134</v>
      </c>
      <c r="J20" s="99">
        <f t="shared" si="1"/>
        <v>31.47423602842786</v>
      </c>
      <c r="K20" s="99">
        <f t="shared" si="1"/>
        <v>31.666602744649548</v>
      </c>
      <c r="L20" s="99">
        <f t="shared" si="1"/>
        <v>31.81515360907483</v>
      </c>
      <c r="M20" s="6"/>
    </row>
    <row r="21" spans="2:13" x14ac:dyDescent="0.5">
      <c r="B21" s="7"/>
      <c r="C21" s="87"/>
      <c r="D21" s="87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5">
      <c r="B22" s="74" t="s">
        <v>166</v>
      </c>
      <c r="C22" s="87"/>
      <c r="D22" s="87"/>
      <c r="E22" s="5"/>
      <c r="F22" s="5"/>
      <c r="G22" s="5"/>
      <c r="H22" s="5"/>
      <c r="I22" s="5"/>
      <c r="J22" s="5"/>
      <c r="K22" s="5"/>
      <c r="L22" s="5"/>
      <c r="M22" s="6"/>
    </row>
    <row r="23" spans="2:13" x14ac:dyDescent="0.5">
      <c r="B23" s="7" t="s">
        <v>167</v>
      </c>
      <c r="C23" s="27"/>
      <c r="D23" s="27">
        <f>+'[1]Fig 16.10'!F34</f>
        <v>0.640625</v>
      </c>
      <c r="E23" s="5"/>
      <c r="F23" s="27">
        <f>+'[1]Fig 16.10'!H34</f>
        <v>0.6216216216216216</v>
      </c>
      <c r="G23" s="5"/>
      <c r="H23" s="27">
        <f>+'Proj. Income Stat'!H22</f>
        <v>0.62294347549953588</v>
      </c>
      <c r="I23" s="27">
        <f>+'Proj. Income Stat'!I22</f>
        <v>0.62295536724387435</v>
      </c>
      <c r="J23" s="27">
        <f>+'Proj. Income Stat'!J22</f>
        <v>0.62294962195475301</v>
      </c>
      <c r="K23" s="27">
        <f>+'Proj. Income Stat'!K22</f>
        <v>0.62288535156745006</v>
      </c>
      <c r="L23" s="27">
        <f>+'Proj. Income Stat'!L22</f>
        <v>0.62279535789123019</v>
      </c>
      <c r="M23" s="6"/>
    </row>
    <row r="24" spans="2:13" x14ac:dyDescent="0.5">
      <c r="B24" s="7" t="s">
        <v>168</v>
      </c>
      <c r="C24" s="27"/>
      <c r="D24" s="27">
        <f>+'[1]Fig 16.10'!F35</f>
        <v>0.40104166666666669</v>
      </c>
      <c r="E24" s="5"/>
      <c r="F24" s="27">
        <f>+'[1]Fig 16.10'!H35</f>
        <v>0.3900900900900901</v>
      </c>
      <c r="G24" s="5"/>
      <c r="H24" s="27">
        <f>+'Proj. Income Stat'!H31</f>
        <v>0.40187649616493226</v>
      </c>
      <c r="I24" s="27">
        <f>+'Proj. Income Stat'!I31</f>
        <v>0.40762392804555658</v>
      </c>
      <c r="J24" s="27">
        <f>+'Proj. Income Stat'!J31</f>
        <v>0.41057342406653191</v>
      </c>
      <c r="K24" s="27">
        <f>+'Proj. Income Stat'!K31</f>
        <v>0.41173857511049605</v>
      </c>
      <c r="L24" s="27">
        <f>+'Proj. Income Stat'!L31</f>
        <v>0.41160204205169737</v>
      </c>
      <c r="M24" s="6"/>
    </row>
    <row r="25" spans="2:13" x14ac:dyDescent="0.5">
      <c r="B25" s="7" t="s">
        <v>169</v>
      </c>
      <c r="C25" s="27"/>
      <c r="D25" s="27"/>
      <c r="E25" s="5"/>
      <c r="F25" s="27">
        <f>+'[1]Fig 16.10'!H37</f>
        <v>4.7847197659088715E-2</v>
      </c>
      <c r="G25" s="5"/>
      <c r="H25" s="27">
        <f>+'Proj. Income Stat'!H42/(('Proj. Balance Sheet'!H24+'Proj. Balance Sheet'!F24)/2)</f>
        <v>5.9502388224789843E-2</v>
      </c>
      <c r="I25" s="27">
        <f>+'Proj. Income Stat'!I42/(('Proj. Balance Sheet'!I24+'Proj. Balance Sheet'!H24)/2)</f>
        <v>6.377646569428623E-2</v>
      </c>
      <c r="J25" s="27">
        <f>+'Proj. Income Stat'!J42/(('Proj. Balance Sheet'!J24+'Proj. Balance Sheet'!I24)/2)</f>
        <v>6.4266187692267204E-2</v>
      </c>
      <c r="K25" s="27">
        <f>+'Proj. Income Stat'!K42/(('Proj. Balance Sheet'!K24+'Proj. Balance Sheet'!J24)/2)</f>
        <v>6.1562181874049174E-2</v>
      </c>
      <c r="L25" s="27">
        <f>+'Proj. Income Stat'!L42/(('Proj. Balance Sheet'!L24+'Proj. Balance Sheet'!K24)/2)</f>
        <v>6.0427677820531885E-2</v>
      </c>
      <c r="M25" s="6"/>
    </row>
    <row r="26" spans="2:13" x14ac:dyDescent="0.5">
      <c r="B26" s="7" t="s">
        <v>170</v>
      </c>
      <c r="C26" s="27"/>
      <c r="D26" s="27"/>
      <c r="E26" s="5"/>
      <c r="F26" s="27">
        <f>+'[1]Fig 16.10'!H39</f>
        <v>8.1182825031371045E-2</v>
      </c>
      <c r="G26" s="5"/>
      <c r="H26" s="27">
        <f>+'Proj. Income Stat'!H42/(('Proj. Balance Sheet'!H44+'Proj. Balance Sheet'!F44)/2)</f>
        <v>9.6500296119233261E-2</v>
      </c>
      <c r="I26" s="27">
        <f>+'Proj. Income Stat'!I42/(('Proj. Balance Sheet'!I44+'Proj. Balance Sheet'!H44)/2)</f>
        <v>9.915946104451108E-2</v>
      </c>
      <c r="J26" s="27">
        <f>+'Proj. Income Stat'!J42/(('Proj. Balance Sheet'!J44+'Proj. Balance Sheet'!I44)/2)</f>
        <v>9.5988858595780352E-2</v>
      </c>
      <c r="K26" s="27">
        <f>+'Proj. Income Stat'!K42/(('Proj. Balance Sheet'!K44+'Proj. Balance Sheet'!J44)/2)</f>
        <v>8.8382691051479251E-2</v>
      </c>
      <c r="L26" s="27">
        <f>+'Proj. Income Stat'!L42/(('Proj. Balance Sheet'!L44+'Proj. Balance Sheet'!K44)/2)</f>
        <v>8.336159405961141E-2</v>
      </c>
      <c r="M26" s="6"/>
    </row>
    <row r="27" spans="2:13" ht="14.7" thickBot="1" x14ac:dyDescent="0.55000000000000004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6"/>
    </row>
  </sheetData>
  <mergeCells count="2">
    <mergeCell ref="D4:F4"/>
    <mergeCell ref="H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53F3-1AC7-42AD-9BC0-DFF4D2B69540}">
  <dimension ref="B1:M25"/>
  <sheetViews>
    <sheetView showGridLines="0" topLeftCell="A16" workbookViewId="0">
      <selection activeCell="L26" sqref="L26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1" t="s">
        <v>43</v>
      </c>
      <c r="E4" s="101"/>
      <c r="F4" s="101"/>
      <c r="G4" s="5"/>
      <c r="H4" s="101" t="s">
        <v>42</v>
      </c>
      <c r="I4" s="101"/>
      <c r="J4" s="101"/>
      <c r="K4" s="101"/>
      <c r="L4" s="101"/>
      <c r="M4" s="6"/>
    </row>
    <row r="5" spans="2:13" ht="14.7" thickBot="1" x14ac:dyDescent="0.55000000000000004">
      <c r="B5" s="100" t="s">
        <v>173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41" t="s">
        <v>35</v>
      </c>
      <c r="C6" s="11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tr">
        <f>+'Revene Assump'!B9</f>
        <v xml:space="preserve">  U.S.</v>
      </c>
      <c r="C7" s="12"/>
      <c r="D7" s="37">
        <f>+'Proj. Income Stat'!D16/'Proj. Income Stat'!D9</f>
        <v>0.36625000000000002</v>
      </c>
      <c r="E7" s="5"/>
      <c r="F7" s="37">
        <f>+'Proj. Income Stat'!F16/'Proj. Income Stat'!F9</f>
        <v>0.38043478260869568</v>
      </c>
      <c r="G7" s="5"/>
      <c r="H7" s="19">
        <v>0.38</v>
      </c>
      <c r="I7" s="19">
        <f t="shared" ref="I7:L9" si="0">+H7</f>
        <v>0.38</v>
      </c>
      <c r="J7" s="19">
        <f t="shared" si="0"/>
        <v>0.38</v>
      </c>
      <c r="K7" s="19">
        <f t="shared" si="0"/>
        <v>0.38</v>
      </c>
      <c r="L7" s="19">
        <f t="shared" si="0"/>
        <v>0.38</v>
      </c>
      <c r="M7" s="6"/>
    </row>
    <row r="8" spans="2:13" x14ac:dyDescent="0.5">
      <c r="B8" s="7" t="str">
        <f>+'Revene Assump'!B10</f>
        <v xml:space="preserve">  Europe</v>
      </c>
      <c r="C8" s="12"/>
      <c r="D8" s="37">
        <f>+'Proj. Income Stat'!D17/'Proj. Income Stat'!D10</f>
        <v>0.32500000000000001</v>
      </c>
      <c r="E8" s="5"/>
      <c r="F8" s="37">
        <f>+'Proj. Income Stat'!F17/'Proj. Income Stat'!F10</f>
        <v>0.35714285714285715</v>
      </c>
      <c r="G8" s="5"/>
      <c r="H8" s="19">
        <v>0.35</v>
      </c>
      <c r="I8" s="19">
        <f t="shared" si="0"/>
        <v>0.35</v>
      </c>
      <c r="J8" s="19">
        <f t="shared" si="0"/>
        <v>0.35</v>
      </c>
      <c r="K8" s="19">
        <f t="shared" si="0"/>
        <v>0.35</v>
      </c>
      <c r="L8" s="19">
        <f t="shared" si="0"/>
        <v>0.35</v>
      </c>
      <c r="M8" s="6"/>
    </row>
    <row r="9" spans="2:13" x14ac:dyDescent="0.5">
      <c r="B9" s="7" t="str">
        <f>+'Revene Assump'!B11</f>
        <v xml:space="preserve">  Asia</v>
      </c>
      <c r="C9" s="12"/>
      <c r="D9" s="37">
        <f>+'Proj. Income Stat'!D18/'Proj. Income Stat'!D11</f>
        <v>0.32500000000000001</v>
      </c>
      <c r="E9" s="5"/>
      <c r="F9" s="37">
        <f>+'Proj. Income Stat'!F18/'Proj. Income Stat'!F11</f>
        <v>0.4</v>
      </c>
      <c r="G9" s="5"/>
      <c r="H9" s="19">
        <v>0.4</v>
      </c>
      <c r="I9" s="19">
        <f t="shared" si="0"/>
        <v>0.4</v>
      </c>
      <c r="J9" s="19">
        <f t="shared" si="0"/>
        <v>0.4</v>
      </c>
      <c r="K9" s="19">
        <f t="shared" si="0"/>
        <v>0.4</v>
      </c>
      <c r="L9" s="19">
        <f t="shared" si="0"/>
        <v>0.4</v>
      </c>
      <c r="M9" s="6"/>
    </row>
    <row r="10" spans="2:13" x14ac:dyDescent="0.5">
      <c r="B10" s="7" t="s">
        <v>36</v>
      </c>
      <c r="C10" s="11"/>
      <c r="D10" s="21">
        <f>+'Proj. Income Stat'!D19/'Proj. Income Stat'!D12</f>
        <v>0.359375</v>
      </c>
      <c r="E10" s="5"/>
      <c r="F10" s="21">
        <f>+'Proj. Income Stat'!F19/'Proj. Income Stat'!F12</f>
        <v>0.3783783783783784</v>
      </c>
      <c r="G10" s="5"/>
      <c r="H10" s="21">
        <f>+'Proj. Income Stat'!H19/'Proj. Income Stat'!H12</f>
        <v>0.37705652450046417</v>
      </c>
      <c r="I10" s="21">
        <f>+'Proj. Income Stat'!I19/'Proj. Income Stat'!I12</f>
        <v>0.37704463275612565</v>
      </c>
      <c r="J10" s="21">
        <f>+'Proj. Income Stat'!J19/'Proj. Income Stat'!J12</f>
        <v>0.37705037804524694</v>
      </c>
      <c r="K10" s="21">
        <f>+'Proj. Income Stat'!K19/'Proj. Income Stat'!K12</f>
        <v>0.37711464843254988</v>
      </c>
      <c r="L10" s="21">
        <f>+'Proj. Income Stat'!L19/'Proj. Income Stat'!L12</f>
        <v>0.37720464210876975</v>
      </c>
      <c r="M10" s="6"/>
    </row>
    <row r="11" spans="2:13" x14ac:dyDescent="0.5">
      <c r="B11" s="7"/>
      <c r="C11" s="11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41" t="s">
        <v>82</v>
      </c>
      <c r="C12" s="11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2:13" x14ac:dyDescent="0.5">
      <c r="B13" s="7" t="str">
        <f>+'Revene Assump'!B15</f>
        <v xml:space="preserve">  U.S.</v>
      </c>
      <c r="C13" s="12"/>
      <c r="D13" s="37">
        <f t="shared" ref="D13:L13" si="1">1-D7</f>
        <v>0.63375000000000004</v>
      </c>
      <c r="E13" s="5"/>
      <c r="F13" s="37">
        <f t="shared" si="1"/>
        <v>0.61956521739130432</v>
      </c>
      <c r="G13" s="5"/>
      <c r="H13" s="42">
        <f t="shared" si="1"/>
        <v>0.62</v>
      </c>
      <c r="I13" s="42">
        <f t="shared" si="1"/>
        <v>0.62</v>
      </c>
      <c r="J13" s="42">
        <f t="shared" si="1"/>
        <v>0.62</v>
      </c>
      <c r="K13" s="42">
        <f t="shared" si="1"/>
        <v>0.62</v>
      </c>
      <c r="L13" s="42">
        <f t="shared" si="1"/>
        <v>0.62</v>
      </c>
      <c r="M13" s="6"/>
    </row>
    <row r="14" spans="2:13" x14ac:dyDescent="0.5">
      <c r="B14" s="7" t="str">
        <f>+'Revene Assump'!B16</f>
        <v xml:space="preserve">  Europe</v>
      </c>
      <c r="C14" s="12"/>
      <c r="D14" s="37">
        <f t="shared" ref="D14:L14" si="2">1-D8</f>
        <v>0.67500000000000004</v>
      </c>
      <c r="E14" s="5"/>
      <c r="F14" s="37">
        <f t="shared" si="2"/>
        <v>0.64285714285714279</v>
      </c>
      <c r="G14" s="5"/>
      <c r="H14" s="42">
        <f t="shared" si="2"/>
        <v>0.65</v>
      </c>
      <c r="I14" s="42">
        <f t="shared" si="2"/>
        <v>0.65</v>
      </c>
      <c r="J14" s="42">
        <f t="shared" si="2"/>
        <v>0.65</v>
      </c>
      <c r="K14" s="42">
        <f t="shared" si="2"/>
        <v>0.65</v>
      </c>
      <c r="L14" s="42">
        <f t="shared" si="2"/>
        <v>0.65</v>
      </c>
      <c r="M14" s="6"/>
    </row>
    <row r="15" spans="2:13" x14ac:dyDescent="0.5">
      <c r="B15" s="7" t="str">
        <f>+'Revene Assump'!B17</f>
        <v xml:space="preserve">  Asia</v>
      </c>
      <c r="C15" s="12"/>
      <c r="D15" s="37">
        <f t="shared" ref="D15" si="3">1-D9</f>
        <v>0.67500000000000004</v>
      </c>
      <c r="E15" s="5"/>
      <c r="F15" s="37">
        <f t="shared" ref="F15:L15" si="4">1-F9</f>
        <v>0.6</v>
      </c>
      <c r="G15" s="5"/>
      <c r="H15" s="42">
        <f t="shared" si="4"/>
        <v>0.6</v>
      </c>
      <c r="I15" s="42">
        <f t="shared" si="4"/>
        <v>0.6</v>
      </c>
      <c r="J15" s="42">
        <f t="shared" si="4"/>
        <v>0.6</v>
      </c>
      <c r="K15" s="42">
        <f t="shared" si="4"/>
        <v>0.6</v>
      </c>
      <c r="L15" s="42">
        <f t="shared" si="4"/>
        <v>0.6</v>
      </c>
      <c r="M15" s="6"/>
    </row>
    <row r="16" spans="2:13" x14ac:dyDescent="0.5">
      <c r="B16" s="7" t="s">
        <v>36</v>
      </c>
      <c r="C16" s="11"/>
      <c r="D16" s="21">
        <f t="shared" ref="D16:L16" si="5">1-D10</f>
        <v>0.640625</v>
      </c>
      <c r="E16" s="5"/>
      <c r="F16" s="21">
        <f t="shared" si="5"/>
        <v>0.6216216216216216</v>
      </c>
      <c r="G16" s="5"/>
      <c r="H16" s="21">
        <f t="shared" si="5"/>
        <v>0.62294347549953577</v>
      </c>
      <c r="I16" s="21">
        <f t="shared" si="5"/>
        <v>0.62295536724387435</v>
      </c>
      <c r="J16" s="21">
        <f t="shared" si="5"/>
        <v>0.62294962195475301</v>
      </c>
      <c r="K16" s="21">
        <f t="shared" si="5"/>
        <v>0.62288535156745017</v>
      </c>
      <c r="L16" s="21">
        <f t="shared" si="5"/>
        <v>0.62279535789123019</v>
      </c>
      <c r="M16" s="6"/>
    </row>
    <row r="17" spans="2:13" x14ac:dyDescent="0.5">
      <c r="B17" s="7"/>
      <c r="C17" s="11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41" t="s">
        <v>37</v>
      </c>
      <c r="C18" s="11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2:13" x14ac:dyDescent="0.5">
      <c r="B19" s="7" t="s">
        <v>38</v>
      </c>
      <c r="C19" s="12"/>
      <c r="D19" s="5"/>
      <c r="E19" s="5"/>
      <c r="F19" s="37">
        <f>+'Proj. Income Stat'!F25/'Proj. Income Stat'!D25-1</f>
        <v>0.13793103448275867</v>
      </c>
      <c r="G19" s="5"/>
      <c r="H19" s="19">
        <v>0.05</v>
      </c>
      <c r="I19" s="19">
        <f t="shared" ref="I19:L21" si="6">+H19</f>
        <v>0.05</v>
      </c>
      <c r="J19" s="19">
        <f t="shared" si="6"/>
        <v>0.05</v>
      </c>
      <c r="K19" s="19">
        <f t="shared" si="6"/>
        <v>0.05</v>
      </c>
      <c r="L19" s="19">
        <f t="shared" si="6"/>
        <v>0.05</v>
      </c>
      <c r="M19" s="6"/>
    </row>
    <row r="20" spans="2:13" x14ac:dyDescent="0.5">
      <c r="B20" s="7" t="s">
        <v>41</v>
      </c>
      <c r="C20" s="12"/>
      <c r="D20" s="37">
        <f>+'Proj. Income Stat'!D26/'Proj. Income Stat'!D$12</f>
        <v>7.8125E-2</v>
      </c>
      <c r="E20" s="5"/>
      <c r="F20" s="37">
        <f>+'Proj. Income Stat'!F26/'Proj. Income Stat'!F$12</f>
        <v>7.2072072072072071E-2</v>
      </c>
      <c r="G20" s="5"/>
      <c r="H20" s="19">
        <v>7.0000000000000007E-2</v>
      </c>
      <c r="I20" s="19">
        <f t="shared" si="6"/>
        <v>7.0000000000000007E-2</v>
      </c>
      <c r="J20" s="19">
        <f t="shared" si="6"/>
        <v>7.0000000000000007E-2</v>
      </c>
      <c r="K20" s="19">
        <f t="shared" si="6"/>
        <v>7.0000000000000007E-2</v>
      </c>
      <c r="L20" s="19">
        <f t="shared" si="6"/>
        <v>7.0000000000000007E-2</v>
      </c>
      <c r="M20" s="6"/>
    </row>
    <row r="21" spans="2:13" x14ac:dyDescent="0.5">
      <c r="B21" s="7" t="s">
        <v>39</v>
      </c>
      <c r="C21" s="12"/>
      <c r="D21" s="37">
        <f>+'Proj. Income Stat'!D27/'Proj. Income Stat'!D$12</f>
        <v>1.0416666666666666E-2</v>
      </c>
      <c r="E21" s="5"/>
      <c r="F21" s="37">
        <f>+'Proj. Income Stat'!F27/'Proj. Income Stat'!F$12</f>
        <v>1.0810810810810811E-2</v>
      </c>
      <c r="G21" s="5"/>
      <c r="H21" s="19">
        <v>0.01</v>
      </c>
      <c r="I21" s="19">
        <f t="shared" si="6"/>
        <v>0.01</v>
      </c>
      <c r="J21" s="19">
        <f t="shared" si="6"/>
        <v>0.01</v>
      </c>
      <c r="K21" s="19">
        <f t="shared" si="6"/>
        <v>0.01</v>
      </c>
      <c r="L21" s="19">
        <f t="shared" si="6"/>
        <v>0.01</v>
      </c>
      <c r="M21" s="6"/>
    </row>
    <row r="22" spans="2:13" x14ac:dyDescent="0.5">
      <c r="B22" s="7" t="s">
        <v>40</v>
      </c>
      <c r="C22" s="11"/>
      <c r="D22" s="21">
        <f>+'Proj. Income Stat'!D28/'Proj. Income Stat'!D$12</f>
        <v>0.23958333333333334</v>
      </c>
      <c r="E22" s="5"/>
      <c r="F22" s="21">
        <f>+'Proj. Income Stat'!F28/'Proj. Income Stat'!F$12</f>
        <v>0.23153153153153153</v>
      </c>
      <c r="G22" s="5"/>
      <c r="H22" s="21">
        <f>+'Proj. Income Stat'!H28/'Proj. Income Stat'!H12</f>
        <v>0.22106697933460356</v>
      </c>
      <c r="I22" s="21">
        <f>+'Proj. Income Stat'!I28/'Proj. Income Stat'!I12</f>
        <v>0.21533143919831779</v>
      </c>
      <c r="J22" s="21">
        <f>+'Proj. Income Stat'!J28/'Proj. Income Stat'!J12</f>
        <v>0.21237619788822112</v>
      </c>
      <c r="K22" s="21">
        <f>+'Proj. Income Stat'!K28/'Proj. Income Stat'!K12</f>
        <v>0.21114677645695398</v>
      </c>
      <c r="L22" s="21">
        <f>+'Proj. Income Stat'!L28/'Proj. Income Stat'!L12</f>
        <v>0.21119331583953285</v>
      </c>
      <c r="M22" s="6"/>
    </row>
    <row r="23" spans="2:13" x14ac:dyDescent="0.5"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2:13" x14ac:dyDescent="0.5">
      <c r="B24" s="7" t="s">
        <v>77</v>
      </c>
      <c r="C24" s="5"/>
      <c r="D24" s="37">
        <f>+'Proj. Income Stat'!D33/'Proj. Income Stat'!D12</f>
        <v>6.25E-2</v>
      </c>
      <c r="E24" s="5"/>
      <c r="F24" s="37">
        <f>+'Proj. Income Stat'!F33/'Proj. Income Stat'!F12</f>
        <v>5.8558558558558557E-2</v>
      </c>
      <c r="G24" s="5"/>
      <c r="H24" s="19">
        <v>0.06</v>
      </c>
      <c r="I24" s="19">
        <v>0.06</v>
      </c>
      <c r="J24" s="19">
        <v>0.06</v>
      </c>
      <c r="K24" s="19">
        <v>0.06</v>
      </c>
      <c r="L24" s="19">
        <v>0.06</v>
      </c>
      <c r="M24" s="6"/>
    </row>
    <row r="25" spans="2:13" ht="14.7" thickBot="1" x14ac:dyDescent="0.55000000000000004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6"/>
    </row>
  </sheetData>
  <mergeCells count="2">
    <mergeCell ref="D4:F4"/>
    <mergeCell ref="H4:L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695F-A11A-4E1D-93ED-D66E02046E62}">
  <dimension ref="B1:M26"/>
  <sheetViews>
    <sheetView showGridLines="0" topLeftCell="A19" workbookViewId="0">
      <selection activeCell="L27" sqref="L27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112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1" t="s">
        <v>43</v>
      </c>
      <c r="E4" s="101"/>
      <c r="F4" s="101"/>
      <c r="G4" s="5"/>
      <c r="H4" s="101" t="s">
        <v>42</v>
      </c>
      <c r="I4" s="101"/>
      <c r="J4" s="101"/>
      <c r="K4" s="101"/>
      <c r="L4" s="101"/>
      <c r="M4" s="6"/>
    </row>
    <row r="5" spans="2:13" ht="14.7" thickBot="1" x14ac:dyDescent="0.55000000000000004">
      <c r="B5" s="100" t="s">
        <v>173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59" t="s">
        <v>113</v>
      </c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">
        <v>114</v>
      </c>
      <c r="C7" s="5"/>
      <c r="D7" s="60"/>
      <c r="E7" s="5"/>
      <c r="F7" s="60">
        <f>+'Proj. Income Stat'!F12/(('Proj. Balance Sheet'!D9+'Proj. Balance Sheet'!F9)/2)</f>
        <v>21.142857142857142</v>
      </c>
      <c r="G7" s="5"/>
      <c r="H7" s="57">
        <f>365/H8</f>
        <v>21.142857142857146</v>
      </c>
      <c r="I7" s="57">
        <f t="shared" ref="I7:L7" si="0">365/I8</f>
        <v>21.142857142857146</v>
      </c>
      <c r="J7" s="57">
        <f t="shared" si="0"/>
        <v>21.142857142857146</v>
      </c>
      <c r="K7" s="57">
        <f t="shared" si="0"/>
        <v>21.142857142857146</v>
      </c>
      <c r="L7" s="57">
        <f t="shared" si="0"/>
        <v>21.142857142857146</v>
      </c>
      <c r="M7" s="6"/>
    </row>
    <row r="8" spans="2:13" x14ac:dyDescent="0.5">
      <c r="B8" s="7" t="s">
        <v>115</v>
      </c>
      <c r="C8" s="5"/>
      <c r="D8" s="5"/>
      <c r="E8" s="5"/>
      <c r="F8" s="61">
        <f>365/F7</f>
        <v>17.263513513513512</v>
      </c>
      <c r="G8" s="5"/>
      <c r="H8" s="56">
        <f>+F8</f>
        <v>17.263513513513512</v>
      </c>
      <c r="I8" s="56">
        <f>+H8</f>
        <v>17.263513513513512</v>
      </c>
      <c r="J8" s="56">
        <f t="shared" ref="J8:L8" si="1">+I8</f>
        <v>17.263513513513512</v>
      </c>
      <c r="K8" s="56">
        <f t="shared" si="1"/>
        <v>17.263513513513512</v>
      </c>
      <c r="L8" s="56">
        <f t="shared" si="1"/>
        <v>17.263513513513512</v>
      </c>
      <c r="M8" s="6"/>
    </row>
    <row r="9" spans="2:13" x14ac:dyDescent="0.5"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2:13" x14ac:dyDescent="0.5">
      <c r="B10" s="59" t="s">
        <v>116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2:13" x14ac:dyDescent="0.5">
      <c r="B11" s="7" t="s">
        <v>117</v>
      </c>
      <c r="C11" s="5"/>
      <c r="D11" s="5"/>
      <c r="E11" s="5"/>
      <c r="F11" s="60">
        <f>+'Proj. Income Stat'!F19/(('Proj. Balance Sheet'!D10+'Proj. Balance Sheet'!F10)/2)</f>
        <v>11.2</v>
      </c>
      <c r="G11" s="5"/>
      <c r="H11" s="57">
        <f>365/H12</f>
        <v>11.2</v>
      </c>
      <c r="I11" s="57">
        <f t="shared" ref="I11" si="2">365/I12</f>
        <v>11.2</v>
      </c>
      <c r="J11" s="57">
        <f t="shared" ref="J11" si="3">365/J12</f>
        <v>11.2</v>
      </c>
      <c r="K11" s="57">
        <f t="shared" ref="K11" si="4">365/K12</f>
        <v>11.2</v>
      </c>
      <c r="L11" s="57">
        <f t="shared" ref="L11" si="5">365/L12</f>
        <v>11.2</v>
      </c>
      <c r="M11" s="6"/>
    </row>
    <row r="12" spans="2:13" x14ac:dyDescent="0.5">
      <c r="B12" s="7" t="s">
        <v>118</v>
      </c>
      <c r="C12" s="5"/>
      <c r="D12" s="5"/>
      <c r="E12" s="5"/>
      <c r="F12" s="61">
        <f>365/F11</f>
        <v>32.589285714285715</v>
      </c>
      <c r="G12" s="5"/>
      <c r="H12" s="56">
        <f>+F12</f>
        <v>32.589285714285715</v>
      </c>
      <c r="I12" s="56">
        <f>+H12</f>
        <v>32.589285714285715</v>
      </c>
      <c r="J12" s="56">
        <f t="shared" ref="J12:L12" si="6">+I12</f>
        <v>32.589285714285715</v>
      </c>
      <c r="K12" s="56">
        <f t="shared" si="6"/>
        <v>32.589285714285715</v>
      </c>
      <c r="L12" s="56">
        <f t="shared" si="6"/>
        <v>32.589285714285715</v>
      </c>
      <c r="M12" s="6"/>
    </row>
    <row r="13" spans="2:13" x14ac:dyDescent="0.5"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2:13" x14ac:dyDescent="0.5">
      <c r="B14" s="59" t="s">
        <v>119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5">
      <c r="B15" s="7" t="s">
        <v>120</v>
      </c>
      <c r="C15" s="5"/>
      <c r="D15" s="62">
        <v>8.0999999999999996E-3</v>
      </c>
      <c r="E15" s="5"/>
      <c r="F15" s="37">
        <f>+'Proj. Balance Sheet'!F11/'Proj. Income Stat'!F12</f>
        <v>8.1081081081081086E-3</v>
      </c>
      <c r="G15" s="5"/>
      <c r="H15" s="19">
        <f>+F15</f>
        <v>8.1081081081081086E-3</v>
      </c>
      <c r="I15" s="19">
        <f>+H15</f>
        <v>8.1081081081081086E-3</v>
      </c>
      <c r="J15" s="19">
        <f t="shared" ref="J15:L15" si="7">+I15</f>
        <v>8.1081081081081086E-3</v>
      </c>
      <c r="K15" s="19">
        <f t="shared" si="7"/>
        <v>8.1081081081081086E-3</v>
      </c>
      <c r="L15" s="19">
        <f t="shared" si="7"/>
        <v>8.1081081081081086E-3</v>
      </c>
      <c r="M15" s="6"/>
    </row>
    <row r="16" spans="2:13" x14ac:dyDescent="0.5"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2:13" x14ac:dyDescent="0.5">
      <c r="B17" s="59" t="s">
        <v>121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7" t="s">
        <v>122</v>
      </c>
      <c r="C18" s="5"/>
      <c r="D18" s="5"/>
      <c r="E18" s="5"/>
      <c r="F18" s="60">
        <f>+('Proj. Income Stat'!F19/(('Proj. Balance Sheet'!D29+'Proj. Balance Sheet'!F29)/2))</f>
        <v>11.2</v>
      </c>
      <c r="G18" s="5"/>
      <c r="H18" s="57">
        <f>365/H19</f>
        <v>11.2</v>
      </c>
      <c r="I18" s="57">
        <f t="shared" ref="I18" si="8">365/I19</f>
        <v>11.2</v>
      </c>
      <c r="J18" s="57">
        <f t="shared" ref="J18" si="9">365/J19</f>
        <v>11.2</v>
      </c>
      <c r="K18" s="57">
        <f t="shared" ref="K18" si="10">365/K19</f>
        <v>11.2</v>
      </c>
      <c r="L18" s="57">
        <f t="shared" ref="L18" si="11">365/L19</f>
        <v>11.2</v>
      </c>
      <c r="M18" s="6"/>
    </row>
    <row r="19" spans="2:13" x14ac:dyDescent="0.5">
      <c r="B19" s="7" t="s">
        <v>123</v>
      </c>
      <c r="C19" s="5"/>
      <c r="D19" s="5"/>
      <c r="E19" s="5"/>
      <c r="F19" s="61">
        <f>365/F18</f>
        <v>32.589285714285715</v>
      </c>
      <c r="G19" s="5"/>
      <c r="H19" s="56">
        <f>+F19</f>
        <v>32.589285714285715</v>
      </c>
      <c r="I19" s="56">
        <f>+H19</f>
        <v>32.589285714285715</v>
      </c>
      <c r="J19" s="56">
        <f t="shared" ref="J19:L19" si="12">+I19</f>
        <v>32.589285714285715</v>
      </c>
      <c r="K19" s="56">
        <f t="shared" si="12"/>
        <v>32.589285714285715</v>
      </c>
      <c r="L19" s="56">
        <f t="shared" si="12"/>
        <v>32.589285714285715</v>
      </c>
      <c r="M19" s="6"/>
    </row>
    <row r="20" spans="2:13" x14ac:dyDescent="0.5"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2:13" x14ac:dyDescent="0.5">
      <c r="B21" s="59" t="s">
        <v>124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5">
      <c r="B22" s="7" t="s">
        <v>125</v>
      </c>
      <c r="C22" s="5"/>
      <c r="D22" s="37">
        <f>+'Proj. Balance Sheet'!D30/'Proj. Income Stat'!D12</f>
        <v>1.2500000000000001E-2</v>
      </c>
      <c r="E22" s="5"/>
      <c r="F22" s="37">
        <f>+'Proj. Balance Sheet'!F30/'Proj. Income Stat'!F12</f>
        <v>9.0090090090090089E-3</v>
      </c>
      <c r="G22" s="5"/>
      <c r="H22" s="19">
        <f>+F22</f>
        <v>9.0090090090090089E-3</v>
      </c>
      <c r="I22" s="19">
        <f>+H22</f>
        <v>9.0090090090090089E-3</v>
      </c>
      <c r="J22" s="19">
        <f t="shared" ref="J22:L22" si="13">+I22</f>
        <v>9.0090090090090089E-3</v>
      </c>
      <c r="K22" s="19">
        <f t="shared" si="13"/>
        <v>9.0090090090090089E-3</v>
      </c>
      <c r="L22" s="19">
        <f t="shared" si="13"/>
        <v>9.0090090090090089E-3</v>
      </c>
      <c r="M22" s="6"/>
    </row>
    <row r="23" spans="2:13" x14ac:dyDescent="0.5"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2:13" x14ac:dyDescent="0.5">
      <c r="B24" s="59" t="s">
        <v>126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2:13" x14ac:dyDescent="0.5">
      <c r="B25" s="7" t="s">
        <v>127</v>
      </c>
      <c r="C25" s="5"/>
      <c r="D25" s="37">
        <f>+'Proj. Balance Sheet'!D31/'Proj. Income Stat'!D12</f>
        <v>1.0416666666666666E-2</v>
      </c>
      <c r="E25" s="5"/>
      <c r="F25" s="37">
        <f>+'Proj. Balance Sheet'!F31/'Proj. Income Stat'!F12</f>
        <v>7.2072072072072073E-3</v>
      </c>
      <c r="G25" s="5"/>
      <c r="H25" s="19">
        <f>+F25</f>
        <v>7.2072072072072073E-3</v>
      </c>
      <c r="I25" s="19">
        <f>+H25</f>
        <v>7.2072072072072073E-3</v>
      </c>
      <c r="J25" s="19">
        <f t="shared" ref="J25:L25" si="14">+I25</f>
        <v>7.2072072072072073E-3</v>
      </c>
      <c r="K25" s="19">
        <f t="shared" si="14"/>
        <v>7.2072072072072073E-3</v>
      </c>
      <c r="L25" s="19">
        <f t="shared" si="14"/>
        <v>7.2072072072072073E-3</v>
      </c>
      <c r="M25" s="6"/>
    </row>
    <row r="26" spans="2:13" ht="14.7" thickBot="1" x14ac:dyDescent="0.55000000000000004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6"/>
    </row>
  </sheetData>
  <mergeCells count="2">
    <mergeCell ref="D4:F4"/>
    <mergeCell ref="H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B5D1-06FF-4049-908B-CA910073787D}">
  <dimension ref="B1:M12"/>
  <sheetViews>
    <sheetView showGridLines="0" workbookViewId="0">
      <selection activeCell="L13" sqref="L13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131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1" t="s">
        <v>43</v>
      </c>
      <c r="E4" s="101"/>
      <c r="F4" s="101"/>
      <c r="G4" s="5"/>
      <c r="H4" s="101" t="s">
        <v>42</v>
      </c>
      <c r="I4" s="101"/>
      <c r="J4" s="101"/>
      <c r="K4" s="101"/>
      <c r="L4" s="101"/>
      <c r="M4" s="6"/>
    </row>
    <row r="5" spans="2:13" ht="14.7" thickBot="1" x14ac:dyDescent="0.55000000000000004">
      <c r="B5" s="100" t="s">
        <v>173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59" t="s">
        <v>128</v>
      </c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7" t="s">
        <v>129</v>
      </c>
      <c r="C7" s="5"/>
      <c r="D7" s="27"/>
      <c r="E7" s="5"/>
      <c r="F7" s="37">
        <f>-'Proj. Cash Flow Stat'!F24/'Proj. Income Stat'!F12</f>
        <v>0.11261261261261261</v>
      </c>
      <c r="G7" s="5"/>
      <c r="H7" s="19">
        <f>+F7</f>
        <v>0.11261261261261261</v>
      </c>
      <c r="I7" s="19">
        <f>+H7</f>
        <v>0.11261261261261261</v>
      </c>
      <c r="J7" s="19">
        <f t="shared" ref="J7:L7" si="0">+I7</f>
        <v>0.11261261261261261</v>
      </c>
      <c r="K7" s="19">
        <f t="shared" si="0"/>
        <v>0.11261261261261261</v>
      </c>
      <c r="L7" s="19">
        <f t="shared" si="0"/>
        <v>0.11261261261261261</v>
      </c>
      <c r="M7" s="6"/>
    </row>
    <row r="8" spans="2:13" x14ac:dyDescent="0.5">
      <c r="B8" s="7"/>
      <c r="C8" s="5"/>
      <c r="D8" s="5"/>
      <c r="E8" s="5"/>
      <c r="F8" s="62"/>
      <c r="G8" s="5"/>
      <c r="H8" s="5"/>
      <c r="I8" s="5"/>
      <c r="J8" s="5"/>
      <c r="K8" s="5"/>
      <c r="L8" s="5"/>
      <c r="M8" s="6"/>
    </row>
    <row r="9" spans="2:13" x14ac:dyDescent="0.5">
      <c r="B9" s="59" t="s">
        <v>130</v>
      </c>
      <c r="C9" s="5"/>
      <c r="D9" s="5"/>
      <c r="E9" s="5"/>
      <c r="F9" s="62"/>
      <c r="G9" s="5"/>
      <c r="H9" s="5"/>
      <c r="I9" s="5"/>
      <c r="J9" s="5"/>
      <c r="K9" s="5"/>
      <c r="L9" s="5"/>
      <c r="M9" s="6"/>
    </row>
    <row r="10" spans="2:13" x14ac:dyDescent="0.5">
      <c r="B10" s="7" t="s">
        <v>132</v>
      </c>
      <c r="C10" s="5"/>
      <c r="D10" s="5"/>
      <c r="E10" s="5"/>
      <c r="F10" s="37">
        <f>-'Proj. Cash Flow Stat'!F25/'Proj. Income Stat'!F12</f>
        <v>4.5045045045045043E-2</v>
      </c>
      <c r="G10" s="5"/>
      <c r="H10" s="19">
        <f>+F10</f>
        <v>4.5045045045045043E-2</v>
      </c>
      <c r="I10" s="19">
        <f>+H10</f>
        <v>4.5045045045045043E-2</v>
      </c>
      <c r="J10" s="19">
        <f t="shared" ref="J10:L10" si="1">+I10</f>
        <v>4.5045045045045043E-2</v>
      </c>
      <c r="K10" s="19">
        <f t="shared" si="1"/>
        <v>4.5045045045045043E-2</v>
      </c>
      <c r="L10" s="19">
        <f t="shared" si="1"/>
        <v>4.5045045045045043E-2</v>
      </c>
      <c r="M10" s="6"/>
    </row>
    <row r="11" spans="2:13" x14ac:dyDescent="0.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ht="14.7" thickBot="1" x14ac:dyDescent="0.55000000000000004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6"/>
    </row>
  </sheetData>
  <mergeCells count="2">
    <mergeCell ref="D4:F4"/>
    <mergeCell ref="H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5E73B-DB6B-43A7-BF09-1CB1C6FE0893}">
  <dimension ref="B1:M33"/>
  <sheetViews>
    <sheetView showGridLines="0" topLeftCell="A13" workbookViewId="0">
      <selection activeCell="Q29" sqref="Q29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0.703125" customWidth="1"/>
    <col min="5" max="5" width="2.703125" customWidth="1"/>
    <col min="6" max="6" width="9.76171875" bestFit="1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186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5">
      <c r="B4" s="7"/>
      <c r="C4" s="11"/>
      <c r="D4" s="101" t="s">
        <v>43</v>
      </c>
      <c r="E4" s="101"/>
      <c r="F4" s="101"/>
      <c r="G4" s="5"/>
      <c r="H4" s="101" t="s">
        <v>42</v>
      </c>
      <c r="I4" s="101"/>
      <c r="J4" s="101"/>
      <c r="K4" s="101"/>
      <c r="L4" s="101"/>
      <c r="M4" s="6"/>
    </row>
    <row r="5" spans="2:13" x14ac:dyDescent="0.5">
      <c r="B5" s="7"/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7" t="s">
        <v>139</v>
      </c>
      <c r="C6" s="11"/>
      <c r="D6" s="11"/>
      <c r="E6" s="11"/>
      <c r="F6" s="64">
        <v>0.02</v>
      </c>
      <c r="G6" s="11"/>
      <c r="H6" s="63">
        <f>+F6+H7</f>
        <v>2.5000000000000001E-2</v>
      </c>
      <c r="I6" s="63">
        <f>+H6+I7</f>
        <v>3.0000000000000002E-2</v>
      </c>
      <c r="J6" s="63">
        <f t="shared" ref="J6:L6" si="0">+I6+J7</f>
        <v>3.5000000000000003E-2</v>
      </c>
      <c r="K6" s="63">
        <f t="shared" si="0"/>
        <v>4.5000000000000005E-2</v>
      </c>
      <c r="L6" s="63">
        <f t="shared" si="0"/>
        <v>4.5000000000000005E-2</v>
      </c>
      <c r="M6" s="83"/>
    </row>
    <row r="7" spans="2:13" x14ac:dyDescent="0.5">
      <c r="B7" s="84" t="s">
        <v>138</v>
      </c>
      <c r="C7" s="11"/>
      <c r="D7" s="11"/>
      <c r="E7" s="11"/>
      <c r="F7" s="11"/>
      <c r="G7" s="11"/>
      <c r="H7" s="19">
        <v>5.0000000000000001E-3</v>
      </c>
      <c r="I7" s="19">
        <v>5.0000000000000001E-3</v>
      </c>
      <c r="J7" s="19">
        <v>5.0000000000000001E-3</v>
      </c>
      <c r="K7" s="19">
        <v>0.01</v>
      </c>
      <c r="L7" s="19">
        <v>0</v>
      </c>
      <c r="M7" s="83"/>
    </row>
    <row r="8" spans="2:13" x14ac:dyDescent="0.5">
      <c r="B8" s="7"/>
      <c r="C8" s="11"/>
      <c r="D8" s="11"/>
      <c r="E8" s="11"/>
      <c r="F8" s="11"/>
      <c r="G8" s="11"/>
      <c r="H8" s="11"/>
      <c r="I8" s="11"/>
      <c r="J8" s="11"/>
      <c r="K8" s="11"/>
      <c r="L8" s="11"/>
      <c r="M8" s="83"/>
    </row>
    <row r="9" spans="2:13" x14ac:dyDescent="0.5">
      <c r="B9" s="7"/>
      <c r="C9" s="11"/>
      <c r="D9" s="11"/>
      <c r="E9" s="11"/>
      <c r="F9" s="11"/>
      <c r="G9" s="11"/>
      <c r="H9" s="11"/>
      <c r="I9" s="11"/>
      <c r="J9" s="11"/>
      <c r="K9" s="11"/>
      <c r="L9" s="11"/>
      <c r="M9" s="83"/>
    </row>
    <row r="10" spans="2:13" x14ac:dyDescent="0.5">
      <c r="B10" s="59" t="s">
        <v>134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2:13" x14ac:dyDescent="0.5">
      <c r="B11" s="7" t="s">
        <v>140</v>
      </c>
      <c r="C11" s="5"/>
      <c r="D11" s="5"/>
      <c r="E11" s="5"/>
      <c r="F11" s="5"/>
      <c r="G11" s="5"/>
      <c r="H11" s="19">
        <v>0.03</v>
      </c>
      <c r="I11" s="19">
        <v>0.03</v>
      </c>
      <c r="J11" s="19">
        <v>0.03</v>
      </c>
      <c r="K11" s="19">
        <v>0.03</v>
      </c>
      <c r="L11" s="19">
        <v>0.03</v>
      </c>
      <c r="M11" s="6"/>
    </row>
    <row r="12" spans="2:13" x14ac:dyDescent="0.5">
      <c r="B12" s="7" t="s">
        <v>142</v>
      </c>
      <c r="C12" s="5"/>
      <c r="D12" s="5"/>
      <c r="E12" s="5"/>
      <c r="F12" s="5"/>
      <c r="G12" s="5"/>
      <c r="H12" s="62">
        <f>+H11+H6</f>
        <v>5.5E-2</v>
      </c>
      <c r="I12" s="62">
        <f t="shared" ref="I12:L12" si="1">+I11+I6</f>
        <v>0.06</v>
      </c>
      <c r="J12" s="62">
        <f t="shared" si="1"/>
        <v>6.5000000000000002E-2</v>
      </c>
      <c r="K12" s="62">
        <f t="shared" si="1"/>
        <v>7.5000000000000011E-2</v>
      </c>
      <c r="L12" s="62">
        <f t="shared" si="1"/>
        <v>7.5000000000000011E-2</v>
      </c>
      <c r="M12" s="6"/>
    </row>
    <row r="13" spans="2:13" x14ac:dyDescent="0.5">
      <c r="B13" s="7"/>
      <c r="C13" s="5"/>
      <c r="D13" s="5"/>
      <c r="E13" s="5"/>
      <c r="F13" s="5"/>
      <c r="G13" s="5"/>
      <c r="H13" s="62"/>
      <c r="I13" s="62"/>
      <c r="J13" s="62"/>
      <c r="K13" s="62"/>
      <c r="L13" s="62"/>
      <c r="M13" s="6"/>
    </row>
    <row r="14" spans="2:13" x14ac:dyDescent="0.5">
      <c r="B14" s="7" t="s">
        <v>133</v>
      </c>
      <c r="C14" s="5"/>
      <c r="D14" s="75">
        <f>+'Proj. Balance Sheet'!D32</f>
        <v>20000</v>
      </c>
      <c r="E14" s="5"/>
      <c r="F14" s="75">
        <f>+'Proj. Balance Sheet'!F32</f>
        <v>10000</v>
      </c>
      <c r="G14" s="5"/>
      <c r="H14" s="31">
        <f>+F14-H15</f>
        <v>0</v>
      </c>
      <c r="I14" s="5"/>
      <c r="J14" s="5"/>
      <c r="K14" s="5"/>
      <c r="L14" s="5"/>
      <c r="M14" s="6"/>
    </row>
    <row r="15" spans="2:13" x14ac:dyDescent="0.5">
      <c r="B15" s="7" t="s">
        <v>135</v>
      </c>
      <c r="C15" s="5"/>
      <c r="D15" s="5"/>
      <c r="E15" s="5"/>
      <c r="F15" s="5"/>
      <c r="G15" s="5"/>
      <c r="H15" s="65">
        <v>10000</v>
      </c>
      <c r="I15" s="65">
        <v>0</v>
      </c>
      <c r="J15" s="65">
        <v>0</v>
      </c>
      <c r="K15" s="65">
        <v>0</v>
      </c>
      <c r="L15" s="65">
        <v>0</v>
      </c>
      <c r="M15" s="85"/>
    </row>
    <row r="16" spans="2:13" x14ac:dyDescent="0.5">
      <c r="B16" s="7" t="s">
        <v>136</v>
      </c>
      <c r="C16" s="5"/>
      <c r="D16" s="5"/>
      <c r="E16" s="5"/>
      <c r="F16" s="5"/>
      <c r="G16" s="5"/>
      <c r="H16" s="58">
        <f>+F14*H12</f>
        <v>550</v>
      </c>
      <c r="I16" s="58">
        <f>+H14*I12</f>
        <v>0</v>
      </c>
      <c r="J16" s="58">
        <f t="shared" ref="J16:L16" si="2">+I14*J12</f>
        <v>0</v>
      </c>
      <c r="K16" s="58">
        <f t="shared" si="2"/>
        <v>0</v>
      </c>
      <c r="L16" s="58">
        <f t="shared" si="2"/>
        <v>0</v>
      </c>
      <c r="M16" s="6"/>
    </row>
    <row r="17" spans="2:13" x14ac:dyDescent="0.5">
      <c r="B17" s="7" t="s">
        <v>137</v>
      </c>
      <c r="C17" s="5"/>
      <c r="D17" s="5"/>
      <c r="E17" s="5"/>
      <c r="F17" s="5"/>
      <c r="G17" s="5"/>
      <c r="H17" s="31">
        <f>+H16+H15</f>
        <v>10550</v>
      </c>
      <c r="I17" s="31">
        <f t="shared" ref="I17" si="3">+I16+I15</f>
        <v>0</v>
      </c>
      <c r="J17" s="31">
        <f t="shared" ref="J17" si="4">+J16+J15</f>
        <v>0</v>
      </c>
      <c r="K17" s="31">
        <f t="shared" ref="K17" si="5">+K16+K15</f>
        <v>0</v>
      </c>
      <c r="L17" s="31">
        <f t="shared" ref="L17" si="6">+L16+L15</f>
        <v>0</v>
      </c>
      <c r="M17" s="6"/>
    </row>
    <row r="18" spans="2:13" x14ac:dyDescent="0.5"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2:13" x14ac:dyDescent="0.5">
      <c r="B19" s="59" t="s">
        <v>141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2:13" x14ac:dyDescent="0.5">
      <c r="B20" s="7" t="s">
        <v>140</v>
      </c>
      <c r="C20" s="5"/>
      <c r="D20" s="5"/>
      <c r="E20" s="5"/>
      <c r="F20" s="5"/>
      <c r="G20" s="5"/>
      <c r="H20" s="62">
        <f>+H11</f>
        <v>0.03</v>
      </c>
      <c r="I20" s="62">
        <f t="shared" ref="I20:L20" si="7">+I11</f>
        <v>0.03</v>
      </c>
      <c r="J20" s="62">
        <f t="shared" si="7"/>
        <v>0.03</v>
      </c>
      <c r="K20" s="62">
        <f t="shared" si="7"/>
        <v>0.03</v>
      </c>
      <c r="L20" s="62">
        <f t="shared" si="7"/>
        <v>0.03</v>
      </c>
      <c r="M20" s="6"/>
    </row>
    <row r="21" spans="2:13" x14ac:dyDescent="0.5">
      <c r="B21" s="7" t="s">
        <v>142</v>
      </c>
      <c r="C21" s="5"/>
      <c r="D21" s="5"/>
      <c r="E21" s="5"/>
      <c r="F21" s="5"/>
      <c r="G21" s="5"/>
      <c r="H21" s="62">
        <f>+H20+H6</f>
        <v>5.5E-2</v>
      </c>
      <c r="I21" s="62">
        <f t="shared" ref="I21:L21" si="8">+I20+I6</f>
        <v>0.06</v>
      </c>
      <c r="J21" s="62">
        <f t="shared" si="8"/>
        <v>6.5000000000000002E-2</v>
      </c>
      <c r="K21" s="62">
        <f t="shared" si="8"/>
        <v>7.5000000000000011E-2</v>
      </c>
      <c r="L21" s="62">
        <f t="shared" si="8"/>
        <v>7.5000000000000011E-2</v>
      </c>
      <c r="M21" s="6"/>
    </row>
    <row r="22" spans="2:13" x14ac:dyDescent="0.5"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2:13" x14ac:dyDescent="0.5">
      <c r="B23" s="7" t="s">
        <v>133</v>
      </c>
      <c r="C23" s="5"/>
      <c r="D23" s="75">
        <f>+'Proj. Balance Sheet'!D35</f>
        <v>1200000</v>
      </c>
      <c r="E23" s="5"/>
      <c r="F23" s="75">
        <f>+'Proj. Balance Sheet'!F35</f>
        <v>1180000</v>
      </c>
      <c r="G23" s="5"/>
      <c r="H23" s="31">
        <f>+F23-H24</f>
        <v>1160000</v>
      </c>
      <c r="I23" s="31">
        <f>+H23-I24</f>
        <v>1130000</v>
      </c>
      <c r="J23" s="31">
        <f t="shared" ref="J23:L23" si="9">+I23-J24</f>
        <v>1090000</v>
      </c>
      <c r="K23" s="31">
        <f t="shared" si="9"/>
        <v>1030000</v>
      </c>
      <c r="L23" s="31">
        <f t="shared" si="9"/>
        <v>950000</v>
      </c>
      <c r="M23" s="6"/>
    </row>
    <row r="24" spans="2:13" x14ac:dyDescent="0.5">
      <c r="B24" s="7" t="s">
        <v>135</v>
      </c>
      <c r="C24" s="5"/>
      <c r="D24" s="5"/>
      <c r="E24" s="5"/>
      <c r="F24" s="5"/>
      <c r="G24" s="5"/>
      <c r="H24" s="65">
        <v>20000</v>
      </c>
      <c r="I24" s="65">
        <v>30000</v>
      </c>
      <c r="J24" s="65">
        <v>40000</v>
      </c>
      <c r="K24" s="65">
        <v>60000</v>
      </c>
      <c r="L24" s="65">
        <v>80000</v>
      </c>
      <c r="M24" s="6"/>
    </row>
    <row r="25" spans="2:13" x14ac:dyDescent="0.5">
      <c r="B25" s="7" t="s">
        <v>136</v>
      </c>
      <c r="C25" s="5"/>
      <c r="D25" s="5"/>
      <c r="E25" s="5"/>
      <c r="F25" s="5"/>
      <c r="G25" s="5"/>
      <c r="H25" s="58">
        <f>+F23*H21</f>
        <v>64900</v>
      </c>
      <c r="I25" s="58">
        <f>+H23*I21</f>
        <v>69600</v>
      </c>
      <c r="J25" s="58">
        <f t="shared" ref="J25:L25" si="10">+I23*J21</f>
        <v>73450</v>
      </c>
      <c r="K25" s="58">
        <f t="shared" si="10"/>
        <v>81750.000000000015</v>
      </c>
      <c r="L25" s="58">
        <f t="shared" si="10"/>
        <v>77250.000000000015</v>
      </c>
      <c r="M25" s="6"/>
    </row>
    <row r="26" spans="2:13" x14ac:dyDescent="0.5">
      <c r="B26" s="7" t="s">
        <v>137</v>
      </c>
      <c r="C26" s="5"/>
      <c r="D26" s="5"/>
      <c r="E26" s="5"/>
      <c r="F26" s="5"/>
      <c r="G26" s="5"/>
      <c r="H26" s="31">
        <f>+H25+H24</f>
        <v>84900</v>
      </c>
      <c r="I26" s="31">
        <f t="shared" ref="I26:L26" si="11">+I25+I24</f>
        <v>99600</v>
      </c>
      <c r="J26" s="31">
        <f t="shared" si="11"/>
        <v>113450</v>
      </c>
      <c r="K26" s="31">
        <f t="shared" si="11"/>
        <v>141750</v>
      </c>
      <c r="L26" s="31">
        <f t="shared" si="11"/>
        <v>157250</v>
      </c>
      <c r="M26" s="6"/>
    </row>
    <row r="27" spans="2:13" x14ac:dyDescent="0.5">
      <c r="B27" s="7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2:13" x14ac:dyDescent="0.5">
      <c r="B28" s="7" t="s">
        <v>143</v>
      </c>
      <c r="C28" s="5"/>
      <c r="D28" s="75">
        <f>+D23+D14</f>
        <v>1220000</v>
      </c>
      <c r="E28" s="5"/>
      <c r="F28" s="75">
        <f>+F23+F14</f>
        <v>1190000</v>
      </c>
      <c r="G28" s="5"/>
      <c r="H28" s="31">
        <f>+H23+H14</f>
        <v>1160000</v>
      </c>
      <c r="I28" s="31">
        <f t="shared" ref="I28:L28" si="12">+I23+I14</f>
        <v>1130000</v>
      </c>
      <c r="J28" s="31">
        <f t="shared" si="12"/>
        <v>1090000</v>
      </c>
      <c r="K28" s="31">
        <f t="shared" si="12"/>
        <v>1030000</v>
      </c>
      <c r="L28" s="31">
        <f t="shared" si="12"/>
        <v>950000</v>
      </c>
      <c r="M28" s="6"/>
    </row>
    <row r="29" spans="2:13" x14ac:dyDescent="0.5">
      <c r="B29" s="7" t="s">
        <v>133</v>
      </c>
      <c r="C29" s="5"/>
      <c r="D29" s="5"/>
      <c r="E29" s="5"/>
      <c r="F29" s="5"/>
      <c r="G29" s="5"/>
      <c r="H29" s="31">
        <f t="shared" ref="H29:L31" si="13">+H24+H15</f>
        <v>30000</v>
      </c>
      <c r="I29" s="31">
        <f t="shared" si="13"/>
        <v>30000</v>
      </c>
      <c r="J29" s="31">
        <f t="shared" si="13"/>
        <v>40000</v>
      </c>
      <c r="K29" s="31">
        <f t="shared" si="13"/>
        <v>60000</v>
      </c>
      <c r="L29" s="31">
        <f t="shared" si="13"/>
        <v>80000</v>
      </c>
      <c r="M29" s="6"/>
    </row>
    <row r="30" spans="2:13" x14ac:dyDescent="0.5">
      <c r="B30" s="7" t="s">
        <v>135</v>
      </c>
      <c r="C30" s="5"/>
      <c r="D30" s="5"/>
      <c r="E30" s="5"/>
      <c r="F30" s="5"/>
      <c r="G30" s="5"/>
      <c r="H30" s="31">
        <f t="shared" si="13"/>
        <v>65450</v>
      </c>
      <c r="I30" s="31">
        <f t="shared" si="13"/>
        <v>69600</v>
      </c>
      <c r="J30" s="31">
        <f t="shared" si="13"/>
        <v>73450</v>
      </c>
      <c r="K30" s="31">
        <f t="shared" si="13"/>
        <v>81750.000000000015</v>
      </c>
      <c r="L30" s="31">
        <f t="shared" si="13"/>
        <v>77250.000000000015</v>
      </c>
      <c r="M30" s="6"/>
    </row>
    <row r="31" spans="2:13" x14ac:dyDescent="0.5">
      <c r="B31" s="7" t="s">
        <v>136</v>
      </c>
      <c r="C31" s="5"/>
      <c r="D31" s="5"/>
      <c r="E31" s="5"/>
      <c r="F31" s="5"/>
      <c r="G31" s="5"/>
      <c r="H31" s="66">
        <f t="shared" si="13"/>
        <v>95450</v>
      </c>
      <c r="I31" s="66">
        <f t="shared" si="13"/>
        <v>99600</v>
      </c>
      <c r="J31" s="66">
        <f t="shared" si="13"/>
        <v>113450</v>
      </c>
      <c r="K31" s="66">
        <f t="shared" si="13"/>
        <v>141750</v>
      </c>
      <c r="L31" s="66">
        <f t="shared" si="13"/>
        <v>157250</v>
      </c>
      <c r="M31" s="6"/>
    </row>
    <row r="32" spans="2:13" x14ac:dyDescent="0.5">
      <c r="B32" s="7" t="s">
        <v>137</v>
      </c>
      <c r="C32" s="5"/>
      <c r="D32" s="5"/>
      <c r="E32" s="5"/>
      <c r="F32" s="5"/>
      <c r="G32" s="5"/>
      <c r="H32" s="31">
        <f>+H31+H30</f>
        <v>160900</v>
      </c>
      <c r="I32" s="31">
        <f t="shared" ref="I32" si="14">+I31+I30</f>
        <v>169200</v>
      </c>
      <c r="J32" s="31">
        <f t="shared" ref="J32" si="15">+J31+J30</f>
        <v>186900</v>
      </c>
      <c r="K32" s="31">
        <f t="shared" ref="K32" si="16">+K31+K30</f>
        <v>223500</v>
      </c>
      <c r="L32" s="31">
        <f t="shared" ref="L32" si="17">+L31+L30</f>
        <v>234500</v>
      </c>
      <c r="M32" s="6"/>
    </row>
    <row r="33" spans="2:13" ht="14.7" thickBot="1" x14ac:dyDescent="0.55000000000000004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6"/>
    </row>
  </sheetData>
  <mergeCells count="2">
    <mergeCell ref="D4:F4"/>
    <mergeCell ref="H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8EF4-3A28-40C6-8459-BDF2967AF2FA}">
  <dimension ref="B1:M13"/>
  <sheetViews>
    <sheetView showGridLines="0" topLeftCell="A7" workbookViewId="0">
      <selection activeCell="L14" sqref="L14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5" max="5" width="2.703125" customWidth="1"/>
    <col min="7" max="7" width="5.64453125" customWidth="1"/>
    <col min="8" max="12" width="10.41015625" customWidth="1"/>
    <col min="13" max="13" width="3.7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5">
      <c r="B3" s="4" t="s">
        <v>148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11"/>
      <c r="D4" s="101" t="s">
        <v>43</v>
      </c>
      <c r="E4" s="101"/>
      <c r="F4" s="101"/>
      <c r="G4" s="5"/>
      <c r="H4" s="101" t="s">
        <v>42</v>
      </c>
      <c r="I4" s="101"/>
      <c r="J4" s="101"/>
      <c r="K4" s="101"/>
      <c r="L4" s="101"/>
      <c r="M4" s="6"/>
    </row>
    <row r="5" spans="2:13" ht="14.7" thickBot="1" x14ac:dyDescent="0.55000000000000004">
      <c r="B5" s="100" t="s">
        <v>173</v>
      </c>
      <c r="C5" s="11"/>
      <c r="D5" s="9" t="s">
        <v>19</v>
      </c>
      <c r="E5" s="10"/>
      <c r="F5" s="9" t="s">
        <v>18</v>
      </c>
      <c r="G5" s="5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6"/>
    </row>
    <row r="6" spans="2:13" x14ac:dyDescent="0.5">
      <c r="B6" s="7" t="s">
        <v>110</v>
      </c>
      <c r="C6" s="5"/>
      <c r="D6" s="5"/>
      <c r="E6" s="5"/>
      <c r="F6" s="5"/>
      <c r="G6" s="5"/>
      <c r="H6" s="30">
        <f>+'Proj. Income Stat'!H40</f>
        <v>324422.19999999995</v>
      </c>
      <c r="I6" s="30">
        <f>+'Proj. Income Stat'!I40</f>
        <v>367676.0312400001</v>
      </c>
      <c r="J6" s="30">
        <f>+'Proj. Income Stat'!J40</f>
        <v>392399.03837713611</v>
      </c>
      <c r="K6" s="30">
        <f>+'Proj. Income Stat'!K40</f>
        <v>396152.44727275835</v>
      </c>
      <c r="L6" s="30">
        <f>+'Proj. Income Stat'!L40</f>
        <v>407128.05631708214</v>
      </c>
      <c r="M6" s="6"/>
    </row>
    <row r="7" spans="2:13" x14ac:dyDescent="0.5">
      <c r="B7" s="7" t="s">
        <v>146</v>
      </c>
      <c r="C7" s="5"/>
      <c r="D7" s="5"/>
      <c r="E7" s="5"/>
      <c r="F7" s="5"/>
      <c r="G7" s="5"/>
      <c r="H7" s="82">
        <v>0.4</v>
      </c>
      <c r="I7" s="82">
        <v>0.4</v>
      </c>
      <c r="J7" s="82">
        <v>0.4</v>
      </c>
      <c r="K7" s="82">
        <v>0.4</v>
      </c>
      <c r="L7" s="82">
        <v>0.4</v>
      </c>
      <c r="M7" s="6"/>
    </row>
    <row r="8" spans="2:13" x14ac:dyDescent="0.5">
      <c r="B8" s="7" t="s">
        <v>149</v>
      </c>
      <c r="C8" s="5"/>
      <c r="D8" s="5"/>
      <c r="E8" s="5"/>
      <c r="F8" s="5"/>
      <c r="G8" s="5"/>
      <c r="H8" s="30">
        <f>+H7*H6</f>
        <v>129768.87999999999</v>
      </c>
      <c r="I8" s="30">
        <f t="shared" ref="I8:L8" si="0">+I7*I6</f>
        <v>147070.41249600003</v>
      </c>
      <c r="J8" s="30">
        <f t="shared" si="0"/>
        <v>156959.61535085444</v>
      </c>
      <c r="K8" s="30">
        <f t="shared" si="0"/>
        <v>158460.97890910335</v>
      </c>
      <c r="L8" s="30">
        <f t="shared" si="0"/>
        <v>162851.22252683286</v>
      </c>
      <c r="M8" s="6"/>
    </row>
    <row r="9" spans="2:13" x14ac:dyDescent="0.5">
      <c r="B9" s="7" t="s">
        <v>150</v>
      </c>
      <c r="C9" s="5"/>
      <c r="D9" s="5"/>
      <c r="E9" s="5"/>
      <c r="F9" s="5"/>
      <c r="G9" s="5"/>
      <c r="H9" s="30">
        <f>+H8*H12</f>
        <v>5190.7551999999996</v>
      </c>
      <c r="I9" s="30">
        <f t="shared" ref="I9:L9" si="1">+I8*I12</f>
        <v>5882.8164998400016</v>
      </c>
      <c r="J9" s="30">
        <f t="shared" si="1"/>
        <v>6278.3846140341775</v>
      </c>
      <c r="K9" s="30">
        <f t="shared" si="1"/>
        <v>6338.4391563641339</v>
      </c>
      <c r="L9" s="30">
        <f t="shared" si="1"/>
        <v>6514.0489010733145</v>
      </c>
      <c r="M9" s="6"/>
    </row>
    <row r="10" spans="2:13" x14ac:dyDescent="0.5">
      <c r="B10" s="7" t="s">
        <v>151</v>
      </c>
      <c r="C10" s="5"/>
      <c r="D10" s="5"/>
      <c r="E10" s="5"/>
      <c r="F10" s="5"/>
      <c r="G10" s="5"/>
      <c r="H10" s="20">
        <f>+H8-H9</f>
        <v>124578.12479999999</v>
      </c>
      <c r="I10" s="20">
        <f t="shared" ref="I10:L10" si="2">+I8-I9</f>
        <v>141187.59599616003</v>
      </c>
      <c r="J10" s="20">
        <f t="shared" si="2"/>
        <v>150681.23073682026</v>
      </c>
      <c r="K10" s="20">
        <f t="shared" si="2"/>
        <v>152122.53975273922</v>
      </c>
      <c r="L10" s="20">
        <f t="shared" si="2"/>
        <v>156337.17362575955</v>
      </c>
      <c r="M10" s="6"/>
    </row>
    <row r="11" spans="2:13" x14ac:dyDescent="0.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7" t="s">
        <v>147</v>
      </c>
      <c r="C12" s="5"/>
      <c r="D12" s="5"/>
      <c r="E12" s="5"/>
      <c r="F12" s="5"/>
      <c r="G12" s="5"/>
      <c r="H12" s="19">
        <v>0.04</v>
      </c>
      <c r="I12" s="19">
        <v>0.04</v>
      </c>
      <c r="J12" s="19">
        <v>0.04</v>
      </c>
      <c r="K12" s="19">
        <v>0.04</v>
      </c>
      <c r="L12" s="19">
        <v>0.04</v>
      </c>
      <c r="M12" s="6"/>
    </row>
    <row r="13" spans="2:13" ht="14.7" thickBot="1" x14ac:dyDescent="0.55000000000000004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6"/>
    </row>
  </sheetData>
  <mergeCells count="2">
    <mergeCell ref="D4:F4"/>
    <mergeCell ref="H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757C-061D-4683-8298-B1E0523D7F81}">
  <dimension ref="B1:M25"/>
  <sheetViews>
    <sheetView showGridLines="0" topLeftCell="A13" workbookViewId="0">
      <selection activeCell="L26" sqref="L26"/>
    </sheetView>
  </sheetViews>
  <sheetFormatPr defaultRowHeight="14.35" x14ac:dyDescent="0.5"/>
  <cols>
    <col min="1" max="1" width="3.703125" customWidth="1"/>
    <col min="2" max="2" width="37.05859375" customWidth="1"/>
    <col min="3" max="3" width="2.87890625" customWidth="1"/>
    <col min="4" max="4" width="13" customWidth="1"/>
    <col min="5" max="5" width="3.5859375" customWidth="1"/>
    <col min="6" max="6" width="10.64453125" customWidth="1"/>
    <col min="7" max="7" width="3.5859375" customWidth="1"/>
    <col min="8" max="12" width="10.05859375" customWidth="1"/>
    <col min="13" max="13" width="3.820312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35" x14ac:dyDescent="0.5">
      <c r="B3" s="72" t="s">
        <v>172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5"/>
      <c r="D4" s="101" t="s">
        <v>43</v>
      </c>
      <c r="E4" s="101"/>
      <c r="F4" s="101"/>
      <c r="G4" s="5"/>
      <c r="H4" s="101" t="s">
        <v>42</v>
      </c>
      <c r="I4" s="101"/>
      <c r="J4" s="101"/>
      <c r="K4" s="101"/>
      <c r="L4" s="101"/>
      <c r="M4" s="6"/>
    </row>
    <row r="5" spans="2:13" ht="14.7" thickBot="1" x14ac:dyDescent="0.55000000000000004">
      <c r="B5" s="100" t="s">
        <v>173</v>
      </c>
      <c r="C5" s="5"/>
      <c r="D5" s="43" t="s">
        <v>19</v>
      </c>
      <c r="E5" s="44"/>
      <c r="F5" s="43" t="s">
        <v>18</v>
      </c>
      <c r="G5" s="5"/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6"/>
    </row>
    <row r="6" spans="2:13" x14ac:dyDescent="0.5">
      <c r="B6" s="7" t="s">
        <v>174</v>
      </c>
      <c r="C6" s="5"/>
      <c r="D6" s="30">
        <f>+'Proj. Income Stat'!D12</f>
        <v>960000</v>
      </c>
      <c r="E6" s="30"/>
      <c r="F6" s="30">
        <f>+'Proj. Income Stat'!F12</f>
        <v>1110000</v>
      </c>
      <c r="G6" s="5"/>
      <c r="H6" s="30">
        <f>+'Proj. Income Stat'!H12</f>
        <v>1228140</v>
      </c>
      <c r="I6" s="30">
        <f>+'Proj. Income Stat'!I12</f>
        <v>1344199.848</v>
      </c>
      <c r="J6" s="30">
        <f>+'Proj. Income Stat'!J12</f>
        <v>1442918.9540652002</v>
      </c>
      <c r="K6" s="30">
        <f>+'Proj. Income Stat'!K12</f>
        <v>1529267.7156714478</v>
      </c>
      <c r="L6" s="30">
        <f>+'Proj. Income Stat'!L12</f>
        <v>1605161.4860476251</v>
      </c>
      <c r="M6" s="6"/>
    </row>
    <row r="7" spans="2:13" x14ac:dyDescent="0.5">
      <c r="B7" s="7" t="s">
        <v>175</v>
      </c>
      <c r="C7" s="5"/>
      <c r="D7" s="5"/>
      <c r="E7" s="5"/>
      <c r="F7" s="27">
        <f>+F6/D6-1</f>
        <v>0.15625</v>
      </c>
      <c r="G7" s="5"/>
      <c r="H7" s="27">
        <f>+H6/F6-1</f>
        <v>0.10643243243243239</v>
      </c>
      <c r="I7" s="27">
        <f>+I6/H6-1</f>
        <v>9.4500503199960839E-2</v>
      </c>
      <c r="J7" s="27">
        <f t="shared" ref="J7:L7" si="0">+J6/I6-1</f>
        <v>7.3440795438328488E-2</v>
      </c>
      <c r="K7" s="27">
        <f t="shared" si="0"/>
        <v>5.9843112714663249E-2</v>
      </c>
      <c r="L7" s="27">
        <f t="shared" si="0"/>
        <v>4.9627524074720375E-2</v>
      </c>
      <c r="M7" s="6"/>
    </row>
    <row r="8" spans="2:13" x14ac:dyDescent="0.5">
      <c r="B8" s="7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2:13" x14ac:dyDescent="0.5">
      <c r="B9" s="7" t="s">
        <v>15</v>
      </c>
      <c r="C9" s="5"/>
      <c r="D9" s="75">
        <f>+'Proj. Income Stat'!D30</f>
        <v>385000</v>
      </c>
      <c r="E9" s="5"/>
      <c r="F9" s="75">
        <f>+'Proj. Income Stat'!F30</f>
        <v>433000</v>
      </c>
      <c r="G9" s="5"/>
      <c r="H9" s="75">
        <f>+'Proj. Income Stat'!H30</f>
        <v>493560.59999999992</v>
      </c>
      <c r="I9" s="75">
        <f>+'Proj. Income Stat'!I30</f>
        <v>547928.0221200001</v>
      </c>
      <c r="J9" s="75">
        <f>+'Proj. Income Stat'!J30</f>
        <v>592424.17562104808</v>
      </c>
      <c r="K9" s="75">
        <f>+'Proj. Income Stat'!K30</f>
        <v>629658.51021304517</v>
      </c>
      <c r="L9" s="75">
        <f>+'Proj. Income Stat'!L30</f>
        <v>660687.74547993962</v>
      </c>
      <c r="M9" s="6"/>
    </row>
    <row r="10" spans="2:13" x14ac:dyDescent="0.5">
      <c r="B10" s="7" t="s">
        <v>176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2:13" x14ac:dyDescent="0.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5">
      <c r="B12" s="7" t="s">
        <v>182</v>
      </c>
      <c r="C12" s="5"/>
      <c r="D12" s="5"/>
      <c r="E12" s="5"/>
      <c r="F12" s="5"/>
      <c r="G12" s="5"/>
      <c r="H12" s="30">
        <f>+'Proj. Income Stat'!H39</f>
        <v>95450</v>
      </c>
      <c r="I12" s="30">
        <f>+'Proj. Income Stat'!I39</f>
        <v>99600</v>
      </c>
      <c r="J12" s="30">
        <f>+'Proj. Income Stat'!J39</f>
        <v>113450</v>
      </c>
      <c r="K12" s="30">
        <f>+'Proj. Income Stat'!K39</f>
        <v>141750</v>
      </c>
      <c r="L12" s="30">
        <f>+'Proj. Income Stat'!L39</f>
        <v>157250</v>
      </c>
      <c r="M12" s="6"/>
    </row>
    <row r="13" spans="2:13" x14ac:dyDescent="0.5">
      <c r="B13" s="7" t="s">
        <v>183</v>
      </c>
      <c r="C13" s="5"/>
      <c r="D13" s="5"/>
      <c r="E13" s="5"/>
      <c r="F13" s="5"/>
      <c r="G13" s="5"/>
      <c r="H13" s="30">
        <f>+'Proj. Income Stat'!H41</f>
        <v>129768.87999999999</v>
      </c>
      <c r="I13" s="30">
        <f>+'Proj. Income Stat'!I41</f>
        <v>147070.41249600003</v>
      </c>
      <c r="J13" s="30">
        <f>+'Proj. Income Stat'!J41</f>
        <v>156959.61535085444</v>
      </c>
      <c r="K13" s="30">
        <f>+'Proj. Income Stat'!K41</f>
        <v>158460.97890910335</v>
      </c>
      <c r="L13" s="30">
        <f>+'Proj. Income Stat'!L41</f>
        <v>162851.22252683286</v>
      </c>
      <c r="M13" s="6"/>
    </row>
    <row r="14" spans="2:13" x14ac:dyDescent="0.5">
      <c r="B14" s="7" t="s">
        <v>184</v>
      </c>
      <c r="C14" s="5"/>
      <c r="D14" s="5"/>
      <c r="E14" s="5"/>
      <c r="F14" s="5"/>
      <c r="G14" s="5"/>
      <c r="H14" s="30">
        <f>-'Proj. Cash Flow Stat'!H19</f>
        <v>-2870.189189189201</v>
      </c>
      <c r="I14" s="30">
        <f>-'Proj. Cash Flow Stat'!I19</f>
        <v>4548.2913405405416</v>
      </c>
      <c r="J14" s="30">
        <f>-'Proj. Cash Flow Stat'!J19</f>
        <v>3868.7217241767667</v>
      </c>
      <c r="K14" s="30">
        <f>-'Proj. Cash Flow Stat'!K19</f>
        <v>3383.9379548394299</v>
      </c>
      <c r="L14" s="30">
        <f>-'Proj. Cash Flow Stat'!L19</f>
        <v>2974.2153255528992</v>
      </c>
      <c r="M14" s="6"/>
    </row>
    <row r="15" spans="2:13" x14ac:dyDescent="0.5">
      <c r="B15" s="7" t="s">
        <v>185</v>
      </c>
      <c r="C15" s="5"/>
      <c r="D15" s="5"/>
      <c r="E15" s="5"/>
      <c r="F15" s="5"/>
      <c r="G15" s="5"/>
      <c r="H15" s="30">
        <f>-'Proj. Cash Flow Stat'!H24</f>
        <v>138304.05405405405</v>
      </c>
      <c r="I15" s="30">
        <f>-'Proj. Cash Flow Stat'!I24</f>
        <v>151373.85675675675</v>
      </c>
      <c r="J15" s="30">
        <f>-'Proj. Cash Flow Stat'!J24</f>
        <v>162490.87320554056</v>
      </c>
      <c r="K15" s="30">
        <f>-'Proj. Cash Flow Stat'!K24</f>
        <v>172214.83284588376</v>
      </c>
      <c r="L15" s="30">
        <f>-'Proj. Cash Flow Stat'!L24</f>
        <v>180761.42860896679</v>
      </c>
      <c r="M15" s="6"/>
    </row>
    <row r="16" spans="2:13" x14ac:dyDescent="0.5"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2:13" x14ac:dyDescent="0.5"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5">
      <c r="B18" s="7" t="s">
        <v>177</v>
      </c>
      <c r="C18" s="5"/>
      <c r="D18" s="75">
        <f>+'Proj. Balance Sheet'!D8</f>
        <v>45000</v>
      </c>
      <c r="E18" s="5"/>
      <c r="F18" s="75">
        <f>+'Proj. Balance Sheet'!F8</f>
        <v>65800</v>
      </c>
      <c r="G18" s="5"/>
      <c r="H18" s="75">
        <f>+'Proj. Balance Sheet'!H8</f>
        <v>118576.98871351354</v>
      </c>
      <c r="I18" s="75">
        <f>+'Proj. Balance Sheet'!I8</f>
        <v>179245.72403735362</v>
      </c>
      <c r="J18" s="75">
        <f>+'Proj. Balance Sheet'!J8</f>
        <v>236182.72470964788</v>
      </c>
      <c r="K18" s="75">
        <f>+'Proj. Balance Sheet'!K8</f>
        <v>267483.99123087717</v>
      </c>
      <c r="L18" s="75">
        <f>+'Proj. Balance Sheet'!L8</f>
        <v>278544.34770695085</v>
      </c>
      <c r="M18" s="6"/>
    </row>
    <row r="19" spans="2:13" x14ac:dyDescent="0.5">
      <c r="B19" s="7" t="s">
        <v>143</v>
      </c>
      <c r="C19" s="5"/>
      <c r="D19" s="75">
        <f>+'Proj. Balance Sheet'!D32+'Proj. Balance Sheet'!D35</f>
        <v>1220000</v>
      </c>
      <c r="E19" s="5"/>
      <c r="F19" s="75">
        <f>+'Proj. Balance Sheet'!F32+'Proj. Balance Sheet'!F35</f>
        <v>1190000</v>
      </c>
      <c r="G19" s="5"/>
      <c r="H19" s="75">
        <f>+'Proj. Balance Sheet'!H32+'Proj. Balance Sheet'!H35</f>
        <v>1160000</v>
      </c>
      <c r="I19" s="75">
        <f>+'Proj. Balance Sheet'!I32+'Proj. Balance Sheet'!I35</f>
        <v>1130000</v>
      </c>
      <c r="J19" s="75">
        <f>+'Proj. Balance Sheet'!J32+'Proj. Balance Sheet'!J35</f>
        <v>1090000</v>
      </c>
      <c r="K19" s="75">
        <f>+'Proj. Balance Sheet'!K32+'Proj. Balance Sheet'!K35</f>
        <v>1030000</v>
      </c>
      <c r="L19" s="75">
        <f>+'Proj. Balance Sheet'!L32+'Proj. Balance Sheet'!L35</f>
        <v>950000</v>
      </c>
      <c r="M19" s="6"/>
    </row>
    <row r="20" spans="2:13" x14ac:dyDescent="0.5">
      <c r="B20" s="7" t="s">
        <v>178</v>
      </c>
      <c r="C20" s="5"/>
      <c r="D20" s="75">
        <f>+'Proj. Balance Sheet'!D44</f>
        <v>1746000</v>
      </c>
      <c r="E20" s="5"/>
      <c r="F20" s="75">
        <f>+'Proj. Balance Sheet'!F44</f>
        <v>1919800</v>
      </c>
      <c r="G20" s="5"/>
      <c r="H20" s="75">
        <f>+'Proj. Balance Sheet'!H44</f>
        <v>2114453.3199999998</v>
      </c>
      <c r="I20" s="75">
        <f>+'Proj. Balance Sheet'!I44</f>
        <v>2335058.9387440002</v>
      </c>
      <c r="J20" s="75">
        <f>+'Proj. Balance Sheet'!J44</f>
        <v>2570498.3617702816</v>
      </c>
      <c r="K20" s="75">
        <f>+'Proj. Balance Sheet'!K44</f>
        <v>2808189.8301339364</v>
      </c>
      <c r="L20" s="75">
        <f>+'Proj. Balance Sheet'!L44</f>
        <v>3052466.6639241856</v>
      </c>
      <c r="M20" s="6"/>
    </row>
    <row r="21" spans="2:13" x14ac:dyDescent="0.5">
      <c r="B21" s="7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5">
      <c r="B22" s="7" t="s">
        <v>179</v>
      </c>
      <c r="C22" s="5"/>
      <c r="D22" s="98">
        <f>+'Proj. Ratio Anal.'!D14</f>
        <v>2.9615384615384617</v>
      </c>
      <c r="E22" s="5"/>
      <c r="F22" s="98">
        <f>+'Proj. Ratio Anal.'!F14</f>
        <v>3.6083333333333334</v>
      </c>
      <c r="G22" s="5"/>
      <c r="H22" s="98">
        <f>+'Proj. Ratio Anal.'!H14</f>
        <v>5.1708810895756931</v>
      </c>
      <c r="I22" s="98">
        <f>+'Proj. Ratio Anal.'!I14</f>
        <v>5.5012853626506031</v>
      </c>
      <c r="J22" s="98">
        <f>+'Proj. Ratio Anal.'!J14</f>
        <v>5.2218966559810323</v>
      </c>
      <c r="K22" s="98">
        <f>+'Proj. Ratio Anal.'!K14</f>
        <v>4.4420353454183079</v>
      </c>
      <c r="L22" s="98">
        <f>+'Proj. Ratio Anal.'!L14</f>
        <v>4.2015118949439723</v>
      </c>
      <c r="M22" s="6"/>
    </row>
    <row r="23" spans="2:13" x14ac:dyDescent="0.5">
      <c r="B23" s="7" t="s">
        <v>180</v>
      </c>
      <c r="C23" s="5"/>
      <c r="D23" s="98">
        <f>+'Proj. Ratio Anal.'!D15</f>
        <v>3.116883116883117</v>
      </c>
      <c r="E23" s="5"/>
      <c r="F23" s="98">
        <f>+'Proj. Ratio Anal.'!F15</f>
        <v>2.725173210161663</v>
      </c>
      <c r="G23" s="5"/>
      <c r="H23" s="98">
        <f>+'Proj. Ratio Anal.'!H15</f>
        <v>2.3502686397577119</v>
      </c>
      <c r="I23" s="98">
        <f>+'Proj. Ratio Anal.'!I15</f>
        <v>2.062314673427164</v>
      </c>
      <c r="J23" s="98">
        <f>+'Proj. Ratio Anal.'!J15</f>
        <v>1.8398979056810687</v>
      </c>
      <c r="K23" s="98">
        <f>+'Proj. Ratio Anal.'!K15</f>
        <v>1.6358073198303937</v>
      </c>
      <c r="L23" s="98">
        <f>+'Proj. Ratio Anal.'!L15</f>
        <v>1.4378955966708553</v>
      </c>
      <c r="M23" s="6"/>
    </row>
    <row r="24" spans="2:13" x14ac:dyDescent="0.5">
      <c r="B24" s="7" t="s">
        <v>181</v>
      </c>
      <c r="C24" s="5"/>
      <c r="D24" s="27">
        <f>+D19/(D19+D20)</f>
        <v>0.41132838840188807</v>
      </c>
      <c r="E24" s="5"/>
      <c r="F24" s="27">
        <f t="shared" ref="F24:L24" si="1">+F19/(F19+F20)</f>
        <v>0.38266126438999293</v>
      </c>
      <c r="G24" s="5"/>
      <c r="H24" s="27">
        <f t="shared" si="1"/>
        <v>0.35425760780123139</v>
      </c>
      <c r="I24" s="27">
        <f t="shared" si="1"/>
        <v>0.32611277902522418</v>
      </c>
      <c r="J24" s="27">
        <f t="shared" si="1"/>
        <v>0.29777366147293038</v>
      </c>
      <c r="K24" s="27">
        <f t="shared" si="1"/>
        <v>0.26835566910041481</v>
      </c>
      <c r="L24" s="27">
        <f t="shared" si="1"/>
        <v>0.23735363208961255</v>
      </c>
      <c r="M24" s="6"/>
    </row>
    <row r="25" spans="2:13" ht="14.7" thickBot="1" x14ac:dyDescent="0.55000000000000004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6"/>
    </row>
  </sheetData>
  <mergeCells count="2">
    <mergeCell ref="D4:F4"/>
    <mergeCell ref="H4:L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5BF6-9648-4481-99B4-8BD3C9029873}">
  <dimension ref="B1:M680"/>
  <sheetViews>
    <sheetView showGridLines="0" topLeftCell="A31" workbookViewId="0">
      <selection activeCell="L49" sqref="L49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2.05859375" customWidth="1"/>
    <col min="5" max="5" width="2.703125" customWidth="1"/>
    <col min="6" max="6" width="11.17578125" customWidth="1"/>
    <col min="7" max="7" width="5.64453125" customWidth="1"/>
    <col min="8" max="12" width="10.41015625" customWidth="1"/>
    <col min="13" max="13" width="3.703125" customWidth="1"/>
    <col min="251" max="251" width="4.234375" customWidth="1"/>
    <col min="252" max="252" width="4.29296875" customWidth="1"/>
    <col min="253" max="253" width="1.1171875" customWidth="1"/>
    <col min="254" max="254" width="28.9375" customWidth="1"/>
    <col min="255" max="255" width="5" customWidth="1"/>
    <col min="256" max="256" width="12.05859375" customWidth="1"/>
    <col min="257" max="257" width="4.05859375" customWidth="1"/>
    <col min="258" max="258" width="11.17578125" customWidth="1"/>
    <col min="259" max="259" width="3.52734375" customWidth="1"/>
    <col min="260" max="260" width="10.9375" customWidth="1"/>
    <col min="261" max="261" width="2.17578125" customWidth="1"/>
    <col min="262" max="262" width="10.5859375" customWidth="1"/>
    <col min="263" max="263" width="11.17578125" customWidth="1"/>
    <col min="264" max="264" width="3.29296875" customWidth="1"/>
    <col min="507" max="507" width="4.234375" customWidth="1"/>
    <col min="508" max="508" width="4.29296875" customWidth="1"/>
    <col min="509" max="509" width="1.1171875" customWidth="1"/>
    <col min="510" max="510" width="28.9375" customWidth="1"/>
    <col min="511" max="511" width="5" customWidth="1"/>
    <col min="512" max="512" width="12.05859375" customWidth="1"/>
    <col min="513" max="513" width="4.05859375" customWidth="1"/>
    <col min="514" max="514" width="11.17578125" customWidth="1"/>
    <col min="515" max="515" width="3.52734375" customWidth="1"/>
    <col min="516" max="516" width="10.9375" customWidth="1"/>
    <col min="517" max="517" width="2.17578125" customWidth="1"/>
    <col min="518" max="518" width="10.5859375" customWidth="1"/>
    <col min="519" max="519" width="11.17578125" customWidth="1"/>
    <col min="520" max="520" width="3.29296875" customWidth="1"/>
    <col min="763" max="763" width="4.234375" customWidth="1"/>
    <col min="764" max="764" width="4.29296875" customWidth="1"/>
    <col min="765" max="765" width="1.1171875" customWidth="1"/>
    <col min="766" max="766" width="28.9375" customWidth="1"/>
    <col min="767" max="767" width="5" customWidth="1"/>
    <col min="768" max="768" width="12.05859375" customWidth="1"/>
    <col min="769" max="769" width="4.05859375" customWidth="1"/>
    <col min="770" max="770" width="11.17578125" customWidth="1"/>
    <col min="771" max="771" width="3.52734375" customWidth="1"/>
    <col min="772" max="772" width="10.9375" customWidth="1"/>
    <col min="773" max="773" width="2.17578125" customWidth="1"/>
    <col min="774" max="774" width="10.5859375" customWidth="1"/>
    <col min="775" max="775" width="11.17578125" customWidth="1"/>
    <col min="776" max="776" width="3.29296875" customWidth="1"/>
    <col min="1019" max="1019" width="4.234375" customWidth="1"/>
    <col min="1020" max="1020" width="4.29296875" customWidth="1"/>
    <col min="1021" max="1021" width="1.1171875" customWidth="1"/>
    <col min="1022" max="1022" width="28.9375" customWidth="1"/>
    <col min="1023" max="1023" width="5" customWidth="1"/>
    <col min="1024" max="1024" width="12.05859375" customWidth="1"/>
    <col min="1025" max="1025" width="4.05859375" customWidth="1"/>
    <col min="1026" max="1026" width="11.17578125" customWidth="1"/>
    <col min="1027" max="1027" width="3.52734375" customWidth="1"/>
    <col min="1028" max="1028" width="10.9375" customWidth="1"/>
    <col min="1029" max="1029" width="2.17578125" customWidth="1"/>
    <col min="1030" max="1030" width="10.5859375" customWidth="1"/>
    <col min="1031" max="1031" width="11.17578125" customWidth="1"/>
    <col min="1032" max="1032" width="3.29296875" customWidth="1"/>
    <col min="1275" max="1275" width="4.234375" customWidth="1"/>
    <col min="1276" max="1276" width="4.29296875" customWidth="1"/>
    <col min="1277" max="1277" width="1.1171875" customWidth="1"/>
    <col min="1278" max="1278" width="28.9375" customWidth="1"/>
    <col min="1279" max="1279" width="5" customWidth="1"/>
    <col min="1280" max="1280" width="12.05859375" customWidth="1"/>
    <col min="1281" max="1281" width="4.05859375" customWidth="1"/>
    <col min="1282" max="1282" width="11.17578125" customWidth="1"/>
    <col min="1283" max="1283" width="3.52734375" customWidth="1"/>
    <col min="1284" max="1284" width="10.9375" customWidth="1"/>
    <col min="1285" max="1285" width="2.17578125" customWidth="1"/>
    <col min="1286" max="1286" width="10.5859375" customWidth="1"/>
    <col min="1287" max="1287" width="11.17578125" customWidth="1"/>
    <col min="1288" max="1288" width="3.29296875" customWidth="1"/>
    <col min="1531" max="1531" width="4.234375" customWidth="1"/>
    <col min="1532" max="1532" width="4.29296875" customWidth="1"/>
    <col min="1533" max="1533" width="1.1171875" customWidth="1"/>
    <col min="1534" max="1534" width="28.9375" customWidth="1"/>
    <col min="1535" max="1535" width="5" customWidth="1"/>
    <col min="1536" max="1536" width="12.05859375" customWidth="1"/>
    <col min="1537" max="1537" width="4.05859375" customWidth="1"/>
    <col min="1538" max="1538" width="11.17578125" customWidth="1"/>
    <col min="1539" max="1539" width="3.52734375" customWidth="1"/>
    <col min="1540" max="1540" width="10.9375" customWidth="1"/>
    <col min="1541" max="1541" width="2.17578125" customWidth="1"/>
    <col min="1542" max="1542" width="10.5859375" customWidth="1"/>
    <col min="1543" max="1543" width="11.17578125" customWidth="1"/>
    <col min="1544" max="1544" width="3.29296875" customWidth="1"/>
    <col min="1787" max="1787" width="4.234375" customWidth="1"/>
    <col min="1788" max="1788" width="4.29296875" customWidth="1"/>
    <col min="1789" max="1789" width="1.1171875" customWidth="1"/>
    <col min="1790" max="1790" width="28.9375" customWidth="1"/>
    <col min="1791" max="1791" width="5" customWidth="1"/>
    <col min="1792" max="1792" width="12.05859375" customWidth="1"/>
    <col min="1793" max="1793" width="4.05859375" customWidth="1"/>
    <col min="1794" max="1794" width="11.17578125" customWidth="1"/>
    <col min="1795" max="1795" width="3.52734375" customWidth="1"/>
    <col min="1796" max="1796" width="10.9375" customWidth="1"/>
    <col min="1797" max="1797" width="2.17578125" customWidth="1"/>
    <col min="1798" max="1798" width="10.5859375" customWidth="1"/>
    <col min="1799" max="1799" width="11.17578125" customWidth="1"/>
    <col min="1800" max="1800" width="3.29296875" customWidth="1"/>
    <col min="2043" max="2043" width="4.234375" customWidth="1"/>
    <col min="2044" max="2044" width="4.29296875" customWidth="1"/>
    <col min="2045" max="2045" width="1.1171875" customWidth="1"/>
    <col min="2046" max="2046" width="28.9375" customWidth="1"/>
    <col min="2047" max="2047" width="5" customWidth="1"/>
    <col min="2048" max="2048" width="12.05859375" customWidth="1"/>
    <col min="2049" max="2049" width="4.05859375" customWidth="1"/>
    <col min="2050" max="2050" width="11.17578125" customWidth="1"/>
    <col min="2051" max="2051" width="3.52734375" customWidth="1"/>
    <col min="2052" max="2052" width="10.9375" customWidth="1"/>
    <col min="2053" max="2053" width="2.17578125" customWidth="1"/>
    <col min="2054" max="2054" width="10.5859375" customWidth="1"/>
    <col min="2055" max="2055" width="11.17578125" customWidth="1"/>
    <col min="2056" max="2056" width="3.29296875" customWidth="1"/>
    <col min="2299" max="2299" width="4.234375" customWidth="1"/>
    <col min="2300" max="2300" width="4.29296875" customWidth="1"/>
    <col min="2301" max="2301" width="1.1171875" customWidth="1"/>
    <col min="2302" max="2302" width="28.9375" customWidth="1"/>
    <col min="2303" max="2303" width="5" customWidth="1"/>
    <col min="2304" max="2304" width="12.05859375" customWidth="1"/>
    <col min="2305" max="2305" width="4.05859375" customWidth="1"/>
    <col min="2306" max="2306" width="11.17578125" customWidth="1"/>
    <col min="2307" max="2307" width="3.52734375" customWidth="1"/>
    <col min="2308" max="2308" width="10.9375" customWidth="1"/>
    <col min="2309" max="2309" width="2.17578125" customWidth="1"/>
    <col min="2310" max="2310" width="10.5859375" customWidth="1"/>
    <col min="2311" max="2311" width="11.17578125" customWidth="1"/>
    <col min="2312" max="2312" width="3.29296875" customWidth="1"/>
    <col min="2555" max="2555" width="4.234375" customWidth="1"/>
    <col min="2556" max="2556" width="4.29296875" customWidth="1"/>
    <col min="2557" max="2557" width="1.1171875" customWidth="1"/>
    <col min="2558" max="2558" width="28.9375" customWidth="1"/>
    <col min="2559" max="2559" width="5" customWidth="1"/>
    <col min="2560" max="2560" width="12.05859375" customWidth="1"/>
    <col min="2561" max="2561" width="4.05859375" customWidth="1"/>
    <col min="2562" max="2562" width="11.17578125" customWidth="1"/>
    <col min="2563" max="2563" width="3.52734375" customWidth="1"/>
    <col min="2564" max="2564" width="10.9375" customWidth="1"/>
    <col min="2565" max="2565" width="2.17578125" customWidth="1"/>
    <col min="2566" max="2566" width="10.5859375" customWidth="1"/>
    <col min="2567" max="2567" width="11.17578125" customWidth="1"/>
    <col min="2568" max="2568" width="3.29296875" customWidth="1"/>
    <col min="2811" max="2811" width="4.234375" customWidth="1"/>
    <col min="2812" max="2812" width="4.29296875" customWidth="1"/>
    <col min="2813" max="2813" width="1.1171875" customWidth="1"/>
    <col min="2814" max="2814" width="28.9375" customWidth="1"/>
    <col min="2815" max="2815" width="5" customWidth="1"/>
    <col min="2816" max="2816" width="12.05859375" customWidth="1"/>
    <col min="2817" max="2817" width="4.05859375" customWidth="1"/>
    <col min="2818" max="2818" width="11.17578125" customWidth="1"/>
    <col min="2819" max="2819" width="3.52734375" customWidth="1"/>
    <col min="2820" max="2820" width="10.9375" customWidth="1"/>
    <col min="2821" max="2821" width="2.17578125" customWidth="1"/>
    <col min="2822" max="2822" width="10.5859375" customWidth="1"/>
    <col min="2823" max="2823" width="11.17578125" customWidth="1"/>
    <col min="2824" max="2824" width="3.29296875" customWidth="1"/>
    <col min="3067" max="3067" width="4.234375" customWidth="1"/>
    <col min="3068" max="3068" width="4.29296875" customWidth="1"/>
    <col min="3069" max="3069" width="1.1171875" customWidth="1"/>
    <col min="3070" max="3070" width="28.9375" customWidth="1"/>
    <col min="3071" max="3071" width="5" customWidth="1"/>
    <col min="3072" max="3072" width="12.05859375" customWidth="1"/>
    <col min="3073" max="3073" width="4.05859375" customWidth="1"/>
    <col min="3074" max="3074" width="11.17578125" customWidth="1"/>
    <col min="3075" max="3075" width="3.52734375" customWidth="1"/>
    <col min="3076" max="3076" width="10.9375" customWidth="1"/>
    <col min="3077" max="3077" width="2.17578125" customWidth="1"/>
    <col min="3078" max="3078" width="10.5859375" customWidth="1"/>
    <col min="3079" max="3079" width="11.17578125" customWidth="1"/>
    <col min="3080" max="3080" width="3.29296875" customWidth="1"/>
    <col min="3323" max="3323" width="4.234375" customWidth="1"/>
    <col min="3324" max="3324" width="4.29296875" customWidth="1"/>
    <col min="3325" max="3325" width="1.1171875" customWidth="1"/>
    <col min="3326" max="3326" width="28.9375" customWidth="1"/>
    <col min="3327" max="3327" width="5" customWidth="1"/>
    <col min="3328" max="3328" width="12.05859375" customWidth="1"/>
    <col min="3329" max="3329" width="4.05859375" customWidth="1"/>
    <col min="3330" max="3330" width="11.17578125" customWidth="1"/>
    <col min="3331" max="3331" width="3.52734375" customWidth="1"/>
    <col min="3332" max="3332" width="10.9375" customWidth="1"/>
    <col min="3333" max="3333" width="2.17578125" customWidth="1"/>
    <col min="3334" max="3334" width="10.5859375" customWidth="1"/>
    <col min="3335" max="3335" width="11.17578125" customWidth="1"/>
    <col min="3336" max="3336" width="3.29296875" customWidth="1"/>
    <col min="3579" max="3579" width="4.234375" customWidth="1"/>
    <col min="3580" max="3580" width="4.29296875" customWidth="1"/>
    <col min="3581" max="3581" width="1.1171875" customWidth="1"/>
    <col min="3582" max="3582" width="28.9375" customWidth="1"/>
    <col min="3583" max="3583" width="5" customWidth="1"/>
    <col min="3584" max="3584" width="12.05859375" customWidth="1"/>
    <col min="3585" max="3585" width="4.05859375" customWidth="1"/>
    <col min="3586" max="3586" width="11.17578125" customWidth="1"/>
    <col min="3587" max="3587" width="3.52734375" customWidth="1"/>
    <col min="3588" max="3588" width="10.9375" customWidth="1"/>
    <col min="3589" max="3589" width="2.17578125" customWidth="1"/>
    <col min="3590" max="3590" width="10.5859375" customWidth="1"/>
    <col min="3591" max="3591" width="11.17578125" customWidth="1"/>
    <col min="3592" max="3592" width="3.29296875" customWidth="1"/>
    <col min="3835" max="3835" width="4.234375" customWidth="1"/>
    <col min="3836" max="3836" width="4.29296875" customWidth="1"/>
    <col min="3837" max="3837" width="1.1171875" customWidth="1"/>
    <col min="3838" max="3838" width="28.9375" customWidth="1"/>
    <col min="3839" max="3839" width="5" customWidth="1"/>
    <col min="3840" max="3840" width="12.05859375" customWidth="1"/>
    <col min="3841" max="3841" width="4.05859375" customWidth="1"/>
    <col min="3842" max="3842" width="11.17578125" customWidth="1"/>
    <col min="3843" max="3843" width="3.52734375" customWidth="1"/>
    <col min="3844" max="3844" width="10.9375" customWidth="1"/>
    <col min="3845" max="3845" width="2.17578125" customWidth="1"/>
    <col min="3846" max="3846" width="10.5859375" customWidth="1"/>
    <col min="3847" max="3847" width="11.17578125" customWidth="1"/>
    <col min="3848" max="3848" width="3.29296875" customWidth="1"/>
    <col min="4091" max="4091" width="4.234375" customWidth="1"/>
    <col min="4092" max="4092" width="4.29296875" customWidth="1"/>
    <col min="4093" max="4093" width="1.1171875" customWidth="1"/>
    <col min="4094" max="4094" width="28.9375" customWidth="1"/>
    <col min="4095" max="4095" width="5" customWidth="1"/>
    <col min="4096" max="4096" width="12.05859375" customWidth="1"/>
    <col min="4097" max="4097" width="4.05859375" customWidth="1"/>
    <col min="4098" max="4098" width="11.17578125" customWidth="1"/>
    <col min="4099" max="4099" width="3.52734375" customWidth="1"/>
    <col min="4100" max="4100" width="10.9375" customWidth="1"/>
    <col min="4101" max="4101" width="2.17578125" customWidth="1"/>
    <col min="4102" max="4102" width="10.5859375" customWidth="1"/>
    <col min="4103" max="4103" width="11.17578125" customWidth="1"/>
    <col min="4104" max="4104" width="3.29296875" customWidth="1"/>
    <col min="4347" max="4347" width="4.234375" customWidth="1"/>
    <col min="4348" max="4348" width="4.29296875" customWidth="1"/>
    <col min="4349" max="4349" width="1.1171875" customWidth="1"/>
    <col min="4350" max="4350" width="28.9375" customWidth="1"/>
    <col min="4351" max="4351" width="5" customWidth="1"/>
    <col min="4352" max="4352" width="12.05859375" customWidth="1"/>
    <col min="4353" max="4353" width="4.05859375" customWidth="1"/>
    <col min="4354" max="4354" width="11.17578125" customWidth="1"/>
    <col min="4355" max="4355" width="3.52734375" customWidth="1"/>
    <col min="4356" max="4356" width="10.9375" customWidth="1"/>
    <col min="4357" max="4357" width="2.17578125" customWidth="1"/>
    <col min="4358" max="4358" width="10.5859375" customWidth="1"/>
    <col min="4359" max="4359" width="11.17578125" customWidth="1"/>
    <col min="4360" max="4360" width="3.29296875" customWidth="1"/>
    <col min="4603" max="4603" width="4.234375" customWidth="1"/>
    <col min="4604" max="4604" width="4.29296875" customWidth="1"/>
    <col min="4605" max="4605" width="1.1171875" customWidth="1"/>
    <col min="4606" max="4606" width="28.9375" customWidth="1"/>
    <col min="4607" max="4607" width="5" customWidth="1"/>
    <col min="4608" max="4608" width="12.05859375" customWidth="1"/>
    <col min="4609" max="4609" width="4.05859375" customWidth="1"/>
    <col min="4610" max="4610" width="11.17578125" customWidth="1"/>
    <col min="4611" max="4611" width="3.52734375" customWidth="1"/>
    <col min="4612" max="4612" width="10.9375" customWidth="1"/>
    <col min="4613" max="4613" width="2.17578125" customWidth="1"/>
    <col min="4614" max="4614" width="10.5859375" customWidth="1"/>
    <col min="4615" max="4615" width="11.17578125" customWidth="1"/>
    <col min="4616" max="4616" width="3.29296875" customWidth="1"/>
    <col min="4859" max="4859" width="4.234375" customWidth="1"/>
    <col min="4860" max="4860" width="4.29296875" customWidth="1"/>
    <col min="4861" max="4861" width="1.1171875" customWidth="1"/>
    <col min="4862" max="4862" width="28.9375" customWidth="1"/>
    <col min="4863" max="4863" width="5" customWidth="1"/>
    <col min="4864" max="4864" width="12.05859375" customWidth="1"/>
    <col min="4865" max="4865" width="4.05859375" customWidth="1"/>
    <col min="4866" max="4866" width="11.17578125" customWidth="1"/>
    <col min="4867" max="4867" width="3.52734375" customWidth="1"/>
    <col min="4868" max="4868" width="10.9375" customWidth="1"/>
    <col min="4869" max="4869" width="2.17578125" customWidth="1"/>
    <col min="4870" max="4870" width="10.5859375" customWidth="1"/>
    <col min="4871" max="4871" width="11.17578125" customWidth="1"/>
    <col min="4872" max="4872" width="3.29296875" customWidth="1"/>
    <col min="5115" max="5115" width="4.234375" customWidth="1"/>
    <col min="5116" max="5116" width="4.29296875" customWidth="1"/>
    <col min="5117" max="5117" width="1.1171875" customWidth="1"/>
    <col min="5118" max="5118" width="28.9375" customWidth="1"/>
    <col min="5119" max="5119" width="5" customWidth="1"/>
    <col min="5120" max="5120" width="12.05859375" customWidth="1"/>
    <col min="5121" max="5121" width="4.05859375" customWidth="1"/>
    <col min="5122" max="5122" width="11.17578125" customWidth="1"/>
    <col min="5123" max="5123" width="3.52734375" customWidth="1"/>
    <col min="5124" max="5124" width="10.9375" customWidth="1"/>
    <col min="5125" max="5125" width="2.17578125" customWidth="1"/>
    <col min="5126" max="5126" width="10.5859375" customWidth="1"/>
    <col min="5127" max="5127" width="11.17578125" customWidth="1"/>
    <col min="5128" max="5128" width="3.29296875" customWidth="1"/>
    <col min="5371" max="5371" width="4.234375" customWidth="1"/>
    <col min="5372" max="5372" width="4.29296875" customWidth="1"/>
    <col min="5373" max="5373" width="1.1171875" customWidth="1"/>
    <col min="5374" max="5374" width="28.9375" customWidth="1"/>
    <col min="5375" max="5375" width="5" customWidth="1"/>
    <col min="5376" max="5376" width="12.05859375" customWidth="1"/>
    <col min="5377" max="5377" width="4.05859375" customWidth="1"/>
    <col min="5378" max="5378" width="11.17578125" customWidth="1"/>
    <col min="5379" max="5379" width="3.52734375" customWidth="1"/>
    <col min="5380" max="5380" width="10.9375" customWidth="1"/>
    <col min="5381" max="5381" width="2.17578125" customWidth="1"/>
    <col min="5382" max="5382" width="10.5859375" customWidth="1"/>
    <col min="5383" max="5383" width="11.17578125" customWidth="1"/>
    <col min="5384" max="5384" width="3.29296875" customWidth="1"/>
    <col min="5627" max="5627" width="4.234375" customWidth="1"/>
    <col min="5628" max="5628" width="4.29296875" customWidth="1"/>
    <col min="5629" max="5629" width="1.1171875" customWidth="1"/>
    <col min="5630" max="5630" width="28.9375" customWidth="1"/>
    <col min="5631" max="5631" width="5" customWidth="1"/>
    <col min="5632" max="5632" width="12.05859375" customWidth="1"/>
    <col min="5633" max="5633" width="4.05859375" customWidth="1"/>
    <col min="5634" max="5634" width="11.17578125" customWidth="1"/>
    <col min="5635" max="5635" width="3.52734375" customWidth="1"/>
    <col min="5636" max="5636" width="10.9375" customWidth="1"/>
    <col min="5637" max="5637" width="2.17578125" customWidth="1"/>
    <col min="5638" max="5638" width="10.5859375" customWidth="1"/>
    <col min="5639" max="5639" width="11.17578125" customWidth="1"/>
    <col min="5640" max="5640" width="3.29296875" customWidth="1"/>
    <col min="5883" max="5883" width="4.234375" customWidth="1"/>
    <col min="5884" max="5884" width="4.29296875" customWidth="1"/>
    <col min="5885" max="5885" width="1.1171875" customWidth="1"/>
    <col min="5886" max="5886" width="28.9375" customWidth="1"/>
    <col min="5887" max="5887" width="5" customWidth="1"/>
    <col min="5888" max="5888" width="12.05859375" customWidth="1"/>
    <col min="5889" max="5889" width="4.05859375" customWidth="1"/>
    <col min="5890" max="5890" width="11.17578125" customWidth="1"/>
    <col min="5891" max="5891" width="3.52734375" customWidth="1"/>
    <col min="5892" max="5892" width="10.9375" customWidth="1"/>
    <col min="5893" max="5893" width="2.17578125" customWidth="1"/>
    <col min="5894" max="5894" width="10.5859375" customWidth="1"/>
    <col min="5895" max="5895" width="11.17578125" customWidth="1"/>
    <col min="5896" max="5896" width="3.29296875" customWidth="1"/>
    <col min="6139" max="6139" width="4.234375" customWidth="1"/>
    <col min="6140" max="6140" width="4.29296875" customWidth="1"/>
    <col min="6141" max="6141" width="1.1171875" customWidth="1"/>
    <col min="6142" max="6142" width="28.9375" customWidth="1"/>
    <col min="6143" max="6143" width="5" customWidth="1"/>
    <col min="6144" max="6144" width="12.05859375" customWidth="1"/>
    <col min="6145" max="6145" width="4.05859375" customWidth="1"/>
    <col min="6146" max="6146" width="11.17578125" customWidth="1"/>
    <col min="6147" max="6147" width="3.52734375" customWidth="1"/>
    <col min="6148" max="6148" width="10.9375" customWidth="1"/>
    <col min="6149" max="6149" width="2.17578125" customWidth="1"/>
    <col min="6150" max="6150" width="10.5859375" customWidth="1"/>
    <col min="6151" max="6151" width="11.17578125" customWidth="1"/>
    <col min="6152" max="6152" width="3.29296875" customWidth="1"/>
    <col min="6395" max="6395" width="4.234375" customWidth="1"/>
    <col min="6396" max="6396" width="4.29296875" customWidth="1"/>
    <col min="6397" max="6397" width="1.1171875" customWidth="1"/>
    <col min="6398" max="6398" width="28.9375" customWidth="1"/>
    <col min="6399" max="6399" width="5" customWidth="1"/>
    <col min="6400" max="6400" width="12.05859375" customWidth="1"/>
    <col min="6401" max="6401" width="4.05859375" customWidth="1"/>
    <col min="6402" max="6402" width="11.17578125" customWidth="1"/>
    <col min="6403" max="6403" width="3.52734375" customWidth="1"/>
    <col min="6404" max="6404" width="10.9375" customWidth="1"/>
    <col min="6405" max="6405" width="2.17578125" customWidth="1"/>
    <col min="6406" max="6406" width="10.5859375" customWidth="1"/>
    <col min="6407" max="6407" width="11.17578125" customWidth="1"/>
    <col min="6408" max="6408" width="3.29296875" customWidth="1"/>
    <col min="6651" max="6651" width="4.234375" customWidth="1"/>
    <col min="6652" max="6652" width="4.29296875" customWidth="1"/>
    <col min="6653" max="6653" width="1.1171875" customWidth="1"/>
    <col min="6654" max="6654" width="28.9375" customWidth="1"/>
    <col min="6655" max="6655" width="5" customWidth="1"/>
    <col min="6656" max="6656" width="12.05859375" customWidth="1"/>
    <col min="6657" max="6657" width="4.05859375" customWidth="1"/>
    <col min="6658" max="6658" width="11.17578125" customWidth="1"/>
    <col min="6659" max="6659" width="3.52734375" customWidth="1"/>
    <col min="6660" max="6660" width="10.9375" customWidth="1"/>
    <col min="6661" max="6661" width="2.17578125" customWidth="1"/>
    <col min="6662" max="6662" width="10.5859375" customWidth="1"/>
    <col min="6663" max="6663" width="11.17578125" customWidth="1"/>
    <col min="6664" max="6664" width="3.29296875" customWidth="1"/>
    <col min="6907" max="6907" width="4.234375" customWidth="1"/>
    <col min="6908" max="6908" width="4.29296875" customWidth="1"/>
    <col min="6909" max="6909" width="1.1171875" customWidth="1"/>
    <col min="6910" max="6910" width="28.9375" customWidth="1"/>
    <col min="6911" max="6911" width="5" customWidth="1"/>
    <col min="6912" max="6912" width="12.05859375" customWidth="1"/>
    <col min="6913" max="6913" width="4.05859375" customWidth="1"/>
    <col min="6914" max="6914" width="11.17578125" customWidth="1"/>
    <col min="6915" max="6915" width="3.52734375" customWidth="1"/>
    <col min="6916" max="6916" width="10.9375" customWidth="1"/>
    <col min="6917" max="6917" width="2.17578125" customWidth="1"/>
    <col min="6918" max="6918" width="10.5859375" customWidth="1"/>
    <col min="6919" max="6919" width="11.17578125" customWidth="1"/>
    <col min="6920" max="6920" width="3.29296875" customWidth="1"/>
    <col min="7163" max="7163" width="4.234375" customWidth="1"/>
    <col min="7164" max="7164" width="4.29296875" customWidth="1"/>
    <col min="7165" max="7165" width="1.1171875" customWidth="1"/>
    <col min="7166" max="7166" width="28.9375" customWidth="1"/>
    <col min="7167" max="7167" width="5" customWidth="1"/>
    <col min="7168" max="7168" width="12.05859375" customWidth="1"/>
    <col min="7169" max="7169" width="4.05859375" customWidth="1"/>
    <col min="7170" max="7170" width="11.17578125" customWidth="1"/>
    <col min="7171" max="7171" width="3.52734375" customWidth="1"/>
    <col min="7172" max="7172" width="10.9375" customWidth="1"/>
    <col min="7173" max="7173" width="2.17578125" customWidth="1"/>
    <col min="7174" max="7174" width="10.5859375" customWidth="1"/>
    <col min="7175" max="7175" width="11.17578125" customWidth="1"/>
    <col min="7176" max="7176" width="3.29296875" customWidth="1"/>
    <col min="7419" max="7419" width="4.234375" customWidth="1"/>
    <col min="7420" max="7420" width="4.29296875" customWidth="1"/>
    <col min="7421" max="7421" width="1.1171875" customWidth="1"/>
    <col min="7422" max="7422" width="28.9375" customWidth="1"/>
    <col min="7423" max="7423" width="5" customWidth="1"/>
    <col min="7424" max="7424" width="12.05859375" customWidth="1"/>
    <col min="7425" max="7425" width="4.05859375" customWidth="1"/>
    <col min="7426" max="7426" width="11.17578125" customWidth="1"/>
    <col min="7427" max="7427" width="3.52734375" customWidth="1"/>
    <col min="7428" max="7428" width="10.9375" customWidth="1"/>
    <col min="7429" max="7429" width="2.17578125" customWidth="1"/>
    <col min="7430" max="7430" width="10.5859375" customWidth="1"/>
    <col min="7431" max="7431" width="11.17578125" customWidth="1"/>
    <col min="7432" max="7432" width="3.29296875" customWidth="1"/>
    <col min="7675" max="7675" width="4.234375" customWidth="1"/>
    <col min="7676" max="7676" width="4.29296875" customWidth="1"/>
    <col min="7677" max="7677" width="1.1171875" customWidth="1"/>
    <col min="7678" max="7678" width="28.9375" customWidth="1"/>
    <col min="7679" max="7679" width="5" customWidth="1"/>
    <col min="7680" max="7680" width="12.05859375" customWidth="1"/>
    <col min="7681" max="7681" width="4.05859375" customWidth="1"/>
    <col min="7682" max="7682" width="11.17578125" customWidth="1"/>
    <col min="7683" max="7683" width="3.52734375" customWidth="1"/>
    <col min="7684" max="7684" width="10.9375" customWidth="1"/>
    <col min="7685" max="7685" width="2.17578125" customWidth="1"/>
    <col min="7686" max="7686" width="10.5859375" customWidth="1"/>
    <col min="7687" max="7687" width="11.17578125" customWidth="1"/>
    <col min="7688" max="7688" width="3.29296875" customWidth="1"/>
    <col min="7931" max="7931" width="4.234375" customWidth="1"/>
    <col min="7932" max="7932" width="4.29296875" customWidth="1"/>
    <col min="7933" max="7933" width="1.1171875" customWidth="1"/>
    <col min="7934" max="7934" width="28.9375" customWidth="1"/>
    <col min="7935" max="7935" width="5" customWidth="1"/>
    <col min="7936" max="7936" width="12.05859375" customWidth="1"/>
    <col min="7937" max="7937" width="4.05859375" customWidth="1"/>
    <col min="7938" max="7938" width="11.17578125" customWidth="1"/>
    <col min="7939" max="7939" width="3.52734375" customWidth="1"/>
    <col min="7940" max="7940" width="10.9375" customWidth="1"/>
    <col min="7941" max="7941" width="2.17578125" customWidth="1"/>
    <col min="7942" max="7942" width="10.5859375" customWidth="1"/>
    <col min="7943" max="7943" width="11.17578125" customWidth="1"/>
    <col min="7944" max="7944" width="3.29296875" customWidth="1"/>
    <col min="8187" max="8187" width="4.234375" customWidth="1"/>
    <col min="8188" max="8188" width="4.29296875" customWidth="1"/>
    <col min="8189" max="8189" width="1.1171875" customWidth="1"/>
    <col min="8190" max="8190" width="28.9375" customWidth="1"/>
    <col min="8191" max="8191" width="5" customWidth="1"/>
    <col min="8192" max="8192" width="12.05859375" customWidth="1"/>
    <col min="8193" max="8193" width="4.05859375" customWidth="1"/>
    <col min="8194" max="8194" width="11.17578125" customWidth="1"/>
    <col min="8195" max="8195" width="3.52734375" customWidth="1"/>
    <col min="8196" max="8196" width="10.9375" customWidth="1"/>
    <col min="8197" max="8197" width="2.17578125" customWidth="1"/>
    <col min="8198" max="8198" width="10.5859375" customWidth="1"/>
    <col min="8199" max="8199" width="11.17578125" customWidth="1"/>
    <col min="8200" max="8200" width="3.29296875" customWidth="1"/>
    <col min="8443" max="8443" width="4.234375" customWidth="1"/>
    <col min="8444" max="8444" width="4.29296875" customWidth="1"/>
    <col min="8445" max="8445" width="1.1171875" customWidth="1"/>
    <col min="8446" max="8446" width="28.9375" customWidth="1"/>
    <col min="8447" max="8447" width="5" customWidth="1"/>
    <col min="8448" max="8448" width="12.05859375" customWidth="1"/>
    <col min="8449" max="8449" width="4.05859375" customWidth="1"/>
    <col min="8450" max="8450" width="11.17578125" customWidth="1"/>
    <col min="8451" max="8451" width="3.52734375" customWidth="1"/>
    <col min="8452" max="8452" width="10.9375" customWidth="1"/>
    <col min="8453" max="8453" width="2.17578125" customWidth="1"/>
    <col min="8454" max="8454" width="10.5859375" customWidth="1"/>
    <col min="8455" max="8455" width="11.17578125" customWidth="1"/>
    <col min="8456" max="8456" width="3.29296875" customWidth="1"/>
    <col min="8699" max="8699" width="4.234375" customWidth="1"/>
    <col min="8700" max="8700" width="4.29296875" customWidth="1"/>
    <col min="8701" max="8701" width="1.1171875" customWidth="1"/>
    <col min="8702" max="8702" width="28.9375" customWidth="1"/>
    <col min="8703" max="8703" width="5" customWidth="1"/>
    <col min="8704" max="8704" width="12.05859375" customWidth="1"/>
    <col min="8705" max="8705" width="4.05859375" customWidth="1"/>
    <col min="8706" max="8706" width="11.17578125" customWidth="1"/>
    <col min="8707" max="8707" width="3.52734375" customWidth="1"/>
    <col min="8708" max="8708" width="10.9375" customWidth="1"/>
    <col min="8709" max="8709" width="2.17578125" customWidth="1"/>
    <col min="8710" max="8710" width="10.5859375" customWidth="1"/>
    <col min="8711" max="8711" width="11.17578125" customWidth="1"/>
    <col min="8712" max="8712" width="3.29296875" customWidth="1"/>
    <col min="8955" max="8955" width="4.234375" customWidth="1"/>
    <col min="8956" max="8956" width="4.29296875" customWidth="1"/>
    <col min="8957" max="8957" width="1.1171875" customWidth="1"/>
    <col min="8958" max="8958" width="28.9375" customWidth="1"/>
    <col min="8959" max="8959" width="5" customWidth="1"/>
    <col min="8960" max="8960" width="12.05859375" customWidth="1"/>
    <col min="8961" max="8961" width="4.05859375" customWidth="1"/>
    <col min="8962" max="8962" width="11.17578125" customWidth="1"/>
    <col min="8963" max="8963" width="3.52734375" customWidth="1"/>
    <col min="8964" max="8964" width="10.9375" customWidth="1"/>
    <col min="8965" max="8965" width="2.17578125" customWidth="1"/>
    <col min="8966" max="8966" width="10.5859375" customWidth="1"/>
    <col min="8967" max="8967" width="11.17578125" customWidth="1"/>
    <col min="8968" max="8968" width="3.29296875" customWidth="1"/>
    <col min="9211" max="9211" width="4.234375" customWidth="1"/>
    <col min="9212" max="9212" width="4.29296875" customWidth="1"/>
    <col min="9213" max="9213" width="1.1171875" customWidth="1"/>
    <col min="9214" max="9214" width="28.9375" customWidth="1"/>
    <col min="9215" max="9215" width="5" customWidth="1"/>
    <col min="9216" max="9216" width="12.05859375" customWidth="1"/>
    <col min="9217" max="9217" width="4.05859375" customWidth="1"/>
    <col min="9218" max="9218" width="11.17578125" customWidth="1"/>
    <col min="9219" max="9219" width="3.52734375" customWidth="1"/>
    <col min="9220" max="9220" width="10.9375" customWidth="1"/>
    <col min="9221" max="9221" width="2.17578125" customWidth="1"/>
    <col min="9222" max="9222" width="10.5859375" customWidth="1"/>
    <col min="9223" max="9223" width="11.17578125" customWidth="1"/>
    <col min="9224" max="9224" width="3.29296875" customWidth="1"/>
    <col min="9467" max="9467" width="4.234375" customWidth="1"/>
    <col min="9468" max="9468" width="4.29296875" customWidth="1"/>
    <col min="9469" max="9469" width="1.1171875" customWidth="1"/>
    <col min="9470" max="9470" width="28.9375" customWidth="1"/>
    <col min="9471" max="9471" width="5" customWidth="1"/>
    <col min="9472" max="9472" width="12.05859375" customWidth="1"/>
    <col min="9473" max="9473" width="4.05859375" customWidth="1"/>
    <col min="9474" max="9474" width="11.17578125" customWidth="1"/>
    <col min="9475" max="9475" width="3.52734375" customWidth="1"/>
    <col min="9476" max="9476" width="10.9375" customWidth="1"/>
    <col min="9477" max="9477" width="2.17578125" customWidth="1"/>
    <col min="9478" max="9478" width="10.5859375" customWidth="1"/>
    <col min="9479" max="9479" width="11.17578125" customWidth="1"/>
    <col min="9480" max="9480" width="3.29296875" customWidth="1"/>
    <col min="9723" max="9723" width="4.234375" customWidth="1"/>
    <col min="9724" max="9724" width="4.29296875" customWidth="1"/>
    <col min="9725" max="9725" width="1.1171875" customWidth="1"/>
    <col min="9726" max="9726" width="28.9375" customWidth="1"/>
    <col min="9727" max="9727" width="5" customWidth="1"/>
    <col min="9728" max="9728" width="12.05859375" customWidth="1"/>
    <col min="9729" max="9729" width="4.05859375" customWidth="1"/>
    <col min="9730" max="9730" width="11.17578125" customWidth="1"/>
    <col min="9731" max="9731" width="3.52734375" customWidth="1"/>
    <col min="9732" max="9732" width="10.9375" customWidth="1"/>
    <col min="9733" max="9733" width="2.17578125" customWidth="1"/>
    <col min="9734" max="9734" width="10.5859375" customWidth="1"/>
    <col min="9735" max="9735" width="11.17578125" customWidth="1"/>
    <col min="9736" max="9736" width="3.29296875" customWidth="1"/>
    <col min="9979" max="9979" width="4.234375" customWidth="1"/>
    <col min="9980" max="9980" width="4.29296875" customWidth="1"/>
    <col min="9981" max="9981" width="1.1171875" customWidth="1"/>
    <col min="9982" max="9982" width="28.9375" customWidth="1"/>
    <col min="9983" max="9983" width="5" customWidth="1"/>
    <col min="9984" max="9984" width="12.05859375" customWidth="1"/>
    <col min="9985" max="9985" width="4.05859375" customWidth="1"/>
    <col min="9986" max="9986" width="11.17578125" customWidth="1"/>
    <col min="9987" max="9987" width="3.52734375" customWidth="1"/>
    <col min="9988" max="9988" width="10.9375" customWidth="1"/>
    <col min="9989" max="9989" width="2.17578125" customWidth="1"/>
    <col min="9990" max="9990" width="10.5859375" customWidth="1"/>
    <col min="9991" max="9991" width="11.17578125" customWidth="1"/>
    <col min="9992" max="9992" width="3.29296875" customWidth="1"/>
    <col min="10235" max="10235" width="4.234375" customWidth="1"/>
    <col min="10236" max="10236" width="4.29296875" customWidth="1"/>
    <col min="10237" max="10237" width="1.1171875" customWidth="1"/>
    <col min="10238" max="10238" width="28.9375" customWidth="1"/>
    <col min="10239" max="10239" width="5" customWidth="1"/>
    <col min="10240" max="10240" width="12.05859375" customWidth="1"/>
    <col min="10241" max="10241" width="4.05859375" customWidth="1"/>
    <col min="10242" max="10242" width="11.17578125" customWidth="1"/>
    <col min="10243" max="10243" width="3.52734375" customWidth="1"/>
    <col min="10244" max="10244" width="10.9375" customWidth="1"/>
    <col min="10245" max="10245" width="2.17578125" customWidth="1"/>
    <col min="10246" max="10246" width="10.5859375" customWidth="1"/>
    <col min="10247" max="10247" width="11.17578125" customWidth="1"/>
    <col min="10248" max="10248" width="3.29296875" customWidth="1"/>
    <col min="10491" max="10491" width="4.234375" customWidth="1"/>
    <col min="10492" max="10492" width="4.29296875" customWidth="1"/>
    <col min="10493" max="10493" width="1.1171875" customWidth="1"/>
    <col min="10494" max="10494" width="28.9375" customWidth="1"/>
    <col min="10495" max="10495" width="5" customWidth="1"/>
    <col min="10496" max="10496" width="12.05859375" customWidth="1"/>
    <col min="10497" max="10497" width="4.05859375" customWidth="1"/>
    <col min="10498" max="10498" width="11.17578125" customWidth="1"/>
    <col min="10499" max="10499" width="3.52734375" customWidth="1"/>
    <col min="10500" max="10500" width="10.9375" customWidth="1"/>
    <col min="10501" max="10501" width="2.17578125" customWidth="1"/>
    <col min="10502" max="10502" width="10.5859375" customWidth="1"/>
    <col min="10503" max="10503" width="11.17578125" customWidth="1"/>
    <col min="10504" max="10504" width="3.29296875" customWidth="1"/>
    <col min="10747" max="10747" width="4.234375" customWidth="1"/>
    <col min="10748" max="10748" width="4.29296875" customWidth="1"/>
    <col min="10749" max="10749" width="1.1171875" customWidth="1"/>
    <col min="10750" max="10750" width="28.9375" customWidth="1"/>
    <col min="10751" max="10751" width="5" customWidth="1"/>
    <col min="10752" max="10752" width="12.05859375" customWidth="1"/>
    <col min="10753" max="10753" width="4.05859375" customWidth="1"/>
    <col min="10754" max="10754" width="11.17578125" customWidth="1"/>
    <col min="10755" max="10755" width="3.52734375" customWidth="1"/>
    <col min="10756" max="10756" width="10.9375" customWidth="1"/>
    <col min="10757" max="10757" width="2.17578125" customWidth="1"/>
    <col min="10758" max="10758" width="10.5859375" customWidth="1"/>
    <col min="10759" max="10759" width="11.17578125" customWidth="1"/>
    <col min="10760" max="10760" width="3.29296875" customWidth="1"/>
    <col min="11003" max="11003" width="4.234375" customWidth="1"/>
    <col min="11004" max="11004" width="4.29296875" customWidth="1"/>
    <col min="11005" max="11005" width="1.1171875" customWidth="1"/>
    <col min="11006" max="11006" width="28.9375" customWidth="1"/>
    <col min="11007" max="11007" width="5" customWidth="1"/>
    <col min="11008" max="11008" width="12.05859375" customWidth="1"/>
    <col min="11009" max="11009" width="4.05859375" customWidth="1"/>
    <col min="11010" max="11010" width="11.17578125" customWidth="1"/>
    <col min="11011" max="11011" width="3.52734375" customWidth="1"/>
    <col min="11012" max="11012" width="10.9375" customWidth="1"/>
    <col min="11013" max="11013" width="2.17578125" customWidth="1"/>
    <col min="11014" max="11014" width="10.5859375" customWidth="1"/>
    <col min="11015" max="11015" width="11.17578125" customWidth="1"/>
    <col min="11016" max="11016" width="3.29296875" customWidth="1"/>
    <col min="11259" max="11259" width="4.234375" customWidth="1"/>
    <col min="11260" max="11260" width="4.29296875" customWidth="1"/>
    <col min="11261" max="11261" width="1.1171875" customWidth="1"/>
    <col min="11262" max="11262" width="28.9375" customWidth="1"/>
    <col min="11263" max="11263" width="5" customWidth="1"/>
    <col min="11264" max="11264" width="12.05859375" customWidth="1"/>
    <col min="11265" max="11265" width="4.05859375" customWidth="1"/>
    <col min="11266" max="11266" width="11.17578125" customWidth="1"/>
    <col min="11267" max="11267" width="3.52734375" customWidth="1"/>
    <col min="11268" max="11268" width="10.9375" customWidth="1"/>
    <col min="11269" max="11269" width="2.17578125" customWidth="1"/>
    <col min="11270" max="11270" width="10.5859375" customWidth="1"/>
    <col min="11271" max="11271" width="11.17578125" customWidth="1"/>
    <col min="11272" max="11272" width="3.29296875" customWidth="1"/>
    <col min="11515" max="11515" width="4.234375" customWidth="1"/>
    <col min="11516" max="11516" width="4.29296875" customWidth="1"/>
    <col min="11517" max="11517" width="1.1171875" customWidth="1"/>
    <col min="11518" max="11518" width="28.9375" customWidth="1"/>
    <col min="11519" max="11519" width="5" customWidth="1"/>
    <col min="11520" max="11520" width="12.05859375" customWidth="1"/>
    <col min="11521" max="11521" width="4.05859375" customWidth="1"/>
    <col min="11522" max="11522" width="11.17578125" customWidth="1"/>
    <col min="11523" max="11523" width="3.52734375" customWidth="1"/>
    <col min="11524" max="11524" width="10.9375" customWidth="1"/>
    <col min="11525" max="11525" width="2.17578125" customWidth="1"/>
    <col min="11526" max="11526" width="10.5859375" customWidth="1"/>
    <col min="11527" max="11527" width="11.17578125" customWidth="1"/>
    <col min="11528" max="11528" width="3.29296875" customWidth="1"/>
    <col min="11771" max="11771" width="4.234375" customWidth="1"/>
    <col min="11772" max="11772" width="4.29296875" customWidth="1"/>
    <col min="11773" max="11773" width="1.1171875" customWidth="1"/>
    <col min="11774" max="11774" width="28.9375" customWidth="1"/>
    <col min="11775" max="11775" width="5" customWidth="1"/>
    <col min="11776" max="11776" width="12.05859375" customWidth="1"/>
    <col min="11777" max="11777" width="4.05859375" customWidth="1"/>
    <col min="11778" max="11778" width="11.17578125" customWidth="1"/>
    <col min="11779" max="11779" width="3.52734375" customWidth="1"/>
    <col min="11780" max="11780" width="10.9375" customWidth="1"/>
    <col min="11781" max="11781" width="2.17578125" customWidth="1"/>
    <col min="11782" max="11782" width="10.5859375" customWidth="1"/>
    <col min="11783" max="11783" width="11.17578125" customWidth="1"/>
    <col min="11784" max="11784" width="3.29296875" customWidth="1"/>
    <col min="12027" max="12027" width="4.234375" customWidth="1"/>
    <col min="12028" max="12028" width="4.29296875" customWidth="1"/>
    <col min="12029" max="12029" width="1.1171875" customWidth="1"/>
    <col min="12030" max="12030" width="28.9375" customWidth="1"/>
    <col min="12031" max="12031" width="5" customWidth="1"/>
    <col min="12032" max="12032" width="12.05859375" customWidth="1"/>
    <col min="12033" max="12033" width="4.05859375" customWidth="1"/>
    <col min="12034" max="12034" width="11.17578125" customWidth="1"/>
    <col min="12035" max="12035" width="3.52734375" customWidth="1"/>
    <col min="12036" max="12036" width="10.9375" customWidth="1"/>
    <col min="12037" max="12037" width="2.17578125" customWidth="1"/>
    <col min="12038" max="12038" width="10.5859375" customWidth="1"/>
    <col min="12039" max="12039" width="11.17578125" customWidth="1"/>
    <col min="12040" max="12040" width="3.29296875" customWidth="1"/>
    <col min="12283" max="12283" width="4.234375" customWidth="1"/>
    <col min="12284" max="12284" width="4.29296875" customWidth="1"/>
    <col min="12285" max="12285" width="1.1171875" customWidth="1"/>
    <col min="12286" max="12286" width="28.9375" customWidth="1"/>
    <col min="12287" max="12287" width="5" customWidth="1"/>
    <col min="12288" max="12288" width="12.05859375" customWidth="1"/>
    <col min="12289" max="12289" width="4.05859375" customWidth="1"/>
    <col min="12290" max="12290" width="11.17578125" customWidth="1"/>
    <col min="12291" max="12291" width="3.52734375" customWidth="1"/>
    <col min="12292" max="12292" width="10.9375" customWidth="1"/>
    <col min="12293" max="12293" width="2.17578125" customWidth="1"/>
    <col min="12294" max="12294" width="10.5859375" customWidth="1"/>
    <col min="12295" max="12295" width="11.17578125" customWidth="1"/>
    <col min="12296" max="12296" width="3.29296875" customWidth="1"/>
    <col min="12539" max="12539" width="4.234375" customWidth="1"/>
    <col min="12540" max="12540" width="4.29296875" customWidth="1"/>
    <col min="12541" max="12541" width="1.1171875" customWidth="1"/>
    <col min="12542" max="12542" width="28.9375" customWidth="1"/>
    <col min="12543" max="12543" width="5" customWidth="1"/>
    <col min="12544" max="12544" width="12.05859375" customWidth="1"/>
    <col min="12545" max="12545" width="4.05859375" customWidth="1"/>
    <col min="12546" max="12546" width="11.17578125" customWidth="1"/>
    <col min="12547" max="12547" width="3.52734375" customWidth="1"/>
    <col min="12548" max="12548" width="10.9375" customWidth="1"/>
    <col min="12549" max="12549" width="2.17578125" customWidth="1"/>
    <col min="12550" max="12550" width="10.5859375" customWidth="1"/>
    <col min="12551" max="12551" width="11.17578125" customWidth="1"/>
    <col min="12552" max="12552" width="3.29296875" customWidth="1"/>
    <col min="12795" max="12795" width="4.234375" customWidth="1"/>
    <col min="12796" max="12796" width="4.29296875" customWidth="1"/>
    <col min="12797" max="12797" width="1.1171875" customWidth="1"/>
    <col min="12798" max="12798" width="28.9375" customWidth="1"/>
    <col min="12799" max="12799" width="5" customWidth="1"/>
    <col min="12800" max="12800" width="12.05859375" customWidth="1"/>
    <col min="12801" max="12801" width="4.05859375" customWidth="1"/>
    <col min="12802" max="12802" width="11.17578125" customWidth="1"/>
    <col min="12803" max="12803" width="3.52734375" customWidth="1"/>
    <col min="12804" max="12804" width="10.9375" customWidth="1"/>
    <col min="12805" max="12805" width="2.17578125" customWidth="1"/>
    <col min="12806" max="12806" width="10.5859375" customWidth="1"/>
    <col min="12807" max="12807" width="11.17578125" customWidth="1"/>
    <col min="12808" max="12808" width="3.29296875" customWidth="1"/>
    <col min="13051" max="13051" width="4.234375" customWidth="1"/>
    <col min="13052" max="13052" width="4.29296875" customWidth="1"/>
    <col min="13053" max="13053" width="1.1171875" customWidth="1"/>
    <col min="13054" max="13054" width="28.9375" customWidth="1"/>
    <col min="13055" max="13055" width="5" customWidth="1"/>
    <col min="13056" max="13056" width="12.05859375" customWidth="1"/>
    <col min="13057" max="13057" width="4.05859375" customWidth="1"/>
    <col min="13058" max="13058" width="11.17578125" customWidth="1"/>
    <col min="13059" max="13059" width="3.52734375" customWidth="1"/>
    <col min="13060" max="13060" width="10.9375" customWidth="1"/>
    <col min="13061" max="13061" width="2.17578125" customWidth="1"/>
    <col min="13062" max="13062" width="10.5859375" customWidth="1"/>
    <col min="13063" max="13063" width="11.17578125" customWidth="1"/>
    <col min="13064" max="13064" width="3.29296875" customWidth="1"/>
    <col min="13307" max="13307" width="4.234375" customWidth="1"/>
    <col min="13308" max="13308" width="4.29296875" customWidth="1"/>
    <col min="13309" max="13309" width="1.1171875" customWidth="1"/>
    <col min="13310" max="13310" width="28.9375" customWidth="1"/>
    <col min="13311" max="13311" width="5" customWidth="1"/>
    <col min="13312" max="13312" width="12.05859375" customWidth="1"/>
    <col min="13313" max="13313" width="4.05859375" customWidth="1"/>
    <col min="13314" max="13314" width="11.17578125" customWidth="1"/>
    <col min="13315" max="13315" width="3.52734375" customWidth="1"/>
    <col min="13316" max="13316" width="10.9375" customWidth="1"/>
    <col min="13317" max="13317" width="2.17578125" customWidth="1"/>
    <col min="13318" max="13318" width="10.5859375" customWidth="1"/>
    <col min="13319" max="13319" width="11.17578125" customWidth="1"/>
    <col min="13320" max="13320" width="3.29296875" customWidth="1"/>
    <col min="13563" max="13563" width="4.234375" customWidth="1"/>
    <col min="13564" max="13564" width="4.29296875" customWidth="1"/>
    <col min="13565" max="13565" width="1.1171875" customWidth="1"/>
    <col min="13566" max="13566" width="28.9375" customWidth="1"/>
    <col min="13567" max="13567" width="5" customWidth="1"/>
    <col min="13568" max="13568" width="12.05859375" customWidth="1"/>
    <col min="13569" max="13569" width="4.05859375" customWidth="1"/>
    <col min="13570" max="13570" width="11.17578125" customWidth="1"/>
    <col min="13571" max="13571" width="3.52734375" customWidth="1"/>
    <col min="13572" max="13572" width="10.9375" customWidth="1"/>
    <col min="13573" max="13573" width="2.17578125" customWidth="1"/>
    <col min="13574" max="13574" width="10.5859375" customWidth="1"/>
    <col min="13575" max="13575" width="11.17578125" customWidth="1"/>
    <col min="13576" max="13576" width="3.29296875" customWidth="1"/>
    <col min="13819" max="13819" width="4.234375" customWidth="1"/>
    <col min="13820" max="13820" width="4.29296875" customWidth="1"/>
    <col min="13821" max="13821" width="1.1171875" customWidth="1"/>
    <col min="13822" max="13822" width="28.9375" customWidth="1"/>
    <col min="13823" max="13823" width="5" customWidth="1"/>
    <col min="13824" max="13824" width="12.05859375" customWidth="1"/>
    <col min="13825" max="13825" width="4.05859375" customWidth="1"/>
    <col min="13826" max="13826" width="11.17578125" customWidth="1"/>
    <col min="13827" max="13827" width="3.52734375" customWidth="1"/>
    <col min="13828" max="13828" width="10.9375" customWidth="1"/>
    <col min="13829" max="13829" width="2.17578125" customWidth="1"/>
    <col min="13830" max="13830" width="10.5859375" customWidth="1"/>
    <col min="13831" max="13831" width="11.17578125" customWidth="1"/>
    <col min="13832" max="13832" width="3.29296875" customWidth="1"/>
    <col min="14075" max="14075" width="4.234375" customWidth="1"/>
    <col min="14076" max="14076" width="4.29296875" customWidth="1"/>
    <col min="14077" max="14077" width="1.1171875" customWidth="1"/>
    <col min="14078" max="14078" width="28.9375" customWidth="1"/>
    <col min="14079" max="14079" width="5" customWidth="1"/>
    <col min="14080" max="14080" width="12.05859375" customWidth="1"/>
    <col min="14081" max="14081" width="4.05859375" customWidth="1"/>
    <col min="14082" max="14082" width="11.17578125" customWidth="1"/>
    <col min="14083" max="14083" width="3.52734375" customWidth="1"/>
    <col min="14084" max="14084" width="10.9375" customWidth="1"/>
    <col min="14085" max="14085" width="2.17578125" customWidth="1"/>
    <col min="14086" max="14086" width="10.5859375" customWidth="1"/>
    <col min="14087" max="14087" width="11.17578125" customWidth="1"/>
    <col min="14088" max="14088" width="3.29296875" customWidth="1"/>
    <col min="14331" max="14331" width="4.234375" customWidth="1"/>
    <col min="14332" max="14332" width="4.29296875" customWidth="1"/>
    <col min="14333" max="14333" width="1.1171875" customWidth="1"/>
    <col min="14334" max="14334" width="28.9375" customWidth="1"/>
    <col min="14335" max="14335" width="5" customWidth="1"/>
    <col min="14336" max="14336" width="12.05859375" customWidth="1"/>
    <col min="14337" max="14337" width="4.05859375" customWidth="1"/>
    <col min="14338" max="14338" width="11.17578125" customWidth="1"/>
    <col min="14339" max="14339" width="3.52734375" customWidth="1"/>
    <col min="14340" max="14340" width="10.9375" customWidth="1"/>
    <col min="14341" max="14341" width="2.17578125" customWidth="1"/>
    <col min="14342" max="14342" width="10.5859375" customWidth="1"/>
    <col min="14343" max="14343" width="11.17578125" customWidth="1"/>
    <col min="14344" max="14344" width="3.29296875" customWidth="1"/>
    <col min="14587" max="14587" width="4.234375" customWidth="1"/>
    <col min="14588" max="14588" width="4.29296875" customWidth="1"/>
    <col min="14589" max="14589" width="1.1171875" customWidth="1"/>
    <col min="14590" max="14590" width="28.9375" customWidth="1"/>
    <col min="14591" max="14591" width="5" customWidth="1"/>
    <col min="14592" max="14592" width="12.05859375" customWidth="1"/>
    <col min="14593" max="14593" width="4.05859375" customWidth="1"/>
    <col min="14594" max="14594" width="11.17578125" customWidth="1"/>
    <col min="14595" max="14595" width="3.52734375" customWidth="1"/>
    <col min="14596" max="14596" width="10.9375" customWidth="1"/>
    <col min="14597" max="14597" width="2.17578125" customWidth="1"/>
    <col min="14598" max="14598" width="10.5859375" customWidth="1"/>
    <col min="14599" max="14599" width="11.17578125" customWidth="1"/>
    <col min="14600" max="14600" width="3.29296875" customWidth="1"/>
    <col min="14843" max="14843" width="4.234375" customWidth="1"/>
    <col min="14844" max="14844" width="4.29296875" customWidth="1"/>
    <col min="14845" max="14845" width="1.1171875" customWidth="1"/>
    <col min="14846" max="14846" width="28.9375" customWidth="1"/>
    <col min="14847" max="14847" width="5" customWidth="1"/>
    <col min="14848" max="14848" width="12.05859375" customWidth="1"/>
    <col min="14849" max="14849" width="4.05859375" customWidth="1"/>
    <col min="14850" max="14850" width="11.17578125" customWidth="1"/>
    <col min="14851" max="14851" width="3.52734375" customWidth="1"/>
    <col min="14852" max="14852" width="10.9375" customWidth="1"/>
    <col min="14853" max="14853" width="2.17578125" customWidth="1"/>
    <col min="14854" max="14854" width="10.5859375" customWidth="1"/>
    <col min="14855" max="14855" width="11.17578125" customWidth="1"/>
    <col min="14856" max="14856" width="3.29296875" customWidth="1"/>
    <col min="15099" max="15099" width="4.234375" customWidth="1"/>
    <col min="15100" max="15100" width="4.29296875" customWidth="1"/>
    <col min="15101" max="15101" width="1.1171875" customWidth="1"/>
    <col min="15102" max="15102" width="28.9375" customWidth="1"/>
    <col min="15103" max="15103" width="5" customWidth="1"/>
    <col min="15104" max="15104" width="12.05859375" customWidth="1"/>
    <col min="15105" max="15105" width="4.05859375" customWidth="1"/>
    <col min="15106" max="15106" width="11.17578125" customWidth="1"/>
    <col min="15107" max="15107" width="3.52734375" customWidth="1"/>
    <col min="15108" max="15108" width="10.9375" customWidth="1"/>
    <col min="15109" max="15109" width="2.17578125" customWidth="1"/>
    <col min="15110" max="15110" width="10.5859375" customWidth="1"/>
    <col min="15111" max="15111" width="11.17578125" customWidth="1"/>
    <col min="15112" max="15112" width="3.29296875" customWidth="1"/>
    <col min="15355" max="15355" width="4.234375" customWidth="1"/>
    <col min="15356" max="15356" width="4.29296875" customWidth="1"/>
    <col min="15357" max="15357" width="1.1171875" customWidth="1"/>
    <col min="15358" max="15358" width="28.9375" customWidth="1"/>
    <col min="15359" max="15359" width="5" customWidth="1"/>
    <col min="15360" max="15360" width="12.05859375" customWidth="1"/>
    <col min="15361" max="15361" width="4.05859375" customWidth="1"/>
    <col min="15362" max="15362" width="11.17578125" customWidth="1"/>
    <col min="15363" max="15363" width="3.52734375" customWidth="1"/>
    <col min="15364" max="15364" width="10.9375" customWidth="1"/>
    <col min="15365" max="15365" width="2.17578125" customWidth="1"/>
    <col min="15366" max="15366" width="10.5859375" customWidth="1"/>
    <col min="15367" max="15367" width="11.17578125" customWidth="1"/>
    <col min="15368" max="15368" width="3.29296875" customWidth="1"/>
    <col min="15611" max="15611" width="4.234375" customWidth="1"/>
    <col min="15612" max="15612" width="4.29296875" customWidth="1"/>
    <col min="15613" max="15613" width="1.1171875" customWidth="1"/>
    <col min="15614" max="15614" width="28.9375" customWidth="1"/>
    <col min="15615" max="15615" width="5" customWidth="1"/>
    <col min="15616" max="15616" width="12.05859375" customWidth="1"/>
    <col min="15617" max="15617" width="4.05859375" customWidth="1"/>
    <col min="15618" max="15618" width="11.17578125" customWidth="1"/>
    <col min="15619" max="15619" width="3.52734375" customWidth="1"/>
    <col min="15620" max="15620" width="10.9375" customWidth="1"/>
    <col min="15621" max="15621" width="2.17578125" customWidth="1"/>
    <col min="15622" max="15622" width="10.5859375" customWidth="1"/>
    <col min="15623" max="15623" width="11.17578125" customWidth="1"/>
    <col min="15624" max="15624" width="3.29296875" customWidth="1"/>
    <col min="15867" max="15867" width="4.234375" customWidth="1"/>
    <col min="15868" max="15868" width="4.29296875" customWidth="1"/>
    <col min="15869" max="15869" width="1.1171875" customWidth="1"/>
    <col min="15870" max="15870" width="28.9375" customWidth="1"/>
    <col min="15871" max="15871" width="5" customWidth="1"/>
    <col min="15872" max="15872" width="12.05859375" customWidth="1"/>
    <col min="15873" max="15873" width="4.05859375" customWidth="1"/>
    <col min="15874" max="15874" width="11.17578125" customWidth="1"/>
    <col min="15875" max="15875" width="3.52734375" customWidth="1"/>
    <col min="15876" max="15876" width="10.9375" customWidth="1"/>
    <col min="15877" max="15877" width="2.17578125" customWidth="1"/>
    <col min="15878" max="15878" width="10.5859375" customWidth="1"/>
    <col min="15879" max="15879" width="11.17578125" customWidth="1"/>
    <col min="15880" max="15880" width="3.29296875" customWidth="1"/>
    <col min="16123" max="16123" width="4.234375" customWidth="1"/>
    <col min="16124" max="16124" width="4.29296875" customWidth="1"/>
    <col min="16125" max="16125" width="1.1171875" customWidth="1"/>
    <col min="16126" max="16126" width="28.9375" customWidth="1"/>
    <col min="16127" max="16127" width="5" customWidth="1"/>
    <col min="16128" max="16128" width="12.05859375" customWidth="1"/>
    <col min="16129" max="16129" width="4.05859375" customWidth="1"/>
    <col min="16130" max="16130" width="11.17578125" customWidth="1"/>
    <col min="16131" max="16131" width="3.52734375" customWidth="1"/>
    <col min="16132" max="16132" width="10.9375" customWidth="1"/>
    <col min="16133" max="16133" width="2.17578125" customWidth="1"/>
    <col min="16134" max="16134" width="10.5859375" customWidth="1"/>
    <col min="16135" max="16135" width="11.17578125" customWidth="1"/>
    <col min="16136" max="16136" width="3.2929687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75" customHeight="1" x14ac:dyDescent="0.5">
      <c r="B3" s="72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4.7" thickBot="1" x14ac:dyDescent="0.55000000000000004">
      <c r="B4" s="7"/>
      <c r="C4" s="5"/>
      <c r="D4" s="101" t="s">
        <v>43</v>
      </c>
      <c r="E4" s="101"/>
      <c r="F4" s="101"/>
      <c r="G4" s="5"/>
      <c r="H4" s="101" t="s">
        <v>42</v>
      </c>
      <c r="I4" s="101"/>
      <c r="J4" s="101"/>
      <c r="K4" s="101"/>
      <c r="L4" s="101"/>
      <c r="M4" s="6"/>
    </row>
    <row r="5" spans="2:13" ht="17.25" customHeight="1" thickBot="1" x14ac:dyDescent="0.55000000000000004">
      <c r="B5" s="100" t="s">
        <v>173</v>
      </c>
      <c r="C5" s="5"/>
      <c r="D5" s="43" t="s">
        <v>19</v>
      </c>
      <c r="E5" s="44"/>
      <c r="F5" s="43" t="s">
        <v>18</v>
      </c>
      <c r="G5" s="45"/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6"/>
    </row>
    <row r="6" spans="2:13" x14ac:dyDescent="0.5"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3" x14ac:dyDescent="0.5">
      <c r="B7" s="41" t="s">
        <v>46</v>
      </c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3" x14ac:dyDescent="0.5">
      <c r="B8" s="7" t="s">
        <v>47</v>
      </c>
      <c r="C8" s="5"/>
      <c r="D8" s="35">
        <v>45000</v>
      </c>
      <c r="E8" s="11"/>
      <c r="F8" s="36">
        <v>65800</v>
      </c>
      <c r="G8" s="5"/>
      <c r="H8" s="30">
        <f>+'Proj. Cash Flow Stat'!H40</f>
        <v>118576.98871351354</v>
      </c>
      <c r="I8" s="30">
        <f>+'Proj. Cash Flow Stat'!I40</f>
        <v>179245.72403735362</v>
      </c>
      <c r="J8" s="30">
        <f>+'Proj. Cash Flow Stat'!J40</f>
        <v>236182.72470964788</v>
      </c>
      <c r="K8" s="30">
        <f>+'Proj. Cash Flow Stat'!K40</f>
        <v>267483.99123087717</v>
      </c>
      <c r="L8" s="30">
        <f>+'Proj. Cash Flow Stat'!L40</f>
        <v>278544.34770695085</v>
      </c>
      <c r="M8" s="6"/>
    </row>
    <row r="9" spans="2:13" x14ac:dyDescent="0.5">
      <c r="B9" s="7" t="s">
        <v>48</v>
      </c>
      <c r="C9" s="5"/>
      <c r="D9" s="35">
        <v>45000</v>
      </c>
      <c r="E9" s="11"/>
      <c r="F9" s="35">
        <v>60000</v>
      </c>
      <c r="G9" s="5"/>
      <c r="H9" s="30">
        <f>+'Proj. Income Stat'!H12/'Working Capital Assump'!H7</f>
        <v>58087.702702702692</v>
      </c>
      <c r="I9" s="30">
        <f>+'Proj. Income Stat'!I12/'Working Capital Assump'!I7</f>
        <v>63577.019837837826</v>
      </c>
      <c r="J9" s="30">
        <f>+'Proj. Income Stat'!J12/'Working Capital Assump'!J7</f>
        <v>68246.166746327028</v>
      </c>
      <c r="K9" s="30">
        <f>+'Proj. Income Stat'!K12/'Working Capital Assump'!K7</f>
        <v>72330.229795271167</v>
      </c>
      <c r="L9" s="30">
        <f>+'Proj. Income Stat'!L12/'Working Capital Assump'!L7</f>
        <v>75919.800015766043</v>
      </c>
      <c r="M9" s="6"/>
    </row>
    <row r="10" spans="2:13" x14ac:dyDescent="0.5">
      <c r="B10" s="7" t="s">
        <v>49</v>
      </c>
      <c r="C10" s="5"/>
      <c r="D10" s="35">
        <v>35000</v>
      </c>
      <c r="E10" s="11"/>
      <c r="F10" s="35">
        <v>40000</v>
      </c>
      <c r="G10" s="5"/>
      <c r="H10" s="30">
        <f>+'Proj. Income Stat'!H19/'Working Capital Assump'!H11</f>
        <v>41346.26785714287</v>
      </c>
      <c r="I10" s="30">
        <f>+'Proj. Income Stat'!I19/'Working Capital Assump'!I11</f>
        <v>45252.083753571424</v>
      </c>
      <c r="J10" s="30">
        <f>+'Proj. Income Stat'!J19/'Working Capital Assump'!J11</f>
        <v>48576.172957047864</v>
      </c>
      <c r="K10" s="30">
        <f>+'Proj. Income Stat'!K19/'Working Capital Assump'!K11</f>
        <v>51491.897942382748</v>
      </c>
      <c r="L10" s="30">
        <f>+'Proj. Income Stat'!L19/'Working Capital Assump'!L11</f>
        <v>54060.211059944239</v>
      </c>
      <c r="M10" s="6"/>
    </row>
    <row r="11" spans="2:13" x14ac:dyDescent="0.5">
      <c r="B11" s="7" t="s">
        <v>50</v>
      </c>
      <c r="C11" s="5"/>
      <c r="D11" s="54">
        <v>10000</v>
      </c>
      <c r="E11" s="11"/>
      <c r="F11" s="54">
        <v>9000</v>
      </c>
      <c r="G11" s="5"/>
      <c r="H11" s="58">
        <f>+'Proj. Income Stat'!H12*'Working Capital Assump'!H15</f>
        <v>9957.8918918918916</v>
      </c>
      <c r="I11" s="58">
        <f>+'Proj. Income Stat'!I12*'Working Capital Assump'!I15</f>
        <v>10898.917686486488</v>
      </c>
      <c r="J11" s="58">
        <f>+'Proj. Income Stat'!J12*'Working Capital Assump'!J15</f>
        <v>11699.342870798921</v>
      </c>
      <c r="K11" s="58">
        <f>+'Proj. Income Stat'!K12*'Working Capital Assump'!K15</f>
        <v>12399.467964903632</v>
      </c>
      <c r="L11" s="58">
        <f>+'Proj. Income Stat'!L12*'Working Capital Assump'!L15</f>
        <v>13014.82285984561</v>
      </c>
      <c r="M11" s="6"/>
    </row>
    <row r="12" spans="2:13" x14ac:dyDescent="0.5">
      <c r="B12" s="7" t="s">
        <v>51</v>
      </c>
      <c r="C12" s="5"/>
      <c r="D12" s="11">
        <f>SUM(D8:D11)</f>
        <v>135000</v>
      </c>
      <c r="E12" s="11"/>
      <c r="F12" s="11">
        <f>SUM(F8:F11)</f>
        <v>174800</v>
      </c>
      <c r="G12" s="5"/>
      <c r="H12" s="11">
        <f t="shared" ref="H12:L12" si="0">SUM(H8:H11)</f>
        <v>227968.85116525099</v>
      </c>
      <c r="I12" s="11">
        <f t="shared" si="0"/>
        <v>298973.74531524937</v>
      </c>
      <c r="J12" s="11">
        <f t="shared" si="0"/>
        <v>364704.40728382167</v>
      </c>
      <c r="K12" s="11">
        <f t="shared" si="0"/>
        <v>403705.58693343471</v>
      </c>
      <c r="L12" s="11">
        <f t="shared" si="0"/>
        <v>421539.18164250674</v>
      </c>
      <c r="M12" s="6"/>
    </row>
    <row r="13" spans="2:13" x14ac:dyDescent="0.5">
      <c r="B13" s="7"/>
      <c r="C13" s="5"/>
      <c r="D13" s="11"/>
      <c r="E13" s="11"/>
      <c r="F13" s="11"/>
      <c r="G13" s="5"/>
      <c r="H13" s="5"/>
      <c r="I13" s="5"/>
      <c r="J13" s="5"/>
      <c r="K13" s="5"/>
      <c r="L13" s="5"/>
      <c r="M13" s="6"/>
    </row>
    <row r="14" spans="2:13" x14ac:dyDescent="0.5">
      <c r="B14" s="41" t="s">
        <v>52</v>
      </c>
      <c r="C14" s="5"/>
      <c r="D14" s="11"/>
      <c r="E14" s="11"/>
      <c r="F14" s="11"/>
      <c r="G14" s="5"/>
      <c r="H14" s="5"/>
      <c r="I14" s="5"/>
      <c r="J14" s="5"/>
      <c r="K14" s="5"/>
      <c r="L14" s="5"/>
      <c r="M14" s="6"/>
    </row>
    <row r="15" spans="2:13" x14ac:dyDescent="0.5">
      <c r="B15" s="7" t="s">
        <v>53</v>
      </c>
      <c r="C15" s="5"/>
      <c r="D15" s="35">
        <v>2500000</v>
      </c>
      <c r="E15" s="36"/>
      <c r="F15" s="36">
        <v>2500000</v>
      </c>
      <c r="G15" s="5"/>
      <c r="H15" s="5"/>
      <c r="I15" s="5"/>
      <c r="J15" s="5"/>
      <c r="K15" s="5"/>
      <c r="L15" s="5"/>
      <c r="M15" s="6"/>
    </row>
    <row r="16" spans="2:13" x14ac:dyDescent="0.5">
      <c r="B16" s="7" t="s">
        <v>54</v>
      </c>
      <c r="C16" s="5"/>
      <c r="D16" s="35">
        <v>450000</v>
      </c>
      <c r="E16" s="36"/>
      <c r="F16" s="35">
        <v>550000</v>
      </c>
      <c r="G16" s="5"/>
      <c r="H16" s="5"/>
      <c r="I16" s="5"/>
      <c r="J16" s="5"/>
      <c r="K16" s="5"/>
      <c r="L16" s="5"/>
      <c r="M16" s="6"/>
    </row>
    <row r="17" spans="2:13" x14ac:dyDescent="0.5">
      <c r="B17" s="7" t="s">
        <v>55</v>
      </c>
      <c r="C17" s="5"/>
      <c r="D17" s="54">
        <v>50000</v>
      </c>
      <c r="E17" s="36"/>
      <c r="F17" s="54">
        <v>75000</v>
      </c>
      <c r="G17" s="5"/>
      <c r="H17" s="67"/>
      <c r="I17" s="67"/>
      <c r="J17" s="67"/>
      <c r="K17" s="67"/>
      <c r="L17" s="67"/>
      <c r="M17" s="6"/>
    </row>
    <row r="18" spans="2:13" x14ac:dyDescent="0.5">
      <c r="B18" s="7" t="s">
        <v>56</v>
      </c>
      <c r="C18" s="5"/>
      <c r="D18" s="11">
        <f>SUM(D15:D17)</f>
        <v>3000000</v>
      </c>
      <c r="E18" s="11"/>
      <c r="F18" s="11">
        <f>SUM(F15:F17)</f>
        <v>3125000</v>
      </c>
      <c r="G18" s="5"/>
      <c r="H18" s="75">
        <f>+F18-'Proj. Cash Flow Stat'!H24</f>
        <v>3263304.054054054</v>
      </c>
      <c r="I18" s="75">
        <f>+H18-'Proj. Cash Flow Stat'!I24</f>
        <v>3414677.9108108105</v>
      </c>
      <c r="J18" s="75">
        <f>+I18-'Proj. Cash Flow Stat'!J24</f>
        <v>3577168.7840163512</v>
      </c>
      <c r="K18" s="75">
        <f>+J18-'Proj. Cash Flow Stat'!K24</f>
        <v>3749383.6168622351</v>
      </c>
      <c r="L18" s="75">
        <f>+K18-'Proj. Cash Flow Stat'!L24</f>
        <v>3930145.0454712021</v>
      </c>
      <c r="M18" s="6"/>
    </row>
    <row r="19" spans="2:13" x14ac:dyDescent="0.5">
      <c r="B19" s="7" t="s">
        <v>57</v>
      </c>
      <c r="C19" s="5"/>
      <c r="D19" s="54">
        <v>-300000</v>
      </c>
      <c r="E19" s="36"/>
      <c r="F19" s="55">
        <v>-365000</v>
      </c>
      <c r="G19" s="5"/>
      <c r="H19" s="80">
        <f>+F19-'Proj. Income Stat'!H33</f>
        <v>-438688.4</v>
      </c>
      <c r="I19" s="80">
        <f>+H19-'Proj. Income Stat'!I33</f>
        <v>-519340.39088000002</v>
      </c>
      <c r="J19" s="80">
        <f>+I19-'Proj. Income Stat'!J33</f>
        <v>-605915.52812391205</v>
      </c>
      <c r="K19" s="80">
        <f>+J19-'Proj. Income Stat'!K33</f>
        <v>-697671.59106419887</v>
      </c>
      <c r="L19" s="80">
        <f>+K19-'Proj. Income Stat'!L33</f>
        <v>-793981.28022705636</v>
      </c>
      <c r="M19" s="6"/>
    </row>
    <row r="20" spans="2:13" x14ac:dyDescent="0.5">
      <c r="B20" s="7" t="s">
        <v>58</v>
      </c>
      <c r="C20" s="5"/>
      <c r="D20" s="11">
        <f>SUM(D18:D19)</f>
        <v>2700000</v>
      </c>
      <c r="E20" s="11"/>
      <c r="F20" s="11">
        <f>SUM(F18:F19)</f>
        <v>2760000</v>
      </c>
      <c r="G20" s="5"/>
      <c r="H20" s="11">
        <f t="shared" ref="H20:L20" si="1">SUM(H18:H19)</f>
        <v>2824615.6540540541</v>
      </c>
      <c r="I20" s="11">
        <f t="shared" si="1"/>
        <v>2895337.5199308107</v>
      </c>
      <c r="J20" s="11">
        <f t="shared" si="1"/>
        <v>2971253.2558924393</v>
      </c>
      <c r="K20" s="11">
        <f t="shared" si="1"/>
        <v>3051712.0257980363</v>
      </c>
      <c r="L20" s="11">
        <f t="shared" si="1"/>
        <v>3136163.7652441459</v>
      </c>
      <c r="M20" s="6"/>
    </row>
    <row r="21" spans="2:13" x14ac:dyDescent="0.5">
      <c r="B21" s="7"/>
      <c r="C21" s="5"/>
      <c r="D21" s="11"/>
      <c r="E21" s="11"/>
      <c r="F21" s="11"/>
      <c r="G21" s="5"/>
      <c r="H21" s="5"/>
      <c r="I21" s="5"/>
      <c r="J21" s="5"/>
      <c r="K21" s="5"/>
      <c r="L21" s="5"/>
      <c r="M21" s="6"/>
    </row>
    <row r="22" spans="2:13" x14ac:dyDescent="0.5">
      <c r="B22" s="7" t="s">
        <v>59</v>
      </c>
      <c r="C22" s="5"/>
      <c r="D22" s="35">
        <v>200000</v>
      </c>
      <c r="E22" s="35"/>
      <c r="F22" s="35">
        <v>250000</v>
      </c>
      <c r="G22" s="5"/>
      <c r="H22" s="75">
        <f>+F22-'Proj. Cash Flow Stat'!H25</f>
        <v>305321.6216216216</v>
      </c>
      <c r="I22" s="75">
        <f>+H22-'Proj. Cash Flow Stat'!I25</f>
        <v>365871.16432432429</v>
      </c>
      <c r="J22" s="75">
        <f>+I22-'Proj. Cash Flow Stat'!J25</f>
        <v>430867.51360654051</v>
      </c>
      <c r="K22" s="75">
        <f>+J22-'Proj. Cash Flow Stat'!K25</f>
        <v>499753.44674489403</v>
      </c>
      <c r="L22" s="75">
        <f>+K22-'Proj. Cash Flow Stat'!L25</f>
        <v>572058.01818848075</v>
      </c>
      <c r="M22" s="6"/>
    </row>
    <row r="23" spans="2:13" x14ac:dyDescent="0.5">
      <c r="B23" s="7"/>
      <c r="C23" s="5"/>
      <c r="D23" s="11"/>
      <c r="E23" s="11"/>
      <c r="F23" s="11"/>
      <c r="G23" s="5"/>
      <c r="H23" s="5"/>
      <c r="I23" s="5"/>
      <c r="J23" s="5"/>
      <c r="K23" s="5"/>
      <c r="L23" s="5"/>
      <c r="M23" s="6"/>
    </row>
    <row r="24" spans="2:13" ht="14.7" thickBot="1" x14ac:dyDescent="0.55000000000000004">
      <c r="B24" s="7" t="s">
        <v>60</v>
      </c>
      <c r="C24" s="5"/>
      <c r="D24" s="28">
        <f>+D22+D20+D12</f>
        <v>3035000</v>
      </c>
      <c r="E24" s="11"/>
      <c r="F24" s="28">
        <f>+F22+F20+F12</f>
        <v>3184800</v>
      </c>
      <c r="G24" s="5"/>
      <c r="H24" s="28">
        <f t="shared" ref="H24:L24" si="2">+H22+H20+H12</f>
        <v>3357906.1268409267</v>
      </c>
      <c r="I24" s="28">
        <f t="shared" si="2"/>
        <v>3560182.4295703843</v>
      </c>
      <c r="J24" s="28">
        <f t="shared" si="2"/>
        <v>3766825.1767828013</v>
      </c>
      <c r="K24" s="28">
        <f t="shared" si="2"/>
        <v>3955171.0594763653</v>
      </c>
      <c r="L24" s="28">
        <f t="shared" si="2"/>
        <v>4129760.9650751334</v>
      </c>
      <c r="M24" s="6"/>
    </row>
    <row r="25" spans="2:13" ht="14.7" thickTop="1" x14ac:dyDescent="0.5">
      <c r="B25" s="7"/>
      <c r="C25" s="5"/>
      <c r="D25" s="11"/>
      <c r="E25" s="11"/>
      <c r="F25" s="11"/>
      <c r="G25" s="5"/>
      <c r="H25" s="5"/>
      <c r="I25" s="5"/>
      <c r="J25" s="5"/>
      <c r="K25" s="5"/>
      <c r="L25" s="5"/>
      <c r="M25" s="6"/>
    </row>
    <row r="26" spans="2:13" x14ac:dyDescent="0.5">
      <c r="B26" s="41" t="s">
        <v>61</v>
      </c>
      <c r="C26" s="5"/>
      <c r="D26" s="11"/>
      <c r="E26" s="11"/>
      <c r="F26" s="11"/>
      <c r="G26" s="5"/>
      <c r="H26" s="5"/>
      <c r="I26" s="5"/>
      <c r="J26" s="5"/>
      <c r="K26" s="5"/>
      <c r="L26" s="5"/>
      <c r="M26" s="6"/>
    </row>
    <row r="27" spans="2:13" x14ac:dyDescent="0.5">
      <c r="B27" s="7"/>
      <c r="C27" s="5"/>
      <c r="D27" s="11"/>
      <c r="E27" s="11"/>
      <c r="F27" s="11"/>
      <c r="G27" s="5"/>
      <c r="H27" s="5"/>
      <c r="I27" s="5"/>
      <c r="J27" s="5"/>
      <c r="K27" s="5"/>
      <c r="L27" s="5"/>
      <c r="M27" s="6"/>
    </row>
    <row r="28" spans="2:13" x14ac:dyDescent="0.5">
      <c r="B28" s="41" t="s">
        <v>62</v>
      </c>
      <c r="C28" s="5"/>
      <c r="D28" s="11"/>
      <c r="E28" s="11"/>
      <c r="F28" s="11"/>
      <c r="G28" s="5"/>
      <c r="H28" s="5"/>
      <c r="I28" s="5"/>
      <c r="J28" s="5"/>
      <c r="K28" s="5"/>
      <c r="L28" s="5"/>
      <c r="M28" s="6"/>
    </row>
    <row r="29" spans="2:13" x14ac:dyDescent="0.5">
      <c r="B29" s="7" t="s">
        <v>63</v>
      </c>
      <c r="C29" s="5"/>
      <c r="D29" s="35">
        <v>35000</v>
      </c>
      <c r="E29" s="36"/>
      <c r="F29" s="35">
        <v>40000</v>
      </c>
      <c r="G29" s="5"/>
      <c r="H29" s="30">
        <f>+'Proj. Income Stat'!H19/'Working Capital Assump'!H18</f>
        <v>41346.26785714287</v>
      </c>
      <c r="I29" s="30">
        <f>+'Proj. Income Stat'!I19/'Working Capital Assump'!I18</f>
        <v>45252.083753571424</v>
      </c>
      <c r="J29" s="30">
        <f>+'Proj. Income Stat'!J19/'Working Capital Assump'!J18</f>
        <v>48576.172957047864</v>
      </c>
      <c r="K29" s="30">
        <f>+'Proj. Income Stat'!K19/'Working Capital Assump'!K18</f>
        <v>51491.897942382748</v>
      </c>
      <c r="L29" s="30">
        <f>+'Proj. Income Stat'!L19/'Working Capital Assump'!L18</f>
        <v>54060.211059944239</v>
      </c>
      <c r="M29" s="6"/>
    </row>
    <row r="30" spans="2:13" x14ac:dyDescent="0.5">
      <c r="B30" s="7" t="s">
        <v>64</v>
      </c>
      <c r="C30" s="5"/>
      <c r="D30" s="35">
        <v>12000</v>
      </c>
      <c r="E30" s="36"/>
      <c r="F30" s="35">
        <v>10000</v>
      </c>
      <c r="G30" s="5"/>
      <c r="H30" s="30">
        <f>'Proj. Income Stat'!H12*'Working Capital Assump'!H22</f>
        <v>11064.324324324325</v>
      </c>
      <c r="I30" s="30">
        <f>'Proj. Income Stat'!I12*'Working Capital Assump'!I22</f>
        <v>12109.90854054054</v>
      </c>
      <c r="J30" s="30">
        <f>'Proj. Income Stat'!J12*'Working Capital Assump'!J22</f>
        <v>12999.269856443245</v>
      </c>
      <c r="K30" s="30">
        <f>'Proj. Income Stat'!K12*'Working Capital Assump'!K22</f>
        <v>13777.186627670701</v>
      </c>
      <c r="L30" s="30">
        <f>'Proj. Income Stat'!L12*'Working Capital Assump'!L22</f>
        <v>14460.914288717342</v>
      </c>
      <c r="M30" s="6"/>
    </row>
    <row r="31" spans="2:13" x14ac:dyDescent="0.5">
      <c r="B31" s="7" t="s">
        <v>65</v>
      </c>
      <c r="C31" s="5"/>
      <c r="D31" s="35">
        <v>10000</v>
      </c>
      <c r="E31" s="36"/>
      <c r="F31" s="35">
        <v>8000</v>
      </c>
      <c r="G31" s="5"/>
      <c r="H31" s="30">
        <f>+'Proj. Income Stat'!H12*'Working Capital Assump'!H25</f>
        <v>8851.45945945946</v>
      </c>
      <c r="I31" s="30">
        <f>+'Proj. Income Stat'!I12*'Working Capital Assump'!I25</f>
        <v>9687.926832432433</v>
      </c>
      <c r="J31" s="30">
        <f>+'Proj. Income Stat'!J12*'Working Capital Assump'!J25</f>
        <v>10399.415885154596</v>
      </c>
      <c r="K31" s="30">
        <f>+'Proj. Income Stat'!K12*'Working Capital Assump'!K25</f>
        <v>11021.749302136561</v>
      </c>
      <c r="L31" s="30">
        <f>+'Proj. Income Stat'!L12*'Working Capital Assump'!L25</f>
        <v>11568.731430973874</v>
      </c>
      <c r="M31" s="6"/>
    </row>
    <row r="32" spans="2:13" x14ac:dyDescent="0.5">
      <c r="B32" s="7" t="s">
        <v>66</v>
      </c>
      <c r="C32" s="5"/>
      <c r="D32" s="54">
        <v>20000</v>
      </c>
      <c r="E32" s="36"/>
      <c r="F32" s="54">
        <v>10000</v>
      </c>
      <c r="G32" s="5"/>
      <c r="H32" s="58">
        <f>+'Debt Schedule'!H14</f>
        <v>0</v>
      </c>
      <c r="I32" s="58">
        <f>+'Debt Schedule'!I14</f>
        <v>0</v>
      </c>
      <c r="J32" s="58">
        <f>+'Debt Schedule'!J14</f>
        <v>0</v>
      </c>
      <c r="K32" s="58">
        <f>+'Debt Schedule'!K14</f>
        <v>0</v>
      </c>
      <c r="L32" s="58">
        <f>+'Debt Schedule'!L14</f>
        <v>0</v>
      </c>
      <c r="M32" s="6"/>
    </row>
    <row r="33" spans="2:13" x14ac:dyDescent="0.5">
      <c r="B33" s="7" t="s">
        <v>67</v>
      </c>
      <c r="C33" s="5"/>
      <c r="D33" s="11">
        <f>SUM(D29:D32)</f>
        <v>77000</v>
      </c>
      <c r="E33" s="11"/>
      <c r="F33" s="11">
        <f>SUM(F29:F32)</f>
        <v>68000</v>
      </c>
      <c r="G33" s="5"/>
      <c r="H33" s="11">
        <f t="shared" ref="H33:L33" si="3">SUM(H29:H32)</f>
        <v>61262.051640926657</v>
      </c>
      <c r="I33" s="11">
        <f t="shared" si="3"/>
        <v>67049.919126544395</v>
      </c>
      <c r="J33" s="11">
        <f t="shared" si="3"/>
        <v>71974.858698645709</v>
      </c>
      <c r="K33" s="11">
        <f t="shared" si="3"/>
        <v>76290.833872190007</v>
      </c>
      <c r="L33" s="11">
        <f t="shared" si="3"/>
        <v>80089.856779635447</v>
      </c>
      <c r="M33" s="6"/>
    </row>
    <row r="34" spans="2:13" x14ac:dyDescent="0.5">
      <c r="B34" s="7"/>
      <c r="C34" s="5"/>
      <c r="D34" s="11"/>
      <c r="E34" s="11"/>
      <c r="F34" s="11"/>
      <c r="G34" s="5"/>
      <c r="H34" s="5"/>
      <c r="I34" s="5"/>
      <c r="J34" s="5"/>
      <c r="K34" s="5"/>
      <c r="L34" s="5"/>
      <c r="M34" s="6"/>
    </row>
    <row r="35" spans="2:13" x14ac:dyDescent="0.5">
      <c r="B35" s="7" t="s">
        <v>68</v>
      </c>
      <c r="C35" s="5"/>
      <c r="D35" s="35">
        <v>1200000</v>
      </c>
      <c r="E35" s="36"/>
      <c r="F35" s="35">
        <v>1180000</v>
      </c>
      <c r="G35" s="5"/>
      <c r="H35" s="30">
        <f>+'Debt Schedule'!H23</f>
        <v>1160000</v>
      </c>
      <c r="I35" s="30">
        <f>+'Debt Schedule'!I23</f>
        <v>1130000</v>
      </c>
      <c r="J35" s="30">
        <f>+'Debt Schedule'!J23</f>
        <v>1090000</v>
      </c>
      <c r="K35" s="30">
        <f>+'Debt Schedule'!K23</f>
        <v>1030000</v>
      </c>
      <c r="L35" s="30">
        <f>+'Debt Schedule'!L23</f>
        <v>950000</v>
      </c>
      <c r="M35" s="6"/>
    </row>
    <row r="36" spans="2:13" x14ac:dyDescent="0.5">
      <c r="B36" s="7"/>
      <c r="C36" s="5"/>
      <c r="D36" s="36"/>
      <c r="E36" s="36"/>
      <c r="F36" s="36"/>
      <c r="G36" s="5"/>
      <c r="H36" s="5"/>
      <c r="I36" s="5"/>
      <c r="J36" s="5"/>
      <c r="K36" s="5"/>
      <c r="L36" s="5"/>
      <c r="M36" s="6"/>
    </row>
    <row r="37" spans="2:13" x14ac:dyDescent="0.5">
      <c r="B37" s="7" t="s">
        <v>69</v>
      </c>
      <c r="C37" s="5"/>
      <c r="D37" s="54">
        <v>12000</v>
      </c>
      <c r="E37" s="36"/>
      <c r="F37" s="54">
        <v>17000</v>
      </c>
      <c r="G37" s="5"/>
      <c r="H37" s="80">
        <f>+F37+'Proj. Cash Flow Stat'!H9</f>
        <v>22190.7552</v>
      </c>
      <c r="I37" s="80">
        <f>+H37+'Proj. Cash Flow Stat'!I9</f>
        <v>28073.571699840002</v>
      </c>
      <c r="J37" s="80">
        <f>+I37+'Proj. Cash Flow Stat'!J9</f>
        <v>34351.95631387418</v>
      </c>
      <c r="K37" s="80">
        <f>+J37+'Proj. Cash Flow Stat'!K9</f>
        <v>40690.395470238313</v>
      </c>
      <c r="L37" s="80">
        <f>+K37+'Proj. Cash Flow Stat'!L9</f>
        <v>47204.444371311627</v>
      </c>
      <c r="M37" s="6"/>
    </row>
    <row r="38" spans="2:13" x14ac:dyDescent="0.5">
      <c r="B38" s="7" t="s">
        <v>70</v>
      </c>
      <c r="C38" s="5"/>
      <c r="D38" s="11">
        <f>+D37+D35+D33</f>
        <v>1289000</v>
      </c>
      <c r="E38" s="11"/>
      <c r="F38" s="11">
        <f>+F37+F35+F33</f>
        <v>1265000</v>
      </c>
      <c r="G38" s="5"/>
      <c r="H38" s="11">
        <f>+H37+H35+H33</f>
        <v>1243452.8068409266</v>
      </c>
      <c r="I38" s="11">
        <f>+I37+I35+I33</f>
        <v>1225123.4908263844</v>
      </c>
      <c r="J38" s="11">
        <f>+J37+J35+J33</f>
        <v>1196326.8150125197</v>
      </c>
      <c r="K38" s="11">
        <f>+K37+K35+K33</f>
        <v>1146981.2293424283</v>
      </c>
      <c r="L38" s="11">
        <f>+L37+L35+L33</f>
        <v>1077294.3011509471</v>
      </c>
      <c r="M38" s="6"/>
    </row>
    <row r="39" spans="2:13" ht="9" customHeight="1" x14ac:dyDescent="0.5">
      <c r="B39" s="7"/>
      <c r="C39" s="5"/>
      <c r="D39" s="11"/>
      <c r="E39" s="11"/>
      <c r="F39" s="11"/>
      <c r="G39" s="5"/>
      <c r="H39" s="5"/>
      <c r="I39" s="5"/>
      <c r="J39" s="5"/>
      <c r="K39" s="5"/>
      <c r="L39" s="5"/>
      <c r="M39" s="6"/>
    </row>
    <row r="40" spans="2:13" x14ac:dyDescent="0.5">
      <c r="B40" s="41" t="s">
        <v>71</v>
      </c>
      <c r="C40" s="5"/>
      <c r="D40" s="11"/>
      <c r="E40" s="11"/>
      <c r="F40" s="11"/>
      <c r="G40" s="5"/>
      <c r="H40" s="5"/>
      <c r="I40" s="5"/>
      <c r="J40" s="5"/>
      <c r="K40" s="5"/>
      <c r="L40" s="5"/>
      <c r="M40" s="6"/>
    </row>
    <row r="41" spans="2:13" x14ac:dyDescent="0.5">
      <c r="B41" s="7" t="s">
        <v>72</v>
      </c>
      <c r="C41" s="5"/>
      <c r="D41" s="35">
        <v>1000000</v>
      </c>
      <c r="E41" s="35"/>
      <c r="F41" s="35">
        <v>1000000</v>
      </c>
      <c r="G41" s="5"/>
      <c r="H41" s="75">
        <f>+F41</f>
        <v>1000000</v>
      </c>
      <c r="I41" s="75">
        <f>+H41</f>
        <v>1000000</v>
      </c>
      <c r="J41" s="75">
        <f t="shared" ref="J41:L41" si="4">+I41</f>
        <v>1000000</v>
      </c>
      <c r="K41" s="75">
        <f t="shared" si="4"/>
        <v>1000000</v>
      </c>
      <c r="L41" s="75">
        <f t="shared" si="4"/>
        <v>1000000</v>
      </c>
      <c r="M41" s="6"/>
    </row>
    <row r="42" spans="2:13" x14ac:dyDescent="0.5">
      <c r="B42" s="7" t="s">
        <v>73</v>
      </c>
      <c r="C42" s="5"/>
      <c r="D42" s="35">
        <v>0</v>
      </c>
      <c r="E42" s="35"/>
      <c r="F42" s="35">
        <v>25000</v>
      </c>
      <c r="G42" s="5"/>
      <c r="H42" s="75">
        <f>+F42+'Proj. Cash Flow Stat'!H33</f>
        <v>25000</v>
      </c>
      <c r="I42" s="75">
        <f>+H42+'Proj. Cash Flow Stat'!I33</f>
        <v>25000</v>
      </c>
      <c r="J42" s="75">
        <f>+I42+'Proj. Cash Flow Stat'!J33</f>
        <v>25000</v>
      </c>
      <c r="K42" s="75">
        <f>+J42+'Proj. Cash Flow Stat'!K33</f>
        <v>25000</v>
      </c>
      <c r="L42" s="75">
        <f>+K42+'Proj. Cash Flow Stat'!L33</f>
        <v>25000</v>
      </c>
      <c r="M42" s="6"/>
    </row>
    <row r="43" spans="2:13" x14ac:dyDescent="0.5">
      <c r="B43" s="7" t="s">
        <v>74</v>
      </c>
      <c r="C43" s="5"/>
      <c r="D43" s="55">
        <v>746000</v>
      </c>
      <c r="E43" s="36"/>
      <c r="F43" s="55">
        <v>894800</v>
      </c>
      <c r="G43" s="5"/>
      <c r="H43" s="80">
        <f>+F43+'Proj. Income Stat'!H42</f>
        <v>1089453.3199999998</v>
      </c>
      <c r="I43" s="80">
        <f>+H43+'Proj. Income Stat'!I42</f>
        <v>1310058.9387439999</v>
      </c>
      <c r="J43" s="80">
        <f>+I43+'Proj. Income Stat'!J42</f>
        <v>1545498.3617702816</v>
      </c>
      <c r="K43" s="80">
        <f>+J43+'Proj. Income Stat'!K42</f>
        <v>1783189.8301339366</v>
      </c>
      <c r="L43" s="80">
        <f>+K43+'Proj. Income Stat'!L42</f>
        <v>2027466.6639241858</v>
      </c>
      <c r="M43" s="6"/>
    </row>
    <row r="44" spans="2:13" x14ac:dyDescent="0.5">
      <c r="B44" s="7" t="s">
        <v>75</v>
      </c>
      <c r="C44" s="5"/>
      <c r="D44" s="11">
        <f>SUM(D41:D43)</f>
        <v>1746000</v>
      </c>
      <c r="E44" s="36"/>
      <c r="F44" s="11">
        <f>SUM(F41:F43)</f>
        <v>1919800</v>
      </c>
      <c r="G44" s="5"/>
      <c r="H44" s="11">
        <f t="shared" ref="H44:L44" si="5">SUM(H41:H43)</f>
        <v>2114453.3199999998</v>
      </c>
      <c r="I44" s="11">
        <f t="shared" si="5"/>
        <v>2335058.9387440002</v>
      </c>
      <c r="J44" s="11">
        <f t="shared" si="5"/>
        <v>2570498.3617702816</v>
      </c>
      <c r="K44" s="11">
        <f t="shared" si="5"/>
        <v>2808189.8301339364</v>
      </c>
      <c r="L44" s="11">
        <f t="shared" si="5"/>
        <v>3052466.6639241856</v>
      </c>
      <c r="M44" s="6"/>
    </row>
    <row r="45" spans="2:13" x14ac:dyDescent="0.5">
      <c r="B45" s="7"/>
      <c r="C45" s="5"/>
      <c r="D45" s="11"/>
      <c r="E45" s="36"/>
      <c r="F45" s="11"/>
      <c r="G45" s="5"/>
      <c r="H45" s="5"/>
      <c r="I45" s="5"/>
      <c r="J45" s="5"/>
      <c r="K45" s="5"/>
      <c r="L45" s="5"/>
      <c r="M45" s="6"/>
    </row>
    <row r="46" spans="2:13" ht="14.7" thickBot="1" x14ac:dyDescent="0.55000000000000004">
      <c r="B46" s="7" t="s">
        <v>76</v>
      </c>
      <c r="C46" s="5"/>
      <c r="D46" s="29">
        <f>+D44+D38</f>
        <v>3035000</v>
      </c>
      <c r="E46" s="36"/>
      <c r="F46" s="29">
        <f>+F44+F38</f>
        <v>3184800</v>
      </c>
      <c r="G46" s="5"/>
      <c r="H46" s="29">
        <f t="shared" ref="H46:L46" si="6">+H44+H38</f>
        <v>3357906.1268409267</v>
      </c>
      <c r="I46" s="29">
        <f t="shared" si="6"/>
        <v>3560182.4295703843</v>
      </c>
      <c r="J46" s="29">
        <f t="shared" si="6"/>
        <v>3766825.1767828013</v>
      </c>
      <c r="K46" s="29">
        <f t="shared" si="6"/>
        <v>3955171.0594763644</v>
      </c>
      <c r="L46" s="29">
        <f t="shared" si="6"/>
        <v>4129760.9650751324</v>
      </c>
      <c r="M46" s="6"/>
    </row>
    <row r="47" spans="2:13" ht="13.85" customHeight="1" x14ac:dyDescent="0.5">
      <c r="B47" s="92" t="s">
        <v>145</v>
      </c>
      <c r="C47" s="5"/>
      <c r="D47" s="81">
        <f>+D24-D46</f>
        <v>0</v>
      </c>
      <c r="E47" s="36"/>
      <c r="F47" s="81">
        <f t="shared" ref="F47:L47" si="7">+F24-F46</f>
        <v>0</v>
      </c>
      <c r="G47" s="5"/>
      <c r="H47" s="81">
        <f t="shared" si="7"/>
        <v>0</v>
      </c>
      <c r="I47" s="81">
        <f t="shared" si="7"/>
        <v>0</v>
      </c>
      <c r="J47" s="81">
        <f t="shared" si="7"/>
        <v>0</v>
      </c>
      <c r="K47" s="81">
        <f t="shared" si="7"/>
        <v>0</v>
      </c>
      <c r="L47" s="81">
        <f t="shared" si="7"/>
        <v>0</v>
      </c>
      <c r="M47" s="6"/>
    </row>
    <row r="48" spans="2:13" ht="14.7" thickBot="1" x14ac:dyDescent="0.55000000000000004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6"/>
    </row>
    <row r="182" spans="4:6" x14ac:dyDescent="0.5">
      <c r="D182" s="18"/>
      <c r="E182" s="17"/>
      <c r="F182" s="17"/>
    </row>
    <row r="183" spans="4:6" x14ac:dyDescent="0.5">
      <c r="D183" s="18"/>
      <c r="E183" s="17"/>
      <c r="F183" s="17"/>
    </row>
    <row r="184" spans="4:6" x14ac:dyDescent="0.5">
      <c r="E184" s="17"/>
    </row>
    <row r="185" spans="4:6" x14ac:dyDescent="0.5">
      <c r="D185" s="18"/>
      <c r="E185" s="17"/>
      <c r="F185" s="17"/>
    </row>
    <row r="186" spans="4:6" x14ac:dyDescent="0.5">
      <c r="D186" s="18"/>
      <c r="E186" s="17"/>
      <c r="F186" s="17"/>
    </row>
    <row r="187" spans="4:6" x14ac:dyDescent="0.5">
      <c r="D187" s="18"/>
      <c r="E187" s="17"/>
      <c r="F187" s="17"/>
    </row>
    <row r="188" spans="4:6" x14ac:dyDescent="0.5">
      <c r="D188" s="18"/>
      <c r="E188" s="17"/>
      <c r="F188" s="17"/>
    </row>
    <row r="189" spans="4:6" x14ac:dyDescent="0.5">
      <c r="D189" s="18"/>
      <c r="E189" s="17"/>
      <c r="F189" s="17"/>
    </row>
    <row r="190" spans="4:6" x14ac:dyDescent="0.5">
      <c r="D190" s="18"/>
      <c r="E190" s="17"/>
      <c r="F190" s="17"/>
    </row>
    <row r="191" spans="4:6" x14ac:dyDescent="0.5">
      <c r="D191" s="18"/>
      <c r="E191" s="17"/>
      <c r="F191" s="17"/>
    </row>
    <row r="192" spans="4:6" x14ac:dyDescent="0.5">
      <c r="D192" s="18"/>
      <c r="E192" s="17"/>
      <c r="F192" s="17"/>
    </row>
    <row r="193" spans="4:6" x14ac:dyDescent="0.5">
      <c r="D193" s="18"/>
      <c r="E193" s="17"/>
      <c r="F193" s="17"/>
    </row>
    <row r="194" spans="4:6" x14ac:dyDescent="0.5">
      <c r="D194" s="18"/>
      <c r="E194" s="17"/>
      <c r="F194" s="17"/>
    </row>
    <row r="195" spans="4:6" x14ac:dyDescent="0.5">
      <c r="D195" s="18"/>
      <c r="E195" s="17"/>
      <c r="F195" s="17"/>
    </row>
    <row r="196" spans="4:6" x14ac:dyDescent="0.5">
      <c r="D196" s="18"/>
      <c r="E196" s="17"/>
      <c r="F196" s="17"/>
    </row>
    <row r="197" spans="4:6" x14ac:dyDescent="0.5">
      <c r="D197" s="18"/>
      <c r="E197" s="17"/>
      <c r="F197" s="17"/>
    </row>
    <row r="198" spans="4:6" x14ac:dyDescent="0.5">
      <c r="D198" s="18"/>
      <c r="E198" s="17"/>
      <c r="F198" s="17"/>
    </row>
    <row r="199" spans="4:6" x14ac:dyDescent="0.5">
      <c r="D199" s="18"/>
      <c r="E199" s="17"/>
      <c r="F199" s="17"/>
    </row>
    <row r="200" spans="4:6" x14ac:dyDescent="0.5">
      <c r="D200" s="18"/>
      <c r="E200" s="17"/>
      <c r="F200" s="17"/>
    </row>
    <row r="201" spans="4:6" x14ac:dyDescent="0.5">
      <c r="D201" s="18"/>
      <c r="E201" s="17"/>
      <c r="F201" s="17"/>
    </row>
    <row r="202" spans="4:6" x14ac:dyDescent="0.5">
      <c r="D202" s="18"/>
      <c r="E202" s="17"/>
      <c r="F202" s="17"/>
    </row>
    <row r="203" spans="4:6" x14ac:dyDescent="0.5">
      <c r="D203" s="18"/>
      <c r="E203" s="17"/>
      <c r="F203" s="17"/>
    </row>
    <row r="204" spans="4:6" x14ac:dyDescent="0.5">
      <c r="D204" s="18"/>
      <c r="E204" s="17"/>
      <c r="F204" s="17"/>
    </row>
    <row r="205" spans="4:6" x14ac:dyDescent="0.5">
      <c r="D205" s="18"/>
      <c r="E205" s="17"/>
      <c r="F205" s="17"/>
    </row>
    <row r="206" spans="4:6" x14ac:dyDescent="0.5">
      <c r="D206" s="18"/>
      <c r="E206" s="17"/>
      <c r="F206" s="17"/>
    </row>
    <row r="207" spans="4:6" x14ac:dyDescent="0.5">
      <c r="D207" s="18"/>
      <c r="E207" s="17"/>
      <c r="F207" s="17"/>
    </row>
    <row r="208" spans="4:6" x14ac:dyDescent="0.5">
      <c r="D208" s="18"/>
      <c r="E208" s="17"/>
      <c r="F208" s="17"/>
    </row>
    <row r="209" spans="4:6" x14ac:dyDescent="0.5">
      <c r="D209" s="18"/>
      <c r="E209" s="17"/>
      <c r="F209" s="17"/>
    </row>
    <row r="210" spans="4:6" x14ac:dyDescent="0.5">
      <c r="D210" s="18"/>
      <c r="E210" s="17"/>
      <c r="F210" s="17"/>
    </row>
    <row r="211" spans="4:6" x14ac:dyDescent="0.5">
      <c r="D211" s="18"/>
      <c r="E211" s="17"/>
      <c r="F211" s="17"/>
    </row>
    <row r="212" spans="4:6" x14ac:dyDescent="0.5">
      <c r="D212" s="18"/>
      <c r="E212" s="17"/>
      <c r="F212" s="17"/>
    </row>
    <row r="213" spans="4:6" x14ac:dyDescent="0.5">
      <c r="D213" s="18"/>
      <c r="E213" s="17"/>
      <c r="F213" s="17"/>
    </row>
    <row r="214" spans="4:6" x14ac:dyDescent="0.5">
      <c r="D214" s="18"/>
      <c r="E214" s="17"/>
      <c r="F214" s="17"/>
    </row>
    <row r="215" spans="4:6" x14ac:dyDescent="0.5">
      <c r="D215" s="18"/>
      <c r="E215" s="17"/>
      <c r="F215" s="17"/>
    </row>
    <row r="216" spans="4:6" x14ac:dyDescent="0.5">
      <c r="D216" s="17"/>
      <c r="E216" s="17"/>
      <c r="F216" s="17"/>
    </row>
    <row r="217" spans="4:6" x14ac:dyDescent="0.5">
      <c r="D217" s="17"/>
      <c r="E217" s="17"/>
      <c r="F217" s="17"/>
    </row>
    <row r="218" spans="4:6" x14ac:dyDescent="0.5">
      <c r="D218" s="17"/>
      <c r="E218" s="17"/>
      <c r="F218" s="17"/>
    </row>
    <row r="219" spans="4:6" x14ac:dyDescent="0.5">
      <c r="D219" s="17"/>
      <c r="E219" s="17"/>
      <c r="F219" s="17"/>
    </row>
    <row r="220" spans="4:6" x14ac:dyDescent="0.5">
      <c r="D220" s="17"/>
      <c r="E220" s="17"/>
      <c r="F220" s="17"/>
    </row>
    <row r="221" spans="4:6" x14ac:dyDescent="0.5">
      <c r="D221" s="17"/>
      <c r="E221" s="17"/>
      <c r="F221" s="17"/>
    </row>
    <row r="222" spans="4:6" x14ac:dyDescent="0.5">
      <c r="D222" s="17"/>
      <c r="E222" s="17"/>
      <c r="F222" s="17"/>
    </row>
    <row r="223" spans="4:6" x14ac:dyDescent="0.5">
      <c r="D223" s="17"/>
      <c r="E223" s="17"/>
      <c r="F223" s="17"/>
    </row>
    <row r="224" spans="4:6" x14ac:dyDescent="0.5">
      <c r="D224" s="17"/>
      <c r="E224" s="17"/>
      <c r="F224" s="17"/>
    </row>
    <row r="225" spans="4:6" x14ac:dyDescent="0.5">
      <c r="D225" s="17"/>
      <c r="E225" s="17"/>
      <c r="F225" s="17"/>
    </row>
    <row r="226" spans="4:6" x14ac:dyDescent="0.5">
      <c r="D226" s="17"/>
      <c r="E226" s="17"/>
      <c r="F226" s="17"/>
    </row>
    <row r="227" spans="4:6" x14ac:dyDescent="0.5">
      <c r="D227" s="17"/>
      <c r="E227" s="17"/>
      <c r="F227" s="17"/>
    </row>
    <row r="228" spans="4:6" x14ac:dyDescent="0.5">
      <c r="D228" s="17"/>
      <c r="E228" s="17"/>
      <c r="F228" s="17"/>
    </row>
    <row r="229" spans="4:6" x14ac:dyDescent="0.5">
      <c r="D229" s="17"/>
      <c r="E229" s="17"/>
      <c r="F229" s="17"/>
    </row>
    <row r="230" spans="4:6" x14ac:dyDescent="0.5">
      <c r="D230" s="17"/>
      <c r="E230" s="17"/>
      <c r="F230" s="17"/>
    </row>
    <row r="231" spans="4:6" x14ac:dyDescent="0.5">
      <c r="D231" s="17"/>
      <c r="E231" s="17"/>
      <c r="F231" s="17"/>
    </row>
    <row r="232" spans="4:6" x14ac:dyDescent="0.5">
      <c r="D232" s="17"/>
      <c r="E232" s="17"/>
      <c r="F232" s="17"/>
    </row>
    <row r="233" spans="4:6" x14ac:dyDescent="0.5">
      <c r="D233" s="17"/>
      <c r="E233" s="17"/>
      <c r="F233" s="17"/>
    </row>
    <row r="234" spans="4:6" x14ac:dyDescent="0.5">
      <c r="D234" s="17"/>
      <c r="E234" s="17"/>
      <c r="F234" s="17"/>
    </row>
    <row r="235" spans="4:6" x14ac:dyDescent="0.5">
      <c r="D235" s="17"/>
      <c r="E235" s="17"/>
      <c r="F235" s="17"/>
    </row>
    <row r="236" spans="4:6" x14ac:dyDescent="0.5">
      <c r="D236" s="17"/>
      <c r="E236" s="17"/>
      <c r="F236" s="17"/>
    </row>
    <row r="237" spans="4:6" x14ac:dyDescent="0.5">
      <c r="D237" s="17"/>
      <c r="E237" s="17"/>
      <c r="F237" s="17"/>
    </row>
    <row r="238" spans="4:6" x14ac:dyDescent="0.5">
      <c r="D238" s="17"/>
      <c r="E238" s="17"/>
      <c r="F238" s="17"/>
    </row>
    <row r="239" spans="4:6" x14ac:dyDescent="0.5">
      <c r="D239" s="17"/>
      <c r="E239" s="17"/>
      <c r="F239" s="17"/>
    </row>
    <row r="240" spans="4:6" x14ac:dyDescent="0.5">
      <c r="D240" s="17"/>
      <c r="E240" s="17"/>
      <c r="F240" s="17"/>
    </row>
    <row r="241" spans="4:6" x14ac:dyDescent="0.5">
      <c r="D241" s="17"/>
      <c r="E241" s="17"/>
      <c r="F241" s="17"/>
    </row>
    <row r="242" spans="4:6" x14ac:dyDescent="0.5">
      <c r="D242" s="17"/>
      <c r="E242" s="17"/>
      <c r="F242" s="17"/>
    </row>
    <row r="243" spans="4:6" x14ac:dyDescent="0.5">
      <c r="D243" s="17"/>
      <c r="E243" s="17"/>
      <c r="F243" s="17"/>
    </row>
    <row r="244" spans="4:6" x14ac:dyDescent="0.5">
      <c r="D244" s="17"/>
      <c r="E244" s="17"/>
      <c r="F244" s="17"/>
    </row>
    <row r="245" spans="4:6" x14ac:dyDescent="0.5">
      <c r="D245" s="17"/>
      <c r="E245" s="17"/>
      <c r="F245" s="17"/>
    </row>
    <row r="246" spans="4:6" x14ac:dyDescent="0.5">
      <c r="D246" s="17"/>
      <c r="E246" s="17"/>
      <c r="F246" s="17"/>
    </row>
    <row r="247" spans="4:6" x14ac:dyDescent="0.5">
      <c r="D247" s="17"/>
      <c r="E247" s="17"/>
      <c r="F247" s="17"/>
    </row>
    <row r="248" spans="4:6" x14ac:dyDescent="0.5">
      <c r="D248" s="17"/>
      <c r="E248" s="17"/>
      <c r="F248" s="17"/>
    </row>
    <row r="249" spans="4:6" x14ac:dyDescent="0.5">
      <c r="D249" s="17"/>
      <c r="E249" s="17"/>
      <c r="F249" s="17"/>
    </row>
    <row r="250" spans="4:6" x14ac:dyDescent="0.5">
      <c r="D250" s="17"/>
      <c r="E250" s="17"/>
      <c r="F250" s="17"/>
    </row>
    <row r="251" spans="4:6" x14ac:dyDescent="0.5">
      <c r="D251" s="17"/>
      <c r="E251" s="17"/>
      <c r="F251" s="17"/>
    </row>
    <row r="252" spans="4:6" x14ac:dyDescent="0.5">
      <c r="D252" s="17"/>
      <c r="E252" s="17"/>
      <c r="F252" s="17"/>
    </row>
    <row r="253" spans="4:6" x14ac:dyDescent="0.5">
      <c r="D253" s="17"/>
      <c r="E253" s="17"/>
      <c r="F253" s="17"/>
    </row>
    <row r="254" spans="4:6" x14ac:dyDescent="0.5">
      <c r="D254" s="17"/>
      <c r="E254" s="17"/>
      <c r="F254" s="17"/>
    </row>
    <row r="255" spans="4:6" x14ac:dyDescent="0.5">
      <c r="D255" s="17"/>
      <c r="E255" s="17"/>
      <c r="F255" s="17"/>
    </row>
    <row r="256" spans="4:6" x14ac:dyDescent="0.5">
      <c r="D256" s="17"/>
      <c r="E256" s="17"/>
      <c r="F256" s="17"/>
    </row>
    <row r="257" spans="4:6" x14ac:dyDescent="0.5">
      <c r="D257" s="17"/>
      <c r="E257" s="17"/>
      <c r="F257" s="17"/>
    </row>
    <row r="258" spans="4:6" x14ac:dyDescent="0.5">
      <c r="D258" s="17"/>
      <c r="E258" s="17"/>
      <c r="F258" s="17"/>
    </row>
    <row r="259" spans="4:6" x14ac:dyDescent="0.5">
      <c r="D259" s="17"/>
      <c r="E259" s="17"/>
      <c r="F259" s="17"/>
    </row>
    <row r="260" spans="4:6" x14ac:dyDescent="0.5">
      <c r="D260" s="17"/>
      <c r="E260" s="17"/>
      <c r="F260" s="17"/>
    </row>
    <row r="261" spans="4:6" x14ac:dyDescent="0.5">
      <c r="D261" s="17"/>
      <c r="E261" s="17"/>
      <c r="F261" s="17"/>
    </row>
    <row r="262" spans="4:6" x14ac:dyDescent="0.5">
      <c r="D262" s="17"/>
      <c r="E262" s="17"/>
      <c r="F262" s="17"/>
    </row>
    <row r="263" spans="4:6" x14ac:dyDescent="0.5">
      <c r="D263" s="17"/>
      <c r="E263" s="17"/>
      <c r="F263" s="17"/>
    </row>
    <row r="264" spans="4:6" x14ac:dyDescent="0.5">
      <c r="D264" s="17"/>
      <c r="E264" s="17"/>
      <c r="F264" s="17"/>
    </row>
    <row r="265" spans="4:6" x14ac:dyDescent="0.5">
      <c r="D265" s="17"/>
      <c r="E265" s="17"/>
      <c r="F265" s="17"/>
    </row>
    <row r="266" spans="4:6" x14ac:dyDescent="0.5">
      <c r="D266" s="17"/>
      <c r="E266" s="17"/>
      <c r="F266" s="17"/>
    </row>
    <row r="267" spans="4:6" x14ac:dyDescent="0.5">
      <c r="D267" s="17"/>
      <c r="E267" s="17"/>
      <c r="F267" s="17"/>
    </row>
    <row r="268" spans="4:6" x14ac:dyDescent="0.5">
      <c r="D268" s="17"/>
      <c r="E268" s="17"/>
      <c r="F268" s="17"/>
    </row>
    <row r="269" spans="4:6" x14ac:dyDescent="0.5">
      <c r="D269" s="17"/>
      <c r="E269" s="17"/>
      <c r="F269" s="17"/>
    </row>
    <row r="270" spans="4:6" x14ac:dyDescent="0.5">
      <c r="D270" s="17"/>
      <c r="E270" s="17"/>
      <c r="F270" s="17"/>
    </row>
    <row r="271" spans="4:6" x14ac:dyDescent="0.5">
      <c r="D271" s="17"/>
      <c r="E271" s="17"/>
      <c r="F271" s="17"/>
    </row>
    <row r="272" spans="4:6" x14ac:dyDescent="0.5">
      <c r="D272" s="17"/>
      <c r="E272" s="17"/>
      <c r="F272" s="17"/>
    </row>
    <row r="273" spans="4:6" x14ac:dyDescent="0.5">
      <c r="D273" s="17"/>
      <c r="E273" s="17"/>
      <c r="F273" s="17"/>
    </row>
    <row r="274" spans="4:6" x14ac:dyDescent="0.5">
      <c r="D274" s="17"/>
      <c r="E274" s="17"/>
      <c r="F274" s="17"/>
    </row>
    <row r="275" spans="4:6" x14ac:dyDescent="0.5">
      <c r="D275" s="17"/>
      <c r="E275" s="17"/>
      <c r="F275" s="17"/>
    </row>
    <row r="276" spans="4:6" x14ac:dyDescent="0.5">
      <c r="D276" s="17"/>
      <c r="E276" s="17"/>
      <c r="F276" s="17"/>
    </row>
    <row r="277" spans="4:6" x14ac:dyDescent="0.5">
      <c r="D277" s="17"/>
      <c r="E277" s="17"/>
      <c r="F277" s="17"/>
    </row>
    <row r="278" spans="4:6" x14ac:dyDescent="0.5">
      <c r="D278" s="17"/>
      <c r="E278" s="17"/>
      <c r="F278" s="17"/>
    </row>
    <row r="279" spans="4:6" x14ac:dyDescent="0.5">
      <c r="D279" s="17"/>
      <c r="E279" s="17"/>
      <c r="F279" s="17"/>
    </row>
    <row r="280" spans="4:6" x14ac:dyDescent="0.5">
      <c r="D280" s="17"/>
      <c r="E280" s="17"/>
      <c r="F280" s="17"/>
    </row>
    <row r="281" spans="4:6" x14ac:dyDescent="0.5">
      <c r="D281" s="17"/>
      <c r="E281" s="17"/>
      <c r="F281" s="17"/>
    </row>
    <row r="282" spans="4:6" x14ac:dyDescent="0.5">
      <c r="D282" s="17"/>
      <c r="E282" s="17"/>
      <c r="F282" s="17"/>
    </row>
    <row r="283" spans="4:6" x14ac:dyDescent="0.5">
      <c r="D283" s="17"/>
      <c r="E283" s="17"/>
      <c r="F283" s="17"/>
    </row>
    <row r="284" spans="4:6" x14ac:dyDescent="0.5">
      <c r="D284" s="17"/>
      <c r="E284" s="17"/>
      <c r="F284" s="17"/>
    </row>
    <row r="285" spans="4:6" x14ac:dyDescent="0.5">
      <c r="D285" s="17"/>
      <c r="E285" s="17"/>
      <c r="F285" s="17"/>
    </row>
    <row r="286" spans="4:6" x14ac:dyDescent="0.5">
      <c r="D286" s="17"/>
      <c r="E286" s="17"/>
      <c r="F286" s="17"/>
    </row>
    <row r="287" spans="4:6" x14ac:dyDescent="0.5">
      <c r="D287" s="17"/>
      <c r="E287" s="17"/>
      <c r="F287" s="17"/>
    </row>
    <row r="288" spans="4:6" x14ac:dyDescent="0.5">
      <c r="D288" s="17"/>
      <c r="E288" s="17"/>
      <c r="F288" s="17"/>
    </row>
    <row r="289" spans="4:6" x14ac:dyDescent="0.5">
      <c r="D289" s="17"/>
      <c r="E289" s="17"/>
      <c r="F289" s="17"/>
    </row>
    <row r="290" spans="4:6" x14ac:dyDescent="0.5">
      <c r="D290" s="17"/>
      <c r="E290" s="17"/>
      <c r="F290" s="17"/>
    </row>
    <row r="291" spans="4:6" x14ac:dyDescent="0.5">
      <c r="D291" s="17"/>
      <c r="E291" s="17"/>
      <c r="F291" s="17"/>
    </row>
    <row r="292" spans="4:6" x14ac:dyDescent="0.5">
      <c r="D292" s="17"/>
      <c r="E292" s="17"/>
      <c r="F292" s="17"/>
    </row>
    <row r="293" spans="4:6" x14ac:dyDescent="0.5">
      <c r="D293" s="17"/>
      <c r="E293" s="17"/>
      <c r="F293" s="17"/>
    </row>
    <row r="294" spans="4:6" x14ac:dyDescent="0.5">
      <c r="D294" s="17"/>
      <c r="E294" s="17"/>
      <c r="F294" s="17"/>
    </row>
    <row r="295" spans="4:6" x14ac:dyDescent="0.5">
      <c r="D295" s="17"/>
      <c r="E295" s="17"/>
      <c r="F295" s="17"/>
    </row>
    <row r="296" spans="4:6" x14ac:dyDescent="0.5">
      <c r="D296" s="17"/>
      <c r="E296" s="17"/>
      <c r="F296" s="17"/>
    </row>
    <row r="297" spans="4:6" x14ac:dyDescent="0.5">
      <c r="D297" s="17"/>
      <c r="E297" s="17"/>
      <c r="F297" s="17"/>
    </row>
    <row r="298" spans="4:6" x14ac:dyDescent="0.5">
      <c r="D298" s="17"/>
      <c r="E298" s="17"/>
      <c r="F298" s="17"/>
    </row>
    <row r="299" spans="4:6" x14ac:dyDescent="0.5">
      <c r="D299" s="17"/>
      <c r="E299" s="17"/>
      <c r="F299" s="17"/>
    </row>
    <row r="300" spans="4:6" x14ac:dyDescent="0.5">
      <c r="D300" s="17"/>
      <c r="E300" s="17"/>
      <c r="F300" s="17"/>
    </row>
    <row r="301" spans="4:6" x14ac:dyDescent="0.5">
      <c r="D301" s="17"/>
      <c r="E301" s="17"/>
      <c r="F301" s="17"/>
    </row>
    <row r="302" spans="4:6" x14ac:dyDescent="0.5">
      <c r="D302" s="17"/>
      <c r="E302" s="17"/>
      <c r="F302" s="17"/>
    </row>
    <row r="303" spans="4:6" x14ac:dyDescent="0.5">
      <c r="D303" s="17"/>
      <c r="E303" s="17"/>
      <c r="F303" s="17"/>
    </row>
    <row r="304" spans="4:6" x14ac:dyDescent="0.5">
      <c r="D304" s="17"/>
      <c r="E304" s="17"/>
      <c r="F304" s="17"/>
    </row>
    <row r="305" spans="4:6" x14ac:dyDescent="0.5">
      <c r="D305" s="17"/>
      <c r="E305" s="17"/>
      <c r="F305" s="17"/>
    </row>
    <row r="306" spans="4:6" x14ac:dyDescent="0.5">
      <c r="D306" s="17"/>
      <c r="E306" s="17"/>
      <c r="F306" s="17"/>
    </row>
    <row r="307" spans="4:6" x14ac:dyDescent="0.5">
      <c r="D307" s="17"/>
      <c r="E307" s="17"/>
      <c r="F307" s="17"/>
    </row>
    <row r="308" spans="4:6" x14ac:dyDescent="0.5">
      <c r="D308" s="17"/>
      <c r="E308" s="17"/>
      <c r="F308" s="17"/>
    </row>
    <row r="309" spans="4:6" x14ac:dyDescent="0.5">
      <c r="D309" s="17"/>
      <c r="E309" s="17"/>
      <c r="F309" s="17"/>
    </row>
    <row r="310" spans="4:6" x14ac:dyDescent="0.5">
      <c r="D310" s="17"/>
      <c r="E310" s="17"/>
      <c r="F310" s="17"/>
    </row>
    <row r="311" spans="4:6" x14ac:dyDescent="0.5">
      <c r="D311" s="17"/>
      <c r="E311" s="17"/>
      <c r="F311" s="17"/>
    </row>
    <row r="312" spans="4:6" x14ac:dyDescent="0.5">
      <c r="D312" s="17"/>
      <c r="E312" s="17"/>
      <c r="F312" s="17"/>
    </row>
    <row r="313" spans="4:6" x14ac:dyDescent="0.5">
      <c r="D313" s="17"/>
      <c r="E313" s="17"/>
      <c r="F313" s="17"/>
    </row>
    <row r="314" spans="4:6" x14ac:dyDescent="0.5">
      <c r="D314" s="17"/>
      <c r="E314" s="17"/>
      <c r="F314" s="17"/>
    </row>
    <row r="315" spans="4:6" x14ac:dyDescent="0.5">
      <c r="D315" s="17"/>
      <c r="E315" s="17"/>
      <c r="F315" s="17"/>
    </row>
    <row r="316" spans="4:6" x14ac:dyDescent="0.5">
      <c r="D316" s="17"/>
      <c r="E316" s="17"/>
      <c r="F316" s="17"/>
    </row>
    <row r="317" spans="4:6" x14ac:dyDescent="0.5">
      <c r="D317" s="17"/>
      <c r="E317" s="17"/>
      <c r="F317" s="17"/>
    </row>
    <row r="318" spans="4:6" x14ac:dyDescent="0.5">
      <c r="D318" s="17"/>
      <c r="E318" s="17"/>
      <c r="F318" s="17"/>
    </row>
    <row r="319" spans="4:6" x14ac:dyDescent="0.5">
      <c r="D319" s="17"/>
      <c r="E319" s="17"/>
      <c r="F319" s="17"/>
    </row>
    <row r="320" spans="4:6" x14ac:dyDescent="0.5">
      <c r="D320" s="17"/>
      <c r="E320" s="17"/>
      <c r="F320" s="17"/>
    </row>
    <row r="321" spans="4:6" x14ac:dyDescent="0.5">
      <c r="D321" s="17"/>
      <c r="E321" s="17"/>
      <c r="F321" s="17"/>
    </row>
    <row r="322" spans="4:6" x14ac:dyDescent="0.5">
      <c r="D322" s="17"/>
      <c r="E322" s="17"/>
      <c r="F322" s="17"/>
    </row>
    <row r="323" spans="4:6" x14ac:dyDescent="0.5">
      <c r="D323" s="17"/>
      <c r="E323" s="17"/>
      <c r="F323" s="17"/>
    </row>
    <row r="324" spans="4:6" x14ac:dyDescent="0.5">
      <c r="D324" s="17"/>
      <c r="E324" s="17"/>
      <c r="F324" s="17"/>
    </row>
    <row r="325" spans="4:6" x14ac:dyDescent="0.5">
      <c r="D325" s="17"/>
      <c r="E325" s="17"/>
      <c r="F325" s="17"/>
    </row>
    <row r="326" spans="4:6" x14ac:dyDescent="0.5">
      <c r="D326" s="17"/>
      <c r="E326" s="17"/>
      <c r="F326" s="17"/>
    </row>
    <row r="327" spans="4:6" x14ac:dyDescent="0.5">
      <c r="D327" s="17"/>
      <c r="E327" s="17"/>
      <c r="F327" s="17"/>
    </row>
    <row r="328" spans="4:6" x14ac:dyDescent="0.5">
      <c r="D328" s="17"/>
      <c r="E328" s="17"/>
      <c r="F328" s="17"/>
    </row>
    <row r="329" spans="4:6" x14ac:dyDescent="0.5">
      <c r="D329" s="17"/>
      <c r="E329" s="17"/>
      <c r="F329" s="17"/>
    </row>
    <row r="330" spans="4:6" x14ac:dyDescent="0.5">
      <c r="D330" s="17"/>
      <c r="E330" s="17"/>
      <c r="F330" s="17"/>
    </row>
    <row r="331" spans="4:6" x14ac:dyDescent="0.5">
      <c r="D331" s="17"/>
      <c r="E331" s="17"/>
      <c r="F331" s="17"/>
    </row>
    <row r="332" spans="4:6" x14ac:dyDescent="0.5">
      <c r="D332" s="17"/>
      <c r="E332" s="17"/>
      <c r="F332" s="17"/>
    </row>
    <row r="333" spans="4:6" x14ac:dyDescent="0.5">
      <c r="D333" s="17"/>
      <c r="E333" s="17"/>
      <c r="F333" s="17"/>
    </row>
    <row r="334" spans="4:6" x14ac:dyDescent="0.5">
      <c r="D334" s="17"/>
      <c r="E334" s="17"/>
      <c r="F334" s="17"/>
    </row>
    <row r="335" spans="4:6" x14ac:dyDescent="0.5">
      <c r="D335" s="17"/>
      <c r="E335" s="17"/>
      <c r="F335" s="17"/>
    </row>
    <row r="336" spans="4:6" x14ac:dyDescent="0.5">
      <c r="D336" s="17"/>
      <c r="E336" s="17"/>
      <c r="F336" s="17"/>
    </row>
    <row r="337" spans="4:6" x14ac:dyDescent="0.5">
      <c r="D337" s="17"/>
      <c r="E337" s="17"/>
      <c r="F337" s="17"/>
    </row>
    <row r="338" spans="4:6" x14ac:dyDescent="0.5">
      <c r="D338" s="17"/>
      <c r="E338" s="17"/>
      <c r="F338" s="17"/>
    </row>
    <row r="339" spans="4:6" x14ac:dyDescent="0.5">
      <c r="D339" s="17"/>
      <c r="E339" s="17"/>
      <c r="F339" s="17"/>
    </row>
    <row r="340" spans="4:6" x14ac:dyDescent="0.5">
      <c r="D340" s="17"/>
      <c r="E340" s="17"/>
      <c r="F340" s="17"/>
    </row>
    <row r="341" spans="4:6" x14ac:dyDescent="0.5">
      <c r="D341" s="17"/>
      <c r="E341" s="17"/>
      <c r="F341" s="17"/>
    </row>
    <row r="342" spans="4:6" x14ac:dyDescent="0.5">
      <c r="D342" s="17"/>
      <c r="E342" s="17"/>
      <c r="F342" s="17"/>
    </row>
    <row r="343" spans="4:6" x14ac:dyDescent="0.5">
      <c r="D343" s="17"/>
      <c r="E343" s="17"/>
      <c r="F343" s="17"/>
    </row>
    <row r="344" spans="4:6" x14ac:dyDescent="0.5">
      <c r="D344" s="17"/>
      <c r="E344" s="17"/>
      <c r="F344" s="17"/>
    </row>
    <row r="345" spans="4:6" x14ac:dyDescent="0.5">
      <c r="D345" s="17"/>
      <c r="E345" s="17"/>
      <c r="F345" s="17"/>
    </row>
    <row r="346" spans="4:6" x14ac:dyDescent="0.5">
      <c r="D346" s="17"/>
      <c r="E346" s="17"/>
      <c r="F346" s="17"/>
    </row>
    <row r="347" spans="4:6" x14ac:dyDescent="0.5">
      <c r="D347" s="17"/>
      <c r="E347" s="17"/>
      <c r="F347" s="17"/>
    </row>
    <row r="348" spans="4:6" x14ac:dyDescent="0.5">
      <c r="D348" s="17"/>
      <c r="E348" s="17"/>
      <c r="F348" s="17"/>
    </row>
    <row r="349" spans="4:6" x14ac:dyDescent="0.5">
      <c r="D349" s="17"/>
      <c r="E349" s="17"/>
      <c r="F349" s="17"/>
    </row>
    <row r="350" spans="4:6" x14ac:dyDescent="0.5">
      <c r="D350" s="17"/>
      <c r="E350" s="17"/>
      <c r="F350" s="17"/>
    </row>
    <row r="351" spans="4:6" x14ac:dyDescent="0.5">
      <c r="D351" s="17"/>
      <c r="E351" s="17"/>
      <c r="F351" s="17"/>
    </row>
    <row r="352" spans="4:6" x14ac:dyDescent="0.5">
      <c r="D352" s="17"/>
      <c r="E352" s="17"/>
      <c r="F352" s="17"/>
    </row>
    <row r="353" spans="4:6" x14ac:dyDescent="0.5">
      <c r="D353" s="17"/>
      <c r="E353" s="17"/>
      <c r="F353" s="17"/>
    </row>
    <row r="354" spans="4:6" x14ac:dyDescent="0.5">
      <c r="D354" s="17"/>
      <c r="E354" s="17"/>
      <c r="F354" s="17"/>
    </row>
    <row r="355" spans="4:6" x14ac:dyDescent="0.5">
      <c r="D355" s="17"/>
      <c r="E355" s="17"/>
      <c r="F355" s="17"/>
    </row>
    <row r="356" spans="4:6" x14ac:dyDescent="0.5">
      <c r="D356" s="17"/>
      <c r="E356" s="17"/>
      <c r="F356" s="17"/>
    </row>
    <row r="357" spans="4:6" x14ac:dyDescent="0.5">
      <c r="D357" s="17"/>
      <c r="E357" s="17"/>
      <c r="F357" s="17"/>
    </row>
    <row r="358" spans="4:6" x14ac:dyDescent="0.5">
      <c r="D358" s="17"/>
      <c r="E358" s="17"/>
      <c r="F358" s="17"/>
    </row>
    <row r="359" spans="4:6" x14ac:dyDescent="0.5">
      <c r="D359" s="17"/>
      <c r="E359" s="17"/>
      <c r="F359" s="17"/>
    </row>
    <row r="360" spans="4:6" x14ac:dyDescent="0.5">
      <c r="D360" s="17"/>
      <c r="E360" s="17"/>
      <c r="F360" s="17"/>
    </row>
    <row r="361" spans="4:6" x14ac:dyDescent="0.5">
      <c r="D361" s="17"/>
      <c r="E361" s="17"/>
      <c r="F361" s="17"/>
    </row>
    <row r="362" spans="4:6" x14ac:dyDescent="0.5">
      <c r="D362" s="17"/>
      <c r="E362" s="17"/>
      <c r="F362" s="17"/>
    </row>
    <row r="363" spans="4:6" x14ac:dyDescent="0.5">
      <c r="D363" s="17"/>
      <c r="E363" s="17"/>
      <c r="F363" s="17"/>
    </row>
    <row r="364" spans="4:6" x14ac:dyDescent="0.5">
      <c r="D364" s="17"/>
      <c r="E364" s="17"/>
      <c r="F364" s="17"/>
    </row>
    <row r="365" spans="4:6" x14ac:dyDescent="0.5">
      <c r="D365" s="17"/>
      <c r="E365" s="17"/>
      <c r="F365" s="17"/>
    </row>
    <row r="366" spans="4:6" x14ac:dyDescent="0.5">
      <c r="D366" s="17"/>
      <c r="E366" s="17"/>
      <c r="F366" s="17"/>
    </row>
    <row r="367" spans="4:6" x14ac:dyDescent="0.5">
      <c r="D367" s="17"/>
      <c r="E367" s="17"/>
      <c r="F367" s="17"/>
    </row>
    <row r="368" spans="4:6" x14ac:dyDescent="0.5">
      <c r="D368" s="17"/>
      <c r="E368" s="17"/>
      <c r="F368" s="17"/>
    </row>
    <row r="369" spans="4:6" x14ac:dyDescent="0.5">
      <c r="D369" s="17"/>
      <c r="E369" s="17"/>
      <c r="F369" s="17"/>
    </row>
    <row r="370" spans="4:6" x14ac:dyDescent="0.5">
      <c r="D370" s="17"/>
      <c r="E370" s="17"/>
      <c r="F370" s="17"/>
    </row>
    <row r="371" spans="4:6" x14ac:dyDescent="0.5">
      <c r="D371" s="17"/>
      <c r="E371" s="17"/>
      <c r="F371" s="17"/>
    </row>
    <row r="372" spans="4:6" x14ac:dyDescent="0.5">
      <c r="D372" s="17"/>
      <c r="E372" s="17"/>
      <c r="F372" s="17"/>
    </row>
    <row r="373" spans="4:6" x14ac:dyDescent="0.5">
      <c r="D373" s="17"/>
      <c r="E373" s="17"/>
      <c r="F373" s="17"/>
    </row>
    <row r="374" spans="4:6" x14ac:dyDescent="0.5">
      <c r="D374" s="17"/>
      <c r="E374" s="17"/>
      <c r="F374" s="17"/>
    </row>
    <row r="375" spans="4:6" x14ac:dyDescent="0.5">
      <c r="D375" s="17"/>
      <c r="E375" s="17"/>
      <c r="F375" s="17"/>
    </row>
    <row r="376" spans="4:6" x14ac:dyDescent="0.5">
      <c r="D376" s="17"/>
      <c r="E376" s="17"/>
      <c r="F376" s="17"/>
    </row>
    <row r="377" spans="4:6" x14ac:dyDescent="0.5">
      <c r="D377" s="17"/>
      <c r="E377" s="17"/>
      <c r="F377" s="17"/>
    </row>
    <row r="378" spans="4:6" x14ac:dyDescent="0.5">
      <c r="D378" s="17"/>
      <c r="E378" s="17"/>
      <c r="F378" s="17"/>
    </row>
    <row r="379" spans="4:6" x14ac:dyDescent="0.5">
      <c r="D379" s="17"/>
      <c r="E379" s="17"/>
      <c r="F379" s="17"/>
    </row>
    <row r="380" spans="4:6" x14ac:dyDescent="0.5">
      <c r="D380" s="17"/>
      <c r="E380" s="17"/>
      <c r="F380" s="17"/>
    </row>
    <row r="381" spans="4:6" x14ac:dyDescent="0.5">
      <c r="D381" s="17"/>
      <c r="E381" s="17"/>
      <c r="F381" s="17"/>
    </row>
    <row r="382" spans="4:6" x14ac:dyDescent="0.5">
      <c r="D382" s="17"/>
      <c r="E382" s="17"/>
      <c r="F382" s="17"/>
    </row>
    <row r="383" spans="4:6" x14ac:dyDescent="0.5">
      <c r="D383" s="17"/>
      <c r="E383" s="17"/>
      <c r="F383" s="17"/>
    </row>
    <row r="384" spans="4:6" x14ac:dyDescent="0.5">
      <c r="D384" s="17"/>
      <c r="E384" s="17"/>
      <c r="F384" s="17"/>
    </row>
    <row r="385" spans="4:6" x14ac:dyDescent="0.5">
      <c r="D385" s="17"/>
      <c r="E385" s="17"/>
      <c r="F385" s="17"/>
    </row>
    <row r="386" spans="4:6" x14ac:dyDescent="0.5">
      <c r="D386" s="17"/>
      <c r="E386" s="17"/>
      <c r="F386" s="17"/>
    </row>
    <row r="387" spans="4:6" x14ac:dyDescent="0.5">
      <c r="D387" s="17"/>
      <c r="E387" s="17"/>
      <c r="F387" s="17"/>
    </row>
    <row r="388" spans="4:6" x14ac:dyDescent="0.5">
      <c r="D388" s="17"/>
      <c r="E388" s="17"/>
      <c r="F388" s="17"/>
    </row>
    <row r="389" spans="4:6" x14ac:dyDescent="0.5">
      <c r="D389" s="17"/>
      <c r="E389" s="17"/>
      <c r="F389" s="17"/>
    </row>
    <row r="390" spans="4:6" x14ac:dyDescent="0.5">
      <c r="D390" s="17"/>
      <c r="E390" s="17"/>
      <c r="F390" s="17"/>
    </row>
    <row r="391" spans="4:6" x14ac:dyDescent="0.5">
      <c r="D391" s="17"/>
      <c r="E391" s="17"/>
      <c r="F391" s="17"/>
    </row>
    <row r="392" spans="4:6" x14ac:dyDescent="0.5">
      <c r="D392" s="17"/>
      <c r="E392" s="17"/>
      <c r="F392" s="17"/>
    </row>
    <row r="393" spans="4:6" x14ac:dyDescent="0.5">
      <c r="D393" s="17"/>
      <c r="E393" s="17"/>
      <c r="F393" s="17"/>
    </row>
    <row r="394" spans="4:6" x14ac:dyDescent="0.5">
      <c r="D394" s="17"/>
      <c r="E394" s="17"/>
      <c r="F394" s="17"/>
    </row>
    <row r="395" spans="4:6" x14ac:dyDescent="0.5">
      <c r="D395" s="17"/>
      <c r="E395" s="17"/>
      <c r="F395" s="17"/>
    </row>
    <row r="396" spans="4:6" x14ac:dyDescent="0.5">
      <c r="D396" s="17"/>
      <c r="E396" s="17"/>
      <c r="F396" s="17"/>
    </row>
    <row r="397" spans="4:6" x14ac:dyDescent="0.5">
      <c r="D397" s="17"/>
      <c r="E397" s="17"/>
      <c r="F397" s="17"/>
    </row>
    <row r="398" spans="4:6" x14ac:dyDescent="0.5">
      <c r="D398" s="17"/>
      <c r="E398" s="17"/>
      <c r="F398" s="17"/>
    </row>
    <row r="399" spans="4:6" x14ac:dyDescent="0.5">
      <c r="D399" s="17"/>
      <c r="E399" s="17"/>
      <c r="F399" s="17"/>
    </row>
    <row r="400" spans="4:6" x14ac:dyDescent="0.5">
      <c r="D400" s="17"/>
      <c r="E400" s="17"/>
      <c r="F400" s="17"/>
    </row>
    <row r="401" spans="4:6" x14ac:dyDescent="0.5">
      <c r="D401" s="17"/>
      <c r="E401" s="17"/>
      <c r="F401" s="17"/>
    </row>
    <row r="402" spans="4:6" x14ac:dyDescent="0.5">
      <c r="D402" s="17"/>
      <c r="E402" s="17"/>
      <c r="F402" s="17"/>
    </row>
    <row r="403" spans="4:6" x14ac:dyDescent="0.5">
      <c r="D403" s="17"/>
      <c r="E403" s="17"/>
      <c r="F403" s="17"/>
    </row>
    <row r="404" spans="4:6" x14ac:dyDescent="0.5">
      <c r="D404" s="17"/>
      <c r="E404" s="17"/>
      <c r="F404" s="17"/>
    </row>
    <row r="405" spans="4:6" x14ac:dyDescent="0.5">
      <c r="D405" s="17"/>
      <c r="E405" s="17"/>
      <c r="F405" s="17"/>
    </row>
    <row r="406" spans="4:6" x14ac:dyDescent="0.5">
      <c r="D406" s="17"/>
      <c r="E406" s="17"/>
      <c r="F406" s="17"/>
    </row>
    <row r="407" spans="4:6" x14ac:dyDescent="0.5">
      <c r="D407" s="17"/>
      <c r="E407" s="17"/>
      <c r="F407" s="17"/>
    </row>
    <row r="408" spans="4:6" x14ac:dyDescent="0.5">
      <c r="D408" s="17"/>
      <c r="E408" s="17"/>
      <c r="F408" s="17"/>
    </row>
    <row r="409" spans="4:6" x14ac:dyDescent="0.5">
      <c r="D409" s="17"/>
      <c r="E409" s="17"/>
      <c r="F409" s="17"/>
    </row>
    <row r="410" spans="4:6" x14ac:dyDescent="0.5">
      <c r="D410" s="17"/>
      <c r="E410" s="17"/>
      <c r="F410" s="17"/>
    </row>
    <row r="411" spans="4:6" x14ac:dyDescent="0.5">
      <c r="D411" s="17"/>
      <c r="E411" s="17"/>
      <c r="F411" s="17"/>
    </row>
    <row r="412" spans="4:6" x14ac:dyDescent="0.5">
      <c r="D412" s="17"/>
      <c r="E412" s="17"/>
      <c r="F412" s="17"/>
    </row>
    <row r="413" spans="4:6" x14ac:dyDescent="0.5">
      <c r="D413" s="17"/>
      <c r="E413" s="17"/>
      <c r="F413" s="17"/>
    </row>
    <row r="414" spans="4:6" x14ac:dyDescent="0.5">
      <c r="D414" s="17"/>
      <c r="E414" s="17"/>
      <c r="F414" s="17"/>
    </row>
    <row r="415" spans="4:6" x14ac:dyDescent="0.5">
      <c r="D415" s="17"/>
      <c r="E415" s="17"/>
      <c r="F415" s="17"/>
    </row>
    <row r="416" spans="4:6" x14ac:dyDescent="0.5">
      <c r="D416" s="17"/>
      <c r="E416" s="17"/>
      <c r="F416" s="17"/>
    </row>
    <row r="417" spans="4:6" x14ac:dyDescent="0.5">
      <c r="D417" s="17"/>
      <c r="E417" s="17"/>
      <c r="F417" s="17"/>
    </row>
    <row r="418" spans="4:6" x14ac:dyDescent="0.5">
      <c r="D418" s="17"/>
      <c r="E418" s="17"/>
      <c r="F418" s="17"/>
    </row>
    <row r="419" spans="4:6" x14ac:dyDescent="0.5">
      <c r="D419" s="17"/>
      <c r="E419" s="17"/>
      <c r="F419" s="17"/>
    </row>
    <row r="420" spans="4:6" x14ac:dyDescent="0.5">
      <c r="D420" s="17"/>
      <c r="E420" s="17"/>
      <c r="F420" s="17"/>
    </row>
    <row r="421" spans="4:6" x14ac:dyDescent="0.5">
      <c r="D421" s="17"/>
      <c r="E421" s="17"/>
      <c r="F421" s="17"/>
    </row>
    <row r="422" spans="4:6" x14ac:dyDescent="0.5">
      <c r="D422" s="17"/>
      <c r="E422" s="17"/>
      <c r="F422" s="17"/>
    </row>
    <row r="423" spans="4:6" x14ac:dyDescent="0.5">
      <c r="D423" s="17"/>
      <c r="E423" s="17"/>
      <c r="F423" s="17"/>
    </row>
    <row r="424" spans="4:6" x14ac:dyDescent="0.5">
      <c r="D424" s="17"/>
      <c r="E424" s="17"/>
      <c r="F424" s="17"/>
    </row>
    <row r="425" spans="4:6" x14ac:dyDescent="0.5">
      <c r="D425" s="17"/>
      <c r="E425" s="17"/>
      <c r="F425" s="17"/>
    </row>
    <row r="426" spans="4:6" x14ac:dyDescent="0.5">
      <c r="D426" s="17"/>
      <c r="E426" s="17"/>
      <c r="F426" s="17"/>
    </row>
    <row r="427" spans="4:6" x14ac:dyDescent="0.5">
      <c r="D427" s="17"/>
      <c r="E427" s="17"/>
      <c r="F427" s="17"/>
    </row>
    <row r="428" spans="4:6" x14ac:dyDescent="0.5">
      <c r="D428" s="17"/>
      <c r="E428" s="17"/>
      <c r="F428" s="17"/>
    </row>
    <row r="429" spans="4:6" x14ac:dyDescent="0.5">
      <c r="D429" s="17"/>
      <c r="E429" s="17"/>
      <c r="F429" s="17"/>
    </row>
    <row r="430" spans="4:6" x14ac:dyDescent="0.5">
      <c r="D430" s="17"/>
      <c r="E430" s="17"/>
      <c r="F430" s="17"/>
    </row>
    <row r="431" spans="4:6" x14ac:dyDescent="0.5">
      <c r="D431" s="17"/>
      <c r="E431" s="17"/>
      <c r="F431" s="17"/>
    </row>
    <row r="432" spans="4:6" x14ac:dyDescent="0.5">
      <c r="D432" s="17"/>
      <c r="E432" s="17"/>
      <c r="F432" s="17"/>
    </row>
    <row r="433" spans="4:6" x14ac:dyDescent="0.5">
      <c r="D433" s="17"/>
      <c r="E433" s="17"/>
      <c r="F433" s="17"/>
    </row>
    <row r="434" spans="4:6" x14ac:dyDescent="0.5">
      <c r="D434" s="17"/>
      <c r="E434" s="17"/>
      <c r="F434" s="17"/>
    </row>
    <row r="435" spans="4:6" x14ac:dyDescent="0.5">
      <c r="D435" s="17"/>
      <c r="E435" s="17"/>
      <c r="F435" s="17"/>
    </row>
    <row r="436" spans="4:6" x14ac:dyDescent="0.5">
      <c r="D436" s="17"/>
      <c r="E436" s="17"/>
      <c r="F436" s="17"/>
    </row>
    <row r="437" spans="4:6" x14ac:dyDescent="0.5">
      <c r="D437" s="17"/>
      <c r="E437" s="17"/>
      <c r="F437" s="17"/>
    </row>
    <row r="438" spans="4:6" x14ac:dyDescent="0.5">
      <c r="D438" s="17"/>
      <c r="E438" s="17"/>
      <c r="F438" s="17"/>
    </row>
    <row r="439" spans="4:6" x14ac:dyDescent="0.5">
      <c r="D439" s="17"/>
      <c r="E439" s="17"/>
      <c r="F439" s="17"/>
    </row>
    <row r="440" spans="4:6" x14ac:dyDescent="0.5">
      <c r="D440" s="17"/>
      <c r="E440" s="17"/>
      <c r="F440" s="17"/>
    </row>
    <row r="441" spans="4:6" x14ac:dyDescent="0.5">
      <c r="D441" s="17"/>
      <c r="E441" s="17"/>
      <c r="F441" s="17"/>
    </row>
    <row r="442" spans="4:6" x14ac:dyDescent="0.5">
      <c r="D442" s="17"/>
      <c r="E442" s="17"/>
      <c r="F442" s="17"/>
    </row>
    <row r="443" spans="4:6" x14ac:dyDescent="0.5">
      <c r="D443" s="17"/>
      <c r="E443" s="17"/>
      <c r="F443" s="17"/>
    </row>
    <row r="444" spans="4:6" x14ac:dyDescent="0.5">
      <c r="D444" s="17"/>
      <c r="E444" s="17"/>
      <c r="F444" s="17"/>
    </row>
    <row r="445" spans="4:6" x14ac:dyDescent="0.5">
      <c r="D445" s="17"/>
      <c r="E445" s="17"/>
      <c r="F445" s="17"/>
    </row>
    <row r="446" spans="4:6" x14ac:dyDescent="0.5">
      <c r="D446" s="17"/>
      <c r="E446" s="17"/>
      <c r="F446" s="17"/>
    </row>
    <row r="447" spans="4:6" x14ac:dyDescent="0.5">
      <c r="D447" s="17"/>
      <c r="E447" s="17"/>
      <c r="F447" s="17"/>
    </row>
    <row r="448" spans="4:6" x14ac:dyDescent="0.5">
      <c r="D448" s="17"/>
      <c r="E448" s="17"/>
      <c r="F448" s="17"/>
    </row>
    <row r="449" spans="4:6" x14ac:dyDescent="0.5">
      <c r="D449" s="17"/>
      <c r="E449" s="17"/>
      <c r="F449" s="17"/>
    </row>
    <row r="450" spans="4:6" x14ac:dyDescent="0.5">
      <c r="D450" s="17"/>
      <c r="E450" s="17"/>
      <c r="F450" s="17"/>
    </row>
    <row r="451" spans="4:6" x14ac:dyDescent="0.5">
      <c r="D451" s="17"/>
      <c r="E451" s="17"/>
      <c r="F451" s="17"/>
    </row>
    <row r="452" spans="4:6" x14ac:dyDescent="0.5">
      <c r="D452" s="17"/>
      <c r="E452" s="17"/>
      <c r="F452" s="17"/>
    </row>
    <row r="453" spans="4:6" x14ac:dyDescent="0.5">
      <c r="D453" s="17"/>
      <c r="E453" s="17"/>
      <c r="F453" s="17"/>
    </row>
    <row r="454" spans="4:6" x14ac:dyDescent="0.5">
      <c r="D454" s="17"/>
      <c r="E454" s="17"/>
      <c r="F454" s="17"/>
    </row>
    <row r="455" spans="4:6" x14ac:dyDescent="0.5">
      <c r="D455" s="17"/>
      <c r="E455" s="17"/>
      <c r="F455" s="17"/>
    </row>
    <row r="456" spans="4:6" x14ac:dyDescent="0.5">
      <c r="D456" s="17"/>
      <c r="E456" s="17"/>
      <c r="F456" s="17"/>
    </row>
    <row r="457" spans="4:6" x14ac:dyDescent="0.5">
      <c r="D457" s="17"/>
      <c r="E457" s="17"/>
      <c r="F457" s="17"/>
    </row>
    <row r="458" spans="4:6" x14ac:dyDescent="0.5">
      <c r="D458" s="17"/>
      <c r="E458" s="17"/>
      <c r="F458" s="17"/>
    </row>
    <row r="459" spans="4:6" x14ac:dyDescent="0.5">
      <c r="D459" s="17"/>
      <c r="E459" s="17"/>
      <c r="F459" s="17"/>
    </row>
    <row r="460" spans="4:6" x14ac:dyDescent="0.5">
      <c r="D460" s="17"/>
      <c r="E460" s="17"/>
      <c r="F460" s="17"/>
    </row>
    <row r="461" spans="4:6" x14ac:dyDescent="0.5">
      <c r="D461" s="17"/>
      <c r="E461" s="17"/>
      <c r="F461" s="17"/>
    </row>
    <row r="462" spans="4:6" x14ac:dyDescent="0.5">
      <c r="D462" s="17"/>
      <c r="E462" s="17"/>
      <c r="F462" s="17"/>
    </row>
    <row r="463" spans="4:6" x14ac:dyDescent="0.5">
      <c r="D463" s="17"/>
      <c r="E463" s="17"/>
      <c r="F463" s="17"/>
    </row>
    <row r="464" spans="4:6" x14ac:dyDescent="0.5">
      <c r="D464" s="17"/>
      <c r="E464" s="17"/>
      <c r="F464" s="17"/>
    </row>
    <row r="465" spans="4:6" x14ac:dyDescent="0.5">
      <c r="D465" s="17"/>
      <c r="E465" s="17"/>
      <c r="F465" s="17"/>
    </row>
    <row r="466" spans="4:6" x14ac:dyDescent="0.5">
      <c r="D466" s="17"/>
      <c r="E466" s="17"/>
      <c r="F466" s="17"/>
    </row>
    <row r="467" spans="4:6" x14ac:dyDescent="0.5">
      <c r="D467" s="17"/>
      <c r="E467" s="17"/>
      <c r="F467" s="17"/>
    </row>
    <row r="468" spans="4:6" x14ac:dyDescent="0.5">
      <c r="D468" s="17"/>
      <c r="E468" s="17"/>
      <c r="F468" s="17"/>
    </row>
    <row r="469" spans="4:6" x14ac:dyDescent="0.5">
      <c r="D469" s="17"/>
      <c r="E469" s="17"/>
      <c r="F469" s="17"/>
    </row>
    <row r="470" spans="4:6" x14ac:dyDescent="0.5">
      <c r="D470" s="17"/>
      <c r="E470" s="17"/>
      <c r="F470" s="17"/>
    </row>
    <row r="471" spans="4:6" x14ac:dyDescent="0.5">
      <c r="D471" s="17"/>
      <c r="E471" s="17"/>
      <c r="F471" s="17"/>
    </row>
    <row r="472" spans="4:6" x14ac:dyDescent="0.5">
      <c r="D472" s="17"/>
      <c r="E472" s="17"/>
      <c r="F472" s="17"/>
    </row>
    <row r="473" spans="4:6" x14ac:dyDescent="0.5">
      <c r="D473" s="17"/>
      <c r="E473" s="17"/>
      <c r="F473" s="17"/>
    </row>
    <row r="474" spans="4:6" x14ac:dyDescent="0.5">
      <c r="D474" s="17"/>
      <c r="E474" s="17"/>
      <c r="F474" s="17"/>
    </row>
    <row r="475" spans="4:6" x14ac:dyDescent="0.5">
      <c r="D475" s="17"/>
      <c r="E475" s="17"/>
      <c r="F475" s="17"/>
    </row>
    <row r="476" spans="4:6" x14ac:dyDescent="0.5">
      <c r="D476" s="17"/>
      <c r="E476" s="17"/>
      <c r="F476" s="17"/>
    </row>
    <row r="477" spans="4:6" x14ac:dyDescent="0.5">
      <c r="D477" s="17"/>
      <c r="E477" s="17"/>
      <c r="F477" s="17"/>
    </row>
    <row r="478" spans="4:6" x14ac:dyDescent="0.5">
      <c r="D478" s="17"/>
      <c r="E478" s="17"/>
      <c r="F478" s="17"/>
    </row>
    <row r="479" spans="4:6" x14ac:dyDescent="0.5">
      <c r="D479" s="17"/>
      <c r="E479" s="17"/>
      <c r="F479" s="17"/>
    </row>
    <row r="480" spans="4:6" x14ac:dyDescent="0.5">
      <c r="D480" s="17"/>
      <c r="E480" s="17"/>
      <c r="F480" s="17"/>
    </row>
    <row r="481" spans="4:6" x14ac:dyDescent="0.5">
      <c r="D481" s="17"/>
      <c r="E481" s="17"/>
      <c r="F481" s="17"/>
    </row>
    <row r="482" spans="4:6" x14ac:dyDescent="0.5">
      <c r="D482" s="17"/>
      <c r="E482" s="17"/>
      <c r="F482" s="17"/>
    </row>
    <row r="483" spans="4:6" x14ac:dyDescent="0.5">
      <c r="D483" s="17"/>
      <c r="E483" s="17"/>
      <c r="F483" s="17"/>
    </row>
    <row r="484" spans="4:6" x14ac:dyDescent="0.5">
      <c r="D484" s="17"/>
      <c r="E484" s="17"/>
      <c r="F484" s="17"/>
    </row>
    <row r="485" spans="4:6" x14ac:dyDescent="0.5">
      <c r="D485" s="17"/>
      <c r="E485" s="17"/>
      <c r="F485" s="17"/>
    </row>
    <row r="486" spans="4:6" x14ac:dyDescent="0.5">
      <c r="D486" s="17"/>
      <c r="E486" s="17"/>
      <c r="F486" s="17"/>
    </row>
    <row r="487" spans="4:6" x14ac:dyDescent="0.5">
      <c r="D487" s="17"/>
      <c r="E487" s="17"/>
      <c r="F487" s="17"/>
    </row>
    <row r="488" spans="4:6" x14ac:dyDescent="0.5">
      <c r="D488" s="17"/>
      <c r="E488" s="17"/>
      <c r="F488" s="17"/>
    </row>
    <row r="489" spans="4:6" x14ac:dyDescent="0.5">
      <c r="D489" s="17"/>
      <c r="E489" s="17"/>
      <c r="F489" s="17"/>
    </row>
    <row r="490" spans="4:6" x14ac:dyDescent="0.5">
      <c r="D490" s="17"/>
      <c r="E490" s="17"/>
      <c r="F490" s="17"/>
    </row>
    <row r="491" spans="4:6" x14ac:dyDescent="0.5">
      <c r="D491" s="17"/>
      <c r="E491" s="17"/>
      <c r="F491" s="17"/>
    </row>
    <row r="492" spans="4:6" x14ac:dyDescent="0.5">
      <c r="D492" s="17"/>
      <c r="E492" s="17"/>
      <c r="F492" s="17"/>
    </row>
    <row r="493" spans="4:6" x14ac:dyDescent="0.5">
      <c r="D493" s="17"/>
      <c r="E493" s="17"/>
      <c r="F493" s="17"/>
    </row>
    <row r="494" spans="4:6" x14ac:dyDescent="0.5">
      <c r="D494" s="17"/>
      <c r="E494" s="17"/>
      <c r="F494" s="17"/>
    </row>
    <row r="495" spans="4:6" x14ac:dyDescent="0.5">
      <c r="D495" s="17"/>
      <c r="E495" s="17"/>
      <c r="F495" s="17"/>
    </row>
    <row r="496" spans="4:6" x14ac:dyDescent="0.5">
      <c r="D496" s="17"/>
      <c r="E496" s="17"/>
      <c r="F496" s="17"/>
    </row>
    <row r="497" spans="4:6" x14ac:dyDescent="0.5">
      <c r="D497" s="17"/>
      <c r="E497" s="17"/>
      <c r="F497" s="17"/>
    </row>
    <row r="498" spans="4:6" x14ac:dyDescent="0.5">
      <c r="D498" s="17"/>
      <c r="E498" s="17"/>
      <c r="F498" s="17"/>
    </row>
    <row r="499" spans="4:6" x14ac:dyDescent="0.5">
      <c r="D499" s="17"/>
      <c r="E499" s="17"/>
      <c r="F499" s="17"/>
    </row>
    <row r="500" spans="4:6" x14ac:dyDescent="0.5">
      <c r="D500" s="17"/>
      <c r="E500" s="17"/>
      <c r="F500" s="17"/>
    </row>
    <row r="501" spans="4:6" x14ac:dyDescent="0.5">
      <c r="D501" s="17"/>
      <c r="E501" s="17"/>
      <c r="F501" s="17"/>
    </row>
    <row r="502" spans="4:6" x14ac:dyDescent="0.5">
      <c r="D502" s="17"/>
      <c r="E502" s="17"/>
      <c r="F502" s="17"/>
    </row>
    <row r="503" spans="4:6" x14ac:dyDescent="0.5">
      <c r="D503" s="17"/>
      <c r="E503" s="17"/>
      <c r="F503" s="17"/>
    </row>
    <row r="504" spans="4:6" x14ac:dyDescent="0.5">
      <c r="D504" s="17"/>
      <c r="E504" s="17"/>
      <c r="F504" s="17"/>
    </row>
    <row r="505" spans="4:6" x14ac:dyDescent="0.5">
      <c r="D505" s="17"/>
      <c r="E505" s="17"/>
      <c r="F505" s="17"/>
    </row>
    <row r="506" spans="4:6" x14ac:dyDescent="0.5">
      <c r="D506" s="17"/>
      <c r="E506" s="17"/>
      <c r="F506" s="17"/>
    </row>
    <row r="507" spans="4:6" x14ac:dyDescent="0.5">
      <c r="D507" s="17"/>
      <c r="E507" s="17"/>
      <c r="F507" s="17"/>
    </row>
    <row r="508" spans="4:6" x14ac:dyDescent="0.5">
      <c r="D508" s="17"/>
      <c r="E508" s="17"/>
      <c r="F508" s="17"/>
    </row>
    <row r="509" spans="4:6" x14ac:dyDescent="0.5">
      <c r="D509" s="17"/>
      <c r="E509" s="17"/>
      <c r="F509" s="17"/>
    </row>
    <row r="510" spans="4:6" x14ac:dyDescent="0.5">
      <c r="D510" s="17"/>
      <c r="E510" s="17"/>
      <c r="F510" s="17"/>
    </row>
    <row r="511" spans="4:6" x14ac:dyDescent="0.5">
      <c r="D511" s="17"/>
      <c r="E511" s="17"/>
      <c r="F511" s="17"/>
    </row>
    <row r="512" spans="4:6" x14ac:dyDescent="0.5">
      <c r="D512" s="17"/>
      <c r="E512" s="17"/>
      <c r="F512" s="17"/>
    </row>
    <row r="513" spans="4:6" x14ac:dyDescent="0.5">
      <c r="D513" s="17"/>
      <c r="E513" s="17"/>
      <c r="F513" s="17"/>
    </row>
    <row r="514" spans="4:6" x14ac:dyDescent="0.5">
      <c r="D514" s="17"/>
      <c r="E514" s="17"/>
      <c r="F514" s="17"/>
    </row>
    <row r="515" spans="4:6" x14ac:dyDescent="0.5">
      <c r="D515" s="17"/>
      <c r="E515" s="17"/>
      <c r="F515" s="17"/>
    </row>
    <row r="516" spans="4:6" x14ac:dyDescent="0.5">
      <c r="D516" s="17"/>
      <c r="E516" s="17"/>
      <c r="F516" s="17"/>
    </row>
    <row r="517" spans="4:6" x14ac:dyDescent="0.5">
      <c r="D517" s="17"/>
      <c r="E517" s="17"/>
      <c r="F517" s="17"/>
    </row>
    <row r="518" spans="4:6" x14ac:dyDescent="0.5">
      <c r="D518" s="17"/>
      <c r="E518" s="17"/>
      <c r="F518" s="17"/>
    </row>
    <row r="519" spans="4:6" x14ac:dyDescent="0.5">
      <c r="D519" s="17"/>
      <c r="E519" s="17"/>
      <c r="F519" s="17"/>
    </row>
    <row r="520" spans="4:6" x14ac:dyDescent="0.5">
      <c r="D520" s="17"/>
      <c r="E520" s="17"/>
      <c r="F520" s="17"/>
    </row>
    <row r="521" spans="4:6" x14ac:dyDescent="0.5">
      <c r="D521" s="17"/>
      <c r="E521" s="17"/>
      <c r="F521" s="17"/>
    </row>
    <row r="522" spans="4:6" x14ac:dyDescent="0.5">
      <c r="D522" s="17"/>
      <c r="E522" s="17"/>
      <c r="F522" s="17"/>
    </row>
    <row r="523" spans="4:6" x14ac:dyDescent="0.5">
      <c r="D523" s="17"/>
      <c r="E523" s="17"/>
      <c r="F523" s="17"/>
    </row>
    <row r="524" spans="4:6" x14ac:dyDescent="0.5">
      <c r="D524" s="17"/>
      <c r="E524" s="17"/>
      <c r="F524" s="17"/>
    </row>
    <row r="525" spans="4:6" x14ac:dyDescent="0.5">
      <c r="D525" s="17"/>
      <c r="E525" s="17"/>
      <c r="F525" s="17"/>
    </row>
    <row r="526" spans="4:6" x14ac:dyDescent="0.5">
      <c r="D526" s="17"/>
      <c r="E526" s="17"/>
      <c r="F526" s="17"/>
    </row>
    <row r="527" spans="4:6" x14ac:dyDescent="0.5">
      <c r="D527" s="17"/>
      <c r="E527" s="17"/>
      <c r="F527" s="17"/>
    </row>
    <row r="528" spans="4:6" x14ac:dyDescent="0.5">
      <c r="D528" s="17"/>
      <c r="E528" s="17"/>
      <c r="F528" s="17"/>
    </row>
    <row r="529" spans="4:6" x14ac:dyDescent="0.5">
      <c r="D529" s="17"/>
      <c r="E529" s="17"/>
      <c r="F529" s="17"/>
    </row>
    <row r="530" spans="4:6" x14ac:dyDescent="0.5">
      <c r="D530" s="17"/>
      <c r="E530" s="17"/>
      <c r="F530" s="17"/>
    </row>
    <row r="531" spans="4:6" x14ac:dyDescent="0.5">
      <c r="D531" s="17"/>
      <c r="E531" s="17"/>
      <c r="F531" s="17"/>
    </row>
    <row r="532" spans="4:6" x14ac:dyDescent="0.5">
      <c r="D532" s="17"/>
      <c r="E532" s="17"/>
      <c r="F532" s="17"/>
    </row>
    <row r="533" spans="4:6" x14ac:dyDescent="0.5">
      <c r="D533" s="17"/>
      <c r="E533" s="17"/>
      <c r="F533" s="17"/>
    </row>
    <row r="534" spans="4:6" x14ac:dyDescent="0.5">
      <c r="D534" s="17"/>
      <c r="E534" s="17"/>
      <c r="F534" s="17"/>
    </row>
    <row r="535" spans="4:6" x14ac:dyDescent="0.5">
      <c r="D535" s="17"/>
      <c r="E535" s="17"/>
      <c r="F535" s="17"/>
    </row>
    <row r="536" spans="4:6" x14ac:dyDescent="0.5">
      <c r="D536" s="17"/>
      <c r="E536" s="17"/>
      <c r="F536" s="17"/>
    </row>
    <row r="537" spans="4:6" x14ac:dyDescent="0.5">
      <c r="D537" s="17"/>
      <c r="E537" s="17"/>
      <c r="F537" s="17"/>
    </row>
    <row r="538" spans="4:6" x14ac:dyDescent="0.5">
      <c r="D538" s="17"/>
      <c r="E538" s="17"/>
      <c r="F538" s="17"/>
    </row>
    <row r="539" spans="4:6" x14ac:dyDescent="0.5">
      <c r="D539" s="17"/>
      <c r="E539" s="17"/>
      <c r="F539" s="17"/>
    </row>
    <row r="540" spans="4:6" x14ac:dyDescent="0.5">
      <c r="D540" s="17"/>
      <c r="E540" s="17"/>
      <c r="F540" s="17"/>
    </row>
    <row r="541" spans="4:6" x14ac:dyDescent="0.5">
      <c r="D541" s="17"/>
      <c r="E541" s="17"/>
      <c r="F541" s="17"/>
    </row>
    <row r="542" spans="4:6" x14ac:dyDescent="0.5">
      <c r="D542" s="17"/>
      <c r="E542" s="17"/>
      <c r="F542" s="17"/>
    </row>
    <row r="543" spans="4:6" x14ac:dyDescent="0.5">
      <c r="D543" s="17"/>
      <c r="E543" s="17"/>
      <c r="F543" s="17"/>
    </row>
    <row r="544" spans="4:6" x14ac:dyDescent="0.5">
      <c r="D544" s="17"/>
      <c r="E544" s="17"/>
      <c r="F544" s="17"/>
    </row>
    <row r="545" spans="4:6" x14ac:dyDescent="0.5">
      <c r="D545" s="17"/>
      <c r="E545" s="17"/>
      <c r="F545" s="17"/>
    </row>
    <row r="546" spans="4:6" x14ac:dyDescent="0.5">
      <c r="D546" s="17"/>
      <c r="E546" s="17"/>
      <c r="F546" s="17"/>
    </row>
    <row r="547" spans="4:6" x14ac:dyDescent="0.5">
      <c r="D547" s="17"/>
      <c r="E547" s="17"/>
      <c r="F547" s="17"/>
    </row>
    <row r="548" spans="4:6" x14ac:dyDescent="0.5">
      <c r="D548" s="17"/>
      <c r="E548" s="17"/>
      <c r="F548" s="17"/>
    </row>
    <row r="549" spans="4:6" x14ac:dyDescent="0.5">
      <c r="D549" s="17"/>
      <c r="E549" s="17"/>
      <c r="F549" s="17"/>
    </row>
    <row r="550" spans="4:6" x14ac:dyDescent="0.5">
      <c r="D550" s="17"/>
      <c r="E550" s="17"/>
      <c r="F550" s="17"/>
    </row>
    <row r="551" spans="4:6" x14ac:dyDescent="0.5">
      <c r="D551" s="17"/>
      <c r="E551" s="17"/>
      <c r="F551" s="17"/>
    </row>
    <row r="552" spans="4:6" x14ac:dyDescent="0.5">
      <c r="D552" s="17"/>
      <c r="E552" s="17"/>
      <c r="F552" s="17"/>
    </row>
    <row r="553" spans="4:6" x14ac:dyDescent="0.5">
      <c r="D553" s="17"/>
      <c r="E553" s="17"/>
      <c r="F553" s="17"/>
    </row>
    <row r="554" spans="4:6" x14ac:dyDescent="0.5">
      <c r="D554" s="17"/>
      <c r="E554" s="17"/>
      <c r="F554" s="17"/>
    </row>
    <row r="555" spans="4:6" x14ac:dyDescent="0.5">
      <c r="D555" s="17"/>
      <c r="E555" s="17"/>
      <c r="F555" s="17"/>
    </row>
    <row r="556" spans="4:6" x14ac:dyDescent="0.5">
      <c r="D556" s="17"/>
      <c r="E556" s="17"/>
      <c r="F556" s="17"/>
    </row>
    <row r="557" spans="4:6" x14ac:dyDescent="0.5">
      <c r="D557" s="17"/>
      <c r="E557" s="17"/>
      <c r="F557" s="17"/>
    </row>
    <row r="558" spans="4:6" x14ac:dyDescent="0.5">
      <c r="D558" s="17"/>
      <c r="E558" s="17"/>
      <c r="F558" s="17"/>
    </row>
    <row r="559" spans="4:6" x14ac:dyDescent="0.5">
      <c r="D559" s="17"/>
      <c r="E559" s="17"/>
      <c r="F559" s="17"/>
    </row>
    <row r="560" spans="4:6" x14ac:dyDescent="0.5">
      <c r="D560" s="17"/>
      <c r="E560" s="17"/>
      <c r="F560" s="17"/>
    </row>
    <row r="561" spans="4:6" x14ac:dyDescent="0.5">
      <c r="D561" s="17"/>
      <c r="E561" s="17"/>
      <c r="F561" s="17"/>
    </row>
    <row r="562" spans="4:6" x14ac:dyDescent="0.5">
      <c r="D562" s="17"/>
      <c r="E562" s="17"/>
      <c r="F562" s="17"/>
    </row>
    <row r="563" spans="4:6" x14ac:dyDescent="0.5">
      <c r="D563" s="17"/>
      <c r="E563" s="17"/>
      <c r="F563" s="17"/>
    </row>
    <row r="564" spans="4:6" x14ac:dyDescent="0.5">
      <c r="D564" s="17"/>
      <c r="E564" s="17"/>
      <c r="F564" s="17"/>
    </row>
    <row r="565" spans="4:6" x14ac:dyDescent="0.5">
      <c r="D565" s="17"/>
      <c r="E565" s="17"/>
      <c r="F565" s="17"/>
    </row>
    <row r="566" spans="4:6" x14ac:dyDescent="0.5">
      <c r="D566" s="17"/>
      <c r="E566" s="17"/>
      <c r="F566" s="17"/>
    </row>
    <row r="567" spans="4:6" x14ac:dyDescent="0.5">
      <c r="D567" s="17"/>
      <c r="E567" s="17"/>
      <c r="F567" s="17"/>
    </row>
    <row r="568" spans="4:6" x14ac:dyDescent="0.5">
      <c r="D568" s="17"/>
      <c r="E568" s="17"/>
      <c r="F568" s="17"/>
    </row>
    <row r="569" spans="4:6" x14ac:dyDescent="0.5">
      <c r="D569" s="17"/>
      <c r="E569" s="17"/>
      <c r="F569" s="17"/>
    </row>
    <row r="570" spans="4:6" x14ac:dyDescent="0.5">
      <c r="D570" s="17"/>
      <c r="E570" s="17"/>
      <c r="F570" s="17"/>
    </row>
    <row r="571" spans="4:6" x14ac:dyDescent="0.5">
      <c r="D571" s="17"/>
      <c r="E571" s="17"/>
      <c r="F571" s="17"/>
    </row>
    <row r="572" spans="4:6" x14ac:dyDescent="0.5">
      <c r="D572" s="17"/>
      <c r="E572" s="17"/>
      <c r="F572" s="17"/>
    </row>
    <row r="573" spans="4:6" x14ac:dyDescent="0.5">
      <c r="D573" s="17"/>
      <c r="E573" s="17"/>
      <c r="F573" s="17"/>
    </row>
    <row r="574" spans="4:6" x14ac:dyDescent="0.5">
      <c r="D574" s="17"/>
      <c r="E574" s="17"/>
      <c r="F574" s="17"/>
    </row>
    <row r="575" spans="4:6" x14ac:dyDescent="0.5">
      <c r="D575" s="17"/>
      <c r="E575" s="17"/>
      <c r="F575" s="17"/>
    </row>
    <row r="576" spans="4:6" x14ac:dyDescent="0.5">
      <c r="D576" s="17"/>
      <c r="E576" s="17"/>
      <c r="F576" s="17"/>
    </row>
    <row r="577" spans="4:6" x14ac:dyDescent="0.5">
      <c r="D577" s="17"/>
      <c r="E577" s="17"/>
      <c r="F577" s="17"/>
    </row>
    <row r="578" spans="4:6" x14ac:dyDescent="0.5">
      <c r="D578" s="17"/>
      <c r="E578" s="17"/>
      <c r="F578" s="17"/>
    </row>
    <row r="579" spans="4:6" x14ac:dyDescent="0.5">
      <c r="D579" s="17"/>
      <c r="E579" s="17"/>
      <c r="F579" s="17"/>
    </row>
    <row r="580" spans="4:6" x14ac:dyDescent="0.5">
      <c r="D580" s="17"/>
      <c r="E580" s="17"/>
      <c r="F580" s="17"/>
    </row>
    <row r="581" spans="4:6" x14ac:dyDescent="0.5">
      <c r="D581" s="17"/>
      <c r="E581" s="17"/>
      <c r="F581" s="17"/>
    </row>
    <row r="582" spans="4:6" x14ac:dyDescent="0.5">
      <c r="D582" s="17"/>
      <c r="E582" s="17"/>
      <c r="F582" s="17"/>
    </row>
    <row r="583" spans="4:6" x14ac:dyDescent="0.5">
      <c r="D583" s="17"/>
      <c r="E583" s="17"/>
      <c r="F583" s="17"/>
    </row>
    <row r="584" spans="4:6" x14ac:dyDescent="0.5">
      <c r="D584" s="17"/>
      <c r="E584" s="17"/>
      <c r="F584" s="17"/>
    </row>
    <row r="585" spans="4:6" x14ac:dyDescent="0.5">
      <c r="D585" s="17"/>
      <c r="E585" s="17"/>
      <c r="F585" s="17"/>
    </row>
    <row r="586" spans="4:6" x14ac:dyDescent="0.5">
      <c r="D586" s="17"/>
      <c r="E586" s="17"/>
      <c r="F586" s="17"/>
    </row>
    <row r="587" spans="4:6" x14ac:dyDescent="0.5">
      <c r="D587" s="17"/>
      <c r="E587" s="17"/>
      <c r="F587" s="17"/>
    </row>
    <row r="588" spans="4:6" x14ac:dyDescent="0.5">
      <c r="D588" s="17"/>
      <c r="E588" s="17"/>
      <c r="F588" s="17"/>
    </row>
    <row r="589" spans="4:6" x14ac:dyDescent="0.5">
      <c r="D589" s="17"/>
      <c r="E589" s="17"/>
      <c r="F589" s="17"/>
    </row>
    <row r="590" spans="4:6" x14ac:dyDescent="0.5">
      <c r="D590" s="17"/>
      <c r="E590" s="17"/>
      <c r="F590" s="17"/>
    </row>
    <row r="591" spans="4:6" x14ac:dyDescent="0.5">
      <c r="D591" s="17"/>
      <c r="E591" s="17"/>
      <c r="F591" s="17"/>
    </row>
    <row r="592" spans="4:6" x14ac:dyDescent="0.5">
      <c r="D592" s="17"/>
      <c r="E592" s="17"/>
      <c r="F592" s="17"/>
    </row>
    <row r="593" spans="4:6" x14ac:dyDescent="0.5">
      <c r="D593" s="17"/>
      <c r="E593" s="17"/>
      <c r="F593" s="17"/>
    </row>
    <row r="594" spans="4:6" x14ac:dyDescent="0.5">
      <c r="D594" s="17"/>
      <c r="E594" s="17"/>
      <c r="F594" s="17"/>
    </row>
    <row r="595" spans="4:6" x14ac:dyDescent="0.5">
      <c r="D595" s="17"/>
      <c r="E595" s="17"/>
      <c r="F595" s="17"/>
    </row>
    <row r="596" spans="4:6" x14ac:dyDescent="0.5">
      <c r="D596" s="17"/>
      <c r="E596" s="17"/>
      <c r="F596" s="17"/>
    </row>
    <row r="597" spans="4:6" x14ac:dyDescent="0.5">
      <c r="D597" s="17"/>
      <c r="E597" s="17"/>
      <c r="F597" s="17"/>
    </row>
    <row r="598" spans="4:6" x14ac:dyDescent="0.5">
      <c r="D598" s="17"/>
      <c r="E598" s="17"/>
      <c r="F598" s="17"/>
    </row>
    <row r="599" spans="4:6" x14ac:dyDescent="0.5">
      <c r="D599" s="17"/>
      <c r="E599" s="17"/>
      <c r="F599" s="17"/>
    </row>
    <row r="600" spans="4:6" x14ac:dyDescent="0.5">
      <c r="D600" s="17"/>
      <c r="E600" s="17"/>
      <c r="F600" s="17"/>
    </row>
    <row r="601" spans="4:6" x14ac:dyDescent="0.5">
      <c r="D601" s="17"/>
      <c r="E601" s="17"/>
      <c r="F601" s="17"/>
    </row>
    <row r="602" spans="4:6" x14ac:dyDescent="0.5">
      <c r="D602" s="17"/>
      <c r="E602" s="17"/>
      <c r="F602" s="17"/>
    </row>
    <row r="603" spans="4:6" x14ac:dyDescent="0.5">
      <c r="D603" s="17"/>
      <c r="E603" s="17"/>
      <c r="F603" s="17"/>
    </row>
    <row r="604" spans="4:6" x14ac:dyDescent="0.5">
      <c r="D604" s="17"/>
      <c r="E604" s="17"/>
      <c r="F604" s="17"/>
    </row>
    <row r="605" spans="4:6" x14ac:dyDescent="0.5">
      <c r="D605" s="17"/>
      <c r="E605" s="17"/>
      <c r="F605" s="17"/>
    </row>
    <row r="606" spans="4:6" x14ac:dyDescent="0.5">
      <c r="D606" s="17"/>
      <c r="E606" s="17"/>
      <c r="F606" s="17"/>
    </row>
    <row r="607" spans="4:6" x14ac:dyDescent="0.5">
      <c r="D607" s="17"/>
      <c r="E607" s="17"/>
      <c r="F607" s="17"/>
    </row>
    <row r="608" spans="4:6" x14ac:dyDescent="0.5">
      <c r="D608" s="17"/>
      <c r="E608" s="17"/>
      <c r="F608" s="17"/>
    </row>
    <row r="609" spans="4:6" x14ac:dyDescent="0.5">
      <c r="D609" s="17"/>
      <c r="E609" s="17"/>
      <c r="F609" s="17"/>
    </row>
    <row r="610" spans="4:6" x14ac:dyDescent="0.5">
      <c r="D610" s="17"/>
      <c r="E610" s="17"/>
      <c r="F610" s="17"/>
    </row>
    <row r="611" spans="4:6" x14ac:dyDescent="0.5">
      <c r="D611" s="17"/>
      <c r="E611" s="17"/>
      <c r="F611" s="17"/>
    </row>
    <row r="612" spans="4:6" x14ac:dyDescent="0.5">
      <c r="D612" s="17"/>
      <c r="E612" s="17"/>
      <c r="F612" s="17"/>
    </row>
    <row r="613" spans="4:6" x14ac:dyDescent="0.5">
      <c r="D613" s="17"/>
      <c r="E613" s="17"/>
      <c r="F613" s="17"/>
    </row>
    <row r="614" spans="4:6" x14ac:dyDescent="0.5">
      <c r="D614" s="17"/>
      <c r="E614" s="17"/>
      <c r="F614" s="17"/>
    </row>
    <row r="615" spans="4:6" x14ac:dyDescent="0.5">
      <c r="D615" s="17"/>
      <c r="E615" s="17"/>
      <c r="F615" s="17"/>
    </row>
    <row r="616" spans="4:6" x14ac:dyDescent="0.5">
      <c r="D616" s="17"/>
      <c r="E616" s="17"/>
      <c r="F616" s="17"/>
    </row>
    <row r="617" spans="4:6" x14ac:dyDescent="0.5">
      <c r="D617" s="17"/>
      <c r="E617" s="17"/>
      <c r="F617" s="17"/>
    </row>
    <row r="618" spans="4:6" x14ac:dyDescent="0.5">
      <c r="D618" s="17"/>
      <c r="E618" s="17"/>
      <c r="F618" s="17"/>
    </row>
    <row r="619" spans="4:6" x14ac:dyDescent="0.5">
      <c r="D619" s="17"/>
      <c r="E619" s="17"/>
      <c r="F619" s="17"/>
    </row>
    <row r="620" spans="4:6" x14ac:dyDescent="0.5">
      <c r="D620" s="17"/>
      <c r="E620" s="17"/>
      <c r="F620" s="17"/>
    </row>
    <row r="621" spans="4:6" x14ac:dyDescent="0.5">
      <c r="D621" s="17"/>
      <c r="E621" s="17"/>
      <c r="F621" s="17"/>
    </row>
    <row r="622" spans="4:6" x14ac:dyDescent="0.5">
      <c r="D622" s="17"/>
      <c r="E622" s="17"/>
      <c r="F622" s="17"/>
    </row>
    <row r="623" spans="4:6" x14ac:dyDescent="0.5">
      <c r="D623" s="17"/>
      <c r="E623" s="17"/>
      <c r="F623" s="17"/>
    </row>
    <row r="624" spans="4:6" x14ac:dyDescent="0.5">
      <c r="D624" s="17"/>
      <c r="E624" s="17"/>
      <c r="F624" s="17"/>
    </row>
    <row r="625" spans="4:6" x14ac:dyDescent="0.5">
      <c r="D625" s="17"/>
      <c r="E625" s="17"/>
      <c r="F625" s="17"/>
    </row>
    <row r="626" spans="4:6" x14ac:dyDescent="0.5">
      <c r="D626" s="17"/>
      <c r="E626" s="17"/>
      <c r="F626" s="17"/>
    </row>
    <row r="627" spans="4:6" x14ac:dyDescent="0.5">
      <c r="D627" s="17"/>
      <c r="E627" s="17"/>
      <c r="F627" s="17"/>
    </row>
    <row r="628" spans="4:6" x14ac:dyDescent="0.5">
      <c r="D628" s="17"/>
      <c r="E628" s="17"/>
      <c r="F628" s="17"/>
    </row>
    <row r="629" spans="4:6" x14ac:dyDescent="0.5">
      <c r="D629" s="17"/>
      <c r="E629" s="17"/>
      <c r="F629" s="17"/>
    </row>
    <row r="630" spans="4:6" x14ac:dyDescent="0.5">
      <c r="D630" s="17"/>
      <c r="E630" s="17"/>
      <c r="F630" s="17"/>
    </row>
    <row r="631" spans="4:6" x14ac:dyDescent="0.5">
      <c r="D631" s="17"/>
      <c r="E631" s="17"/>
      <c r="F631" s="17"/>
    </row>
    <row r="632" spans="4:6" x14ac:dyDescent="0.5">
      <c r="D632" s="17"/>
      <c r="E632" s="17"/>
      <c r="F632" s="17"/>
    </row>
    <row r="633" spans="4:6" x14ac:dyDescent="0.5">
      <c r="D633" s="17"/>
      <c r="E633" s="17"/>
      <c r="F633" s="17"/>
    </row>
    <row r="634" spans="4:6" x14ac:dyDescent="0.5">
      <c r="D634" s="17"/>
      <c r="E634" s="17"/>
      <c r="F634" s="17"/>
    </row>
    <row r="635" spans="4:6" x14ac:dyDescent="0.5">
      <c r="D635" s="17"/>
      <c r="E635" s="17"/>
      <c r="F635" s="17"/>
    </row>
    <row r="636" spans="4:6" x14ac:dyDescent="0.5">
      <c r="D636" s="17"/>
      <c r="E636" s="17"/>
      <c r="F636" s="17"/>
    </row>
    <row r="637" spans="4:6" x14ac:dyDescent="0.5">
      <c r="D637" s="17"/>
      <c r="E637" s="17"/>
      <c r="F637" s="17"/>
    </row>
    <row r="638" spans="4:6" x14ac:dyDescent="0.5">
      <c r="D638" s="17"/>
      <c r="E638" s="17"/>
      <c r="F638" s="17"/>
    </row>
    <row r="639" spans="4:6" x14ac:dyDescent="0.5">
      <c r="D639" s="17"/>
      <c r="E639" s="17"/>
      <c r="F639" s="17"/>
    </row>
    <row r="640" spans="4:6" x14ac:dyDescent="0.5">
      <c r="D640" s="17"/>
      <c r="E640" s="17"/>
      <c r="F640" s="17"/>
    </row>
    <row r="641" spans="4:6" x14ac:dyDescent="0.5">
      <c r="D641" s="17"/>
      <c r="E641" s="17"/>
      <c r="F641" s="17"/>
    </row>
    <row r="642" spans="4:6" x14ac:dyDescent="0.5">
      <c r="D642" s="17"/>
      <c r="E642" s="17"/>
      <c r="F642" s="17"/>
    </row>
    <row r="643" spans="4:6" x14ac:dyDescent="0.5">
      <c r="D643" s="17"/>
      <c r="E643" s="17"/>
      <c r="F643" s="17"/>
    </row>
    <row r="644" spans="4:6" x14ac:dyDescent="0.5">
      <c r="D644" s="17"/>
      <c r="E644" s="17"/>
      <c r="F644" s="17"/>
    </row>
    <row r="645" spans="4:6" x14ac:dyDescent="0.5">
      <c r="D645" s="17"/>
      <c r="E645" s="17"/>
      <c r="F645" s="17"/>
    </row>
    <row r="646" spans="4:6" x14ac:dyDescent="0.5">
      <c r="D646" s="17"/>
      <c r="E646" s="17"/>
      <c r="F646" s="17"/>
    </row>
    <row r="647" spans="4:6" x14ac:dyDescent="0.5">
      <c r="D647" s="17"/>
      <c r="E647" s="17"/>
      <c r="F647" s="17"/>
    </row>
    <row r="648" spans="4:6" x14ac:dyDescent="0.5">
      <c r="D648" s="17"/>
      <c r="E648" s="17"/>
      <c r="F648" s="17"/>
    </row>
    <row r="649" spans="4:6" x14ac:dyDescent="0.5">
      <c r="D649" s="17"/>
      <c r="E649" s="17"/>
      <c r="F649" s="17"/>
    </row>
    <row r="650" spans="4:6" x14ac:dyDescent="0.5">
      <c r="D650" s="17"/>
      <c r="E650" s="17"/>
      <c r="F650" s="17"/>
    </row>
    <row r="651" spans="4:6" x14ac:dyDescent="0.5">
      <c r="D651" s="17"/>
      <c r="E651" s="17"/>
      <c r="F651" s="17"/>
    </row>
    <row r="652" spans="4:6" x14ac:dyDescent="0.5">
      <c r="D652" s="17"/>
      <c r="E652" s="17"/>
      <c r="F652" s="17"/>
    </row>
    <row r="653" spans="4:6" x14ac:dyDescent="0.5">
      <c r="D653" s="17"/>
      <c r="E653" s="17"/>
      <c r="F653" s="17"/>
    </row>
    <row r="654" spans="4:6" x14ac:dyDescent="0.5">
      <c r="D654" s="17"/>
      <c r="E654" s="17"/>
      <c r="F654" s="17"/>
    </row>
    <row r="655" spans="4:6" x14ac:dyDescent="0.5">
      <c r="D655" s="17"/>
      <c r="E655" s="17"/>
      <c r="F655" s="17"/>
    </row>
    <row r="656" spans="4:6" x14ac:dyDescent="0.5">
      <c r="D656" s="17"/>
      <c r="E656" s="17"/>
      <c r="F656" s="17"/>
    </row>
    <row r="657" spans="4:6" x14ac:dyDescent="0.5">
      <c r="D657" s="17"/>
      <c r="E657" s="17"/>
      <c r="F657" s="17"/>
    </row>
    <row r="658" spans="4:6" x14ac:dyDescent="0.5">
      <c r="D658" s="17"/>
      <c r="E658" s="17"/>
      <c r="F658" s="17"/>
    </row>
    <row r="659" spans="4:6" x14ac:dyDescent="0.5">
      <c r="D659" s="17"/>
      <c r="E659" s="17"/>
      <c r="F659" s="17"/>
    </row>
    <row r="660" spans="4:6" x14ac:dyDescent="0.5">
      <c r="D660" s="17"/>
      <c r="E660" s="17"/>
      <c r="F660" s="17"/>
    </row>
    <row r="661" spans="4:6" x14ac:dyDescent="0.5">
      <c r="D661" s="17"/>
      <c r="E661" s="17"/>
      <c r="F661" s="17"/>
    </row>
    <row r="662" spans="4:6" x14ac:dyDescent="0.5">
      <c r="D662" s="17"/>
      <c r="E662" s="17"/>
      <c r="F662" s="17"/>
    </row>
    <row r="663" spans="4:6" x14ac:dyDescent="0.5">
      <c r="D663" s="17"/>
      <c r="E663" s="17"/>
      <c r="F663" s="17"/>
    </row>
    <row r="664" spans="4:6" x14ac:dyDescent="0.5">
      <c r="D664" s="17"/>
      <c r="E664" s="17"/>
      <c r="F664" s="17"/>
    </row>
    <row r="665" spans="4:6" x14ac:dyDescent="0.5">
      <c r="D665" s="17"/>
      <c r="E665" s="17"/>
      <c r="F665" s="17"/>
    </row>
    <row r="666" spans="4:6" x14ac:dyDescent="0.5">
      <c r="D666" s="17"/>
      <c r="E666" s="17"/>
      <c r="F666" s="17"/>
    </row>
    <row r="667" spans="4:6" x14ac:dyDescent="0.5">
      <c r="D667" s="17"/>
      <c r="E667" s="17"/>
      <c r="F667" s="17"/>
    </row>
    <row r="668" spans="4:6" x14ac:dyDescent="0.5">
      <c r="D668" s="17"/>
      <c r="E668" s="17"/>
      <c r="F668" s="17"/>
    </row>
    <row r="669" spans="4:6" x14ac:dyDescent="0.5">
      <c r="D669" s="17"/>
      <c r="E669" s="17"/>
      <c r="F669" s="17"/>
    </row>
    <row r="670" spans="4:6" x14ac:dyDescent="0.5">
      <c r="D670" s="17"/>
      <c r="E670" s="17"/>
      <c r="F670" s="17"/>
    </row>
    <row r="671" spans="4:6" x14ac:dyDescent="0.5">
      <c r="D671" s="17"/>
      <c r="E671" s="17"/>
      <c r="F671" s="17"/>
    </row>
    <row r="672" spans="4:6" x14ac:dyDescent="0.5">
      <c r="D672" s="17"/>
      <c r="E672" s="17"/>
      <c r="F672" s="17"/>
    </row>
    <row r="673" spans="4:6" x14ac:dyDescent="0.5">
      <c r="D673" s="17"/>
      <c r="E673" s="17"/>
      <c r="F673" s="17"/>
    </row>
    <row r="674" spans="4:6" x14ac:dyDescent="0.5">
      <c r="D674" s="17"/>
      <c r="E674" s="17"/>
      <c r="F674" s="17"/>
    </row>
    <row r="675" spans="4:6" x14ac:dyDescent="0.5">
      <c r="D675" s="17"/>
      <c r="E675" s="17"/>
      <c r="F675" s="17"/>
    </row>
    <row r="676" spans="4:6" x14ac:dyDescent="0.5">
      <c r="D676" s="17"/>
      <c r="E676" s="17"/>
      <c r="F676" s="17"/>
    </row>
    <row r="677" spans="4:6" x14ac:dyDescent="0.5">
      <c r="D677" s="17"/>
      <c r="E677" s="17"/>
      <c r="F677" s="17"/>
    </row>
    <row r="678" spans="4:6" x14ac:dyDescent="0.5">
      <c r="D678" s="17"/>
      <c r="E678" s="17"/>
      <c r="F678" s="17"/>
    </row>
    <row r="679" spans="4:6" x14ac:dyDescent="0.5">
      <c r="D679" s="17"/>
      <c r="E679" s="17"/>
      <c r="F679" s="17"/>
    </row>
    <row r="680" spans="4:6" x14ac:dyDescent="0.5">
      <c r="D680" s="17"/>
      <c r="E680" s="17"/>
      <c r="F680" s="17"/>
    </row>
  </sheetData>
  <mergeCells count="2">
    <mergeCell ref="D4:F4"/>
    <mergeCell ref="H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62054-1C9E-44D2-8963-C5A28B6B213A}">
  <dimension ref="B1:M43"/>
  <sheetViews>
    <sheetView showGridLines="0" topLeftCell="A28" workbookViewId="0">
      <selection activeCell="L44" sqref="L44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0.76171875" bestFit="1" customWidth="1"/>
    <col min="5" max="5" width="2.703125" customWidth="1"/>
    <col min="6" max="6" width="10.29296875" customWidth="1"/>
    <col min="7" max="7" width="5.64453125" customWidth="1"/>
    <col min="8" max="12" width="10.41015625" customWidth="1"/>
    <col min="13" max="13" width="3.703125" customWidth="1"/>
    <col min="251" max="251" width="4.5859375" customWidth="1"/>
    <col min="252" max="252" width="2.9375" customWidth="1"/>
    <col min="253" max="253" width="1.1171875" customWidth="1"/>
    <col min="254" max="254" width="23.17578125" customWidth="1"/>
    <col min="257" max="257" width="2.05859375" customWidth="1"/>
    <col min="258" max="258" width="10.29296875" customWidth="1"/>
    <col min="259" max="259" width="2.41015625" customWidth="1"/>
    <col min="261" max="261" width="3.9375" customWidth="1"/>
    <col min="263" max="263" width="4.17578125" customWidth="1"/>
    <col min="264" max="264" width="9.5859375" customWidth="1"/>
    <col min="507" max="507" width="4.5859375" customWidth="1"/>
    <col min="508" max="508" width="2.9375" customWidth="1"/>
    <col min="509" max="509" width="1.1171875" customWidth="1"/>
    <col min="510" max="510" width="23.17578125" customWidth="1"/>
    <col min="513" max="513" width="2.05859375" customWidth="1"/>
    <col min="514" max="514" width="10.29296875" customWidth="1"/>
    <col min="515" max="515" width="2.41015625" customWidth="1"/>
    <col min="517" max="517" width="3.9375" customWidth="1"/>
    <col min="519" max="519" width="4.17578125" customWidth="1"/>
    <col min="520" max="520" width="9.5859375" customWidth="1"/>
    <col min="763" max="763" width="4.5859375" customWidth="1"/>
    <col min="764" max="764" width="2.9375" customWidth="1"/>
    <col min="765" max="765" width="1.1171875" customWidth="1"/>
    <col min="766" max="766" width="23.17578125" customWidth="1"/>
    <col min="769" max="769" width="2.05859375" customWidth="1"/>
    <col min="770" max="770" width="10.29296875" customWidth="1"/>
    <col min="771" max="771" width="2.41015625" customWidth="1"/>
    <col min="773" max="773" width="3.9375" customWidth="1"/>
    <col min="775" max="775" width="4.17578125" customWidth="1"/>
    <col min="776" max="776" width="9.5859375" customWidth="1"/>
    <col min="1019" max="1019" width="4.5859375" customWidth="1"/>
    <col min="1020" max="1020" width="2.9375" customWidth="1"/>
    <col min="1021" max="1021" width="1.1171875" customWidth="1"/>
    <col min="1022" max="1022" width="23.17578125" customWidth="1"/>
    <col min="1025" max="1025" width="2.05859375" customWidth="1"/>
    <col min="1026" max="1026" width="10.29296875" customWidth="1"/>
    <col min="1027" max="1027" width="2.41015625" customWidth="1"/>
    <col min="1029" max="1029" width="3.9375" customWidth="1"/>
    <col min="1031" max="1031" width="4.17578125" customWidth="1"/>
    <col min="1032" max="1032" width="9.5859375" customWidth="1"/>
    <col min="1275" max="1275" width="4.5859375" customWidth="1"/>
    <col min="1276" max="1276" width="2.9375" customWidth="1"/>
    <col min="1277" max="1277" width="1.1171875" customWidth="1"/>
    <col min="1278" max="1278" width="23.17578125" customWidth="1"/>
    <col min="1281" max="1281" width="2.05859375" customWidth="1"/>
    <col min="1282" max="1282" width="10.29296875" customWidth="1"/>
    <col min="1283" max="1283" width="2.41015625" customWidth="1"/>
    <col min="1285" max="1285" width="3.9375" customWidth="1"/>
    <col min="1287" max="1287" width="4.17578125" customWidth="1"/>
    <col min="1288" max="1288" width="9.5859375" customWidth="1"/>
    <col min="1531" max="1531" width="4.5859375" customWidth="1"/>
    <col min="1532" max="1532" width="2.9375" customWidth="1"/>
    <col min="1533" max="1533" width="1.1171875" customWidth="1"/>
    <col min="1534" max="1534" width="23.17578125" customWidth="1"/>
    <col min="1537" max="1537" width="2.05859375" customWidth="1"/>
    <col min="1538" max="1538" width="10.29296875" customWidth="1"/>
    <col min="1539" max="1539" width="2.41015625" customWidth="1"/>
    <col min="1541" max="1541" width="3.9375" customWidth="1"/>
    <col min="1543" max="1543" width="4.17578125" customWidth="1"/>
    <col min="1544" max="1544" width="9.5859375" customWidth="1"/>
    <col min="1787" max="1787" width="4.5859375" customWidth="1"/>
    <col min="1788" max="1788" width="2.9375" customWidth="1"/>
    <col min="1789" max="1789" width="1.1171875" customWidth="1"/>
    <col min="1790" max="1790" width="23.17578125" customWidth="1"/>
    <col min="1793" max="1793" width="2.05859375" customWidth="1"/>
    <col min="1794" max="1794" width="10.29296875" customWidth="1"/>
    <col min="1795" max="1795" width="2.41015625" customWidth="1"/>
    <col min="1797" max="1797" width="3.9375" customWidth="1"/>
    <col min="1799" max="1799" width="4.17578125" customWidth="1"/>
    <col min="1800" max="1800" width="9.5859375" customWidth="1"/>
    <col min="2043" max="2043" width="4.5859375" customWidth="1"/>
    <col min="2044" max="2044" width="2.9375" customWidth="1"/>
    <col min="2045" max="2045" width="1.1171875" customWidth="1"/>
    <col min="2046" max="2046" width="23.17578125" customWidth="1"/>
    <col min="2049" max="2049" width="2.05859375" customWidth="1"/>
    <col min="2050" max="2050" width="10.29296875" customWidth="1"/>
    <col min="2051" max="2051" width="2.41015625" customWidth="1"/>
    <col min="2053" max="2053" width="3.9375" customWidth="1"/>
    <col min="2055" max="2055" width="4.17578125" customWidth="1"/>
    <col min="2056" max="2056" width="9.5859375" customWidth="1"/>
    <col min="2299" max="2299" width="4.5859375" customWidth="1"/>
    <col min="2300" max="2300" width="2.9375" customWidth="1"/>
    <col min="2301" max="2301" width="1.1171875" customWidth="1"/>
    <col min="2302" max="2302" width="23.17578125" customWidth="1"/>
    <col min="2305" max="2305" width="2.05859375" customWidth="1"/>
    <col min="2306" max="2306" width="10.29296875" customWidth="1"/>
    <col min="2307" max="2307" width="2.41015625" customWidth="1"/>
    <col min="2309" max="2309" width="3.9375" customWidth="1"/>
    <col min="2311" max="2311" width="4.17578125" customWidth="1"/>
    <col min="2312" max="2312" width="9.5859375" customWidth="1"/>
    <col min="2555" max="2555" width="4.5859375" customWidth="1"/>
    <col min="2556" max="2556" width="2.9375" customWidth="1"/>
    <col min="2557" max="2557" width="1.1171875" customWidth="1"/>
    <col min="2558" max="2558" width="23.17578125" customWidth="1"/>
    <col min="2561" max="2561" width="2.05859375" customWidth="1"/>
    <col min="2562" max="2562" width="10.29296875" customWidth="1"/>
    <col min="2563" max="2563" width="2.41015625" customWidth="1"/>
    <col min="2565" max="2565" width="3.9375" customWidth="1"/>
    <col min="2567" max="2567" width="4.17578125" customWidth="1"/>
    <col min="2568" max="2568" width="9.5859375" customWidth="1"/>
    <col min="2811" max="2811" width="4.5859375" customWidth="1"/>
    <col min="2812" max="2812" width="2.9375" customWidth="1"/>
    <col min="2813" max="2813" width="1.1171875" customWidth="1"/>
    <col min="2814" max="2814" width="23.17578125" customWidth="1"/>
    <col min="2817" max="2817" width="2.05859375" customWidth="1"/>
    <col min="2818" max="2818" width="10.29296875" customWidth="1"/>
    <col min="2819" max="2819" width="2.41015625" customWidth="1"/>
    <col min="2821" max="2821" width="3.9375" customWidth="1"/>
    <col min="2823" max="2823" width="4.17578125" customWidth="1"/>
    <col min="2824" max="2824" width="9.5859375" customWidth="1"/>
    <col min="3067" max="3067" width="4.5859375" customWidth="1"/>
    <col min="3068" max="3068" width="2.9375" customWidth="1"/>
    <col min="3069" max="3069" width="1.1171875" customWidth="1"/>
    <col min="3070" max="3070" width="23.17578125" customWidth="1"/>
    <col min="3073" max="3073" width="2.05859375" customWidth="1"/>
    <col min="3074" max="3074" width="10.29296875" customWidth="1"/>
    <col min="3075" max="3075" width="2.41015625" customWidth="1"/>
    <col min="3077" max="3077" width="3.9375" customWidth="1"/>
    <col min="3079" max="3079" width="4.17578125" customWidth="1"/>
    <col min="3080" max="3080" width="9.5859375" customWidth="1"/>
    <col min="3323" max="3323" width="4.5859375" customWidth="1"/>
    <col min="3324" max="3324" width="2.9375" customWidth="1"/>
    <col min="3325" max="3325" width="1.1171875" customWidth="1"/>
    <col min="3326" max="3326" width="23.17578125" customWidth="1"/>
    <col min="3329" max="3329" width="2.05859375" customWidth="1"/>
    <col min="3330" max="3330" width="10.29296875" customWidth="1"/>
    <col min="3331" max="3331" width="2.41015625" customWidth="1"/>
    <col min="3333" max="3333" width="3.9375" customWidth="1"/>
    <col min="3335" max="3335" width="4.17578125" customWidth="1"/>
    <col min="3336" max="3336" width="9.5859375" customWidth="1"/>
    <col min="3579" max="3579" width="4.5859375" customWidth="1"/>
    <col min="3580" max="3580" width="2.9375" customWidth="1"/>
    <col min="3581" max="3581" width="1.1171875" customWidth="1"/>
    <col min="3582" max="3582" width="23.17578125" customWidth="1"/>
    <col min="3585" max="3585" width="2.05859375" customWidth="1"/>
    <col min="3586" max="3586" width="10.29296875" customWidth="1"/>
    <col min="3587" max="3587" width="2.41015625" customWidth="1"/>
    <col min="3589" max="3589" width="3.9375" customWidth="1"/>
    <col min="3591" max="3591" width="4.17578125" customWidth="1"/>
    <col min="3592" max="3592" width="9.5859375" customWidth="1"/>
    <col min="3835" max="3835" width="4.5859375" customWidth="1"/>
    <col min="3836" max="3836" width="2.9375" customWidth="1"/>
    <col min="3837" max="3837" width="1.1171875" customWidth="1"/>
    <col min="3838" max="3838" width="23.17578125" customWidth="1"/>
    <col min="3841" max="3841" width="2.05859375" customWidth="1"/>
    <col min="3842" max="3842" width="10.29296875" customWidth="1"/>
    <col min="3843" max="3843" width="2.41015625" customWidth="1"/>
    <col min="3845" max="3845" width="3.9375" customWidth="1"/>
    <col min="3847" max="3847" width="4.17578125" customWidth="1"/>
    <col min="3848" max="3848" width="9.5859375" customWidth="1"/>
    <col min="4091" max="4091" width="4.5859375" customWidth="1"/>
    <col min="4092" max="4092" width="2.9375" customWidth="1"/>
    <col min="4093" max="4093" width="1.1171875" customWidth="1"/>
    <col min="4094" max="4094" width="23.17578125" customWidth="1"/>
    <col min="4097" max="4097" width="2.05859375" customWidth="1"/>
    <col min="4098" max="4098" width="10.29296875" customWidth="1"/>
    <col min="4099" max="4099" width="2.41015625" customWidth="1"/>
    <col min="4101" max="4101" width="3.9375" customWidth="1"/>
    <col min="4103" max="4103" width="4.17578125" customWidth="1"/>
    <col min="4104" max="4104" width="9.5859375" customWidth="1"/>
    <col min="4347" max="4347" width="4.5859375" customWidth="1"/>
    <col min="4348" max="4348" width="2.9375" customWidth="1"/>
    <col min="4349" max="4349" width="1.1171875" customWidth="1"/>
    <col min="4350" max="4350" width="23.17578125" customWidth="1"/>
    <col min="4353" max="4353" width="2.05859375" customWidth="1"/>
    <col min="4354" max="4354" width="10.29296875" customWidth="1"/>
    <col min="4355" max="4355" width="2.41015625" customWidth="1"/>
    <col min="4357" max="4357" width="3.9375" customWidth="1"/>
    <col min="4359" max="4359" width="4.17578125" customWidth="1"/>
    <col min="4360" max="4360" width="9.5859375" customWidth="1"/>
    <col min="4603" max="4603" width="4.5859375" customWidth="1"/>
    <col min="4604" max="4604" width="2.9375" customWidth="1"/>
    <col min="4605" max="4605" width="1.1171875" customWidth="1"/>
    <col min="4606" max="4606" width="23.17578125" customWidth="1"/>
    <col min="4609" max="4609" width="2.05859375" customWidth="1"/>
    <col min="4610" max="4610" width="10.29296875" customWidth="1"/>
    <col min="4611" max="4611" width="2.41015625" customWidth="1"/>
    <col min="4613" max="4613" width="3.9375" customWidth="1"/>
    <col min="4615" max="4615" width="4.17578125" customWidth="1"/>
    <col min="4616" max="4616" width="9.5859375" customWidth="1"/>
    <col min="4859" max="4859" width="4.5859375" customWidth="1"/>
    <col min="4860" max="4860" width="2.9375" customWidth="1"/>
    <col min="4861" max="4861" width="1.1171875" customWidth="1"/>
    <col min="4862" max="4862" width="23.17578125" customWidth="1"/>
    <col min="4865" max="4865" width="2.05859375" customWidth="1"/>
    <col min="4866" max="4866" width="10.29296875" customWidth="1"/>
    <col min="4867" max="4867" width="2.41015625" customWidth="1"/>
    <col min="4869" max="4869" width="3.9375" customWidth="1"/>
    <col min="4871" max="4871" width="4.17578125" customWidth="1"/>
    <col min="4872" max="4872" width="9.5859375" customWidth="1"/>
    <col min="5115" max="5115" width="4.5859375" customWidth="1"/>
    <col min="5116" max="5116" width="2.9375" customWidth="1"/>
    <col min="5117" max="5117" width="1.1171875" customWidth="1"/>
    <col min="5118" max="5118" width="23.17578125" customWidth="1"/>
    <col min="5121" max="5121" width="2.05859375" customWidth="1"/>
    <col min="5122" max="5122" width="10.29296875" customWidth="1"/>
    <col min="5123" max="5123" width="2.41015625" customWidth="1"/>
    <col min="5125" max="5125" width="3.9375" customWidth="1"/>
    <col min="5127" max="5127" width="4.17578125" customWidth="1"/>
    <col min="5128" max="5128" width="9.5859375" customWidth="1"/>
    <col min="5371" max="5371" width="4.5859375" customWidth="1"/>
    <col min="5372" max="5372" width="2.9375" customWidth="1"/>
    <col min="5373" max="5373" width="1.1171875" customWidth="1"/>
    <col min="5374" max="5374" width="23.17578125" customWidth="1"/>
    <col min="5377" max="5377" width="2.05859375" customWidth="1"/>
    <col min="5378" max="5378" width="10.29296875" customWidth="1"/>
    <col min="5379" max="5379" width="2.41015625" customWidth="1"/>
    <col min="5381" max="5381" width="3.9375" customWidth="1"/>
    <col min="5383" max="5383" width="4.17578125" customWidth="1"/>
    <col min="5384" max="5384" width="9.5859375" customWidth="1"/>
    <col min="5627" max="5627" width="4.5859375" customWidth="1"/>
    <col min="5628" max="5628" width="2.9375" customWidth="1"/>
    <col min="5629" max="5629" width="1.1171875" customWidth="1"/>
    <col min="5630" max="5630" width="23.17578125" customWidth="1"/>
    <col min="5633" max="5633" width="2.05859375" customWidth="1"/>
    <col min="5634" max="5634" width="10.29296875" customWidth="1"/>
    <col min="5635" max="5635" width="2.41015625" customWidth="1"/>
    <col min="5637" max="5637" width="3.9375" customWidth="1"/>
    <col min="5639" max="5639" width="4.17578125" customWidth="1"/>
    <col min="5640" max="5640" width="9.5859375" customWidth="1"/>
    <col min="5883" max="5883" width="4.5859375" customWidth="1"/>
    <col min="5884" max="5884" width="2.9375" customWidth="1"/>
    <col min="5885" max="5885" width="1.1171875" customWidth="1"/>
    <col min="5886" max="5886" width="23.17578125" customWidth="1"/>
    <col min="5889" max="5889" width="2.05859375" customWidth="1"/>
    <col min="5890" max="5890" width="10.29296875" customWidth="1"/>
    <col min="5891" max="5891" width="2.41015625" customWidth="1"/>
    <col min="5893" max="5893" width="3.9375" customWidth="1"/>
    <col min="5895" max="5895" width="4.17578125" customWidth="1"/>
    <col min="5896" max="5896" width="9.5859375" customWidth="1"/>
    <col min="6139" max="6139" width="4.5859375" customWidth="1"/>
    <col min="6140" max="6140" width="2.9375" customWidth="1"/>
    <col min="6141" max="6141" width="1.1171875" customWidth="1"/>
    <col min="6142" max="6142" width="23.17578125" customWidth="1"/>
    <col min="6145" max="6145" width="2.05859375" customWidth="1"/>
    <col min="6146" max="6146" width="10.29296875" customWidth="1"/>
    <col min="6147" max="6147" width="2.41015625" customWidth="1"/>
    <col min="6149" max="6149" width="3.9375" customWidth="1"/>
    <col min="6151" max="6151" width="4.17578125" customWidth="1"/>
    <col min="6152" max="6152" width="9.5859375" customWidth="1"/>
    <col min="6395" max="6395" width="4.5859375" customWidth="1"/>
    <col min="6396" max="6396" width="2.9375" customWidth="1"/>
    <col min="6397" max="6397" width="1.1171875" customWidth="1"/>
    <col min="6398" max="6398" width="23.17578125" customWidth="1"/>
    <col min="6401" max="6401" width="2.05859375" customWidth="1"/>
    <col min="6402" max="6402" width="10.29296875" customWidth="1"/>
    <col min="6403" max="6403" width="2.41015625" customWidth="1"/>
    <col min="6405" max="6405" width="3.9375" customWidth="1"/>
    <col min="6407" max="6407" width="4.17578125" customWidth="1"/>
    <col min="6408" max="6408" width="9.5859375" customWidth="1"/>
    <col min="6651" max="6651" width="4.5859375" customWidth="1"/>
    <col min="6652" max="6652" width="2.9375" customWidth="1"/>
    <col min="6653" max="6653" width="1.1171875" customWidth="1"/>
    <col min="6654" max="6654" width="23.17578125" customWidth="1"/>
    <col min="6657" max="6657" width="2.05859375" customWidth="1"/>
    <col min="6658" max="6658" width="10.29296875" customWidth="1"/>
    <col min="6659" max="6659" width="2.41015625" customWidth="1"/>
    <col min="6661" max="6661" width="3.9375" customWidth="1"/>
    <col min="6663" max="6663" width="4.17578125" customWidth="1"/>
    <col min="6664" max="6664" width="9.5859375" customWidth="1"/>
    <col min="6907" max="6907" width="4.5859375" customWidth="1"/>
    <col min="6908" max="6908" width="2.9375" customWidth="1"/>
    <col min="6909" max="6909" width="1.1171875" customWidth="1"/>
    <col min="6910" max="6910" width="23.17578125" customWidth="1"/>
    <col min="6913" max="6913" width="2.05859375" customWidth="1"/>
    <col min="6914" max="6914" width="10.29296875" customWidth="1"/>
    <col min="6915" max="6915" width="2.41015625" customWidth="1"/>
    <col min="6917" max="6917" width="3.9375" customWidth="1"/>
    <col min="6919" max="6919" width="4.17578125" customWidth="1"/>
    <col min="6920" max="6920" width="9.5859375" customWidth="1"/>
    <col min="7163" max="7163" width="4.5859375" customWidth="1"/>
    <col min="7164" max="7164" width="2.9375" customWidth="1"/>
    <col min="7165" max="7165" width="1.1171875" customWidth="1"/>
    <col min="7166" max="7166" width="23.17578125" customWidth="1"/>
    <col min="7169" max="7169" width="2.05859375" customWidth="1"/>
    <col min="7170" max="7170" width="10.29296875" customWidth="1"/>
    <col min="7171" max="7171" width="2.41015625" customWidth="1"/>
    <col min="7173" max="7173" width="3.9375" customWidth="1"/>
    <col min="7175" max="7175" width="4.17578125" customWidth="1"/>
    <col min="7176" max="7176" width="9.5859375" customWidth="1"/>
    <col min="7419" max="7419" width="4.5859375" customWidth="1"/>
    <col min="7420" max="7420" width="2.9375" customWidth="1"/>
    <col min="7421" max="7421" width="1.1171875" customWidth="1"/>
    <col min="7422" max="7422" width="23.17578125" customWidth="1"/>
    <col min="7425" max="7425" width="2.05859375" customWidth="1"/>
    <col min="7426" max="7426" width="10.29296875" customWidth="1"/>
    <col min="7427" max="7427" width="2.41015625" customWidth="1"/>
    <col min="7429" max="7429" width="3.9375" customWidth="1"/>
    <col min="7431" max="7431" width="4.17578125" customWidth="1"/>
    <col min="7432" max="7432" width="9.5859375" customWidth="1"/>
    <col min="7675" max="7675" width="4.5859375" customWidth="1"/>
    <col min="7676" max="7676" width="2.9375" customWidth="1"/>
    <col min="7677" max="7677" width="1.1171875" customWidth="1"/>
    <col min="7678" max="7678" width="23.17578125" customWidth="1"/>
    <col min="7681" max="7681" width="2.05859375" customWidth="1"/>
    <col min="7682" max="7682" width="10.29296875" customWidth="1"/>
    <col min="7683" max="7683" width="2.41015625" customWidth="1"/>
    <col min="7685" max="7685" width="3.9375" customWidth="1"/>
    <col min="7687" max="7687" width="4.17578125" customWidth="1"/>
    <col min="7688" max="7688" width="9.5859375" customWidth="1"/>
    <col min="7931" max="7931" width="4.5859375" customWidth="1"/>
    <col min="7932" max="7932" width="2.9375" customWidth="1"/>
    <col min="7933" max="7933" width="1.1171875" customWidth="1"/>
    <col min="7934" max="7934" width="23.17578125" customWidth="1"/>
    <col min="7937" max="7937" width="2.05859375" customWidth="1"/>
    <col min="7938" max="7938" width="10.29296875" customWidth="1"/>
    <col min="7939" max="7939" width="2.41015625" customWidth="1"/>
    <col min="7941" max="7941" width="3.9375" customWidth="1"/>
    <col min="7943" max="7943" width="4.17578125" customWidth="1"/>
    <col min="7944" max="7944" width="9.5859375" customWidth="1"/>
    <col min="8187" max="8187" width="4.5859375" customWidth="1"/>
    <col min="8188" max="8188" width="2.9375" customWidth="1"/>
    <col min="8189" max="8189" width="1.1171875" customWidth="1"/>
    <col min="8190" max="8190" width="23.17578125" customWidth="1"/>
    <col min="8193" max="8193" width="2.05859375" customWidth="1"/>
    <col min="8194" max="8194" width="10.29296875" customWidth="1"/>
    <col min="8195" max="8195" width="2.41015625" customWidth="1"/>
    <col min="8197" max="8197" width="3.9375" customWidth="1"/>
    <col min="8199" max="8199" width="4.17578125" customWidth="1"/>
    <col min="8200" max="8200" width="9.5859375" customWidth="1"/>
    <col min="8443" max="8443" width="4.5859375" customWidth="1"/>
    <col min="8444" max="8444" width="2.9375" customWidth="1"/>
    <col min="8445" max="8445" width="1.1171875" customWidth="1"/>
    <col min="8446" max="8446" width="23.17578125" customWidth="1"/>
    <col min="8449" max="8449" width="2.05859375" customWidth="1"/>
    <col min="8450" max="8450" width="10.29296875" customWidth="1"/>
    <col min="8451" max="8451" width="2.41015625" customWidth="1"/>
    <col min="8453" max="8453" width="3.9375" customWidth="1"/>
    <col min="8455" max="8455" width="4.17578125" customWidth="1"/>
    <col min="8456" max="8456" width="9.5859375" customWidth="1"/>
    <col min="8699" max="8699" width="4.5859375" customWidth="1"/>
    <col min="8700" max="8700" width="2.9375" customWidth="1"/>
    <col min="8701" max="8701" width="1.1171875" customWidth="1"/>
    <col min="8702" max="8702" width="23.17578125" customWidth="1"/>
    <col min="8705" max="8705" width="2.05859375" customWidth="1"/>
    <col min="8706" max="8706" width="10.29296875" customWidth="1"/>
    <col min="8707" max="8707" width="2.41015625" customWidth="1"/>
    <col min="8709" max="8709" width="3.9375" customWidth="1"/>
    <col min="8711" max="8711" width="4.17578125" customWidth="1"/>
    <col min="8712" max="8712" width="9.5859375" customWidth="1"/>
    <col min="8955" max="8955" width="4.5859375" customWidth="1"/>
    <col min="8956" max="8956" width="2.9375" customWidth="1"/>
    <col min="8957" max="8957" width="1.1171875" customWidth="1"/>
    <col min="8958" max="8958" width="23.17578125" customWidth="1"/>
    <col min="8961" max="8961" width="2.05859375" customWidth="1"/>
    <col min="8962" max="8962" width="10.29296875" customWidth="1"/>
    <col min="8963" max="8963" width="2.41015625" customWidth="1"/>
    <col min="8965" max="8965" width="3.9375" customWidth="1"/>
    <col min="8967" max="8967" width="4.17578125" customWidth="1"/>
    <col min="8968" max="8968" width="9.5859375" customWidth="1"/>
    <col min="9211" max="9211" width="4.5859375" customWidth="1"/>
    <col min="9212" max="9212" width="2.9375" customWidth="1"/>
    <col min="9213" max="9213" width="1.1171875" customWidth="1"/>
    <col min="9214" max="9214" width="23.17578125" customWidth="1"/>
    <col min="9217" max="9217" width="2.05859375" customWidth="1"/>
    <col min="9218" max="9218" width="10.29296875" customWidth="1"/>
    <col min="9219" max="9219" width="2.41015625" customWidth="1"/>
    <col min="9221" max="9221" width="3.9375" customWidth="1"/>
    <col min="9223" max="9223" width="4.17578125" customWidth="1"/>
    <col min="9224" max="9224" width="9.5859375" customWidth="1"/>
    <col min="9467" max="9467" width="4.5859375" customWidth="1"/>
    <col min="9468" max="9468" width="2.9375" customWidth="1"/>
    <col min="9469" max="9469" width="1.1171875" customWidth="1"/>
    <col min="9470" max="9470" width="23.17578125" customWidth="1"/>
    <col min="9473" max="9473" width="2.05859375" customWidth="1"/>
    <col min="9474" max="9474" width="10.29296875" customWidth="1"/>
    <col min="9475" max="9475" width="2.41015625" customWidth="1"/>
    <col min="9477" max="9477" width="3.9375" customWidth="1"/>
    <col min="9479" max="9479" width="4.17578125" customWidth="1"/>
    <col min="9480" max="9480" width="9.5859375" customWidth="1"/>
    <col min="9723" max="9723" width="4.5859375" customWidth="1"/>
    <col min="9724" max="9724" width="2.9375" customWidth="1"/>
    <col min="9725" max="9725" width="1.1171875" customWidth="1"/>
    <col min="9726" max="9726" width="23.17578125" customWidth="1"/>
    <col min="9729" max="9729" width="2.05859375" customWidth="1"/>
    <col min="9730" max="9730" width="10.29296875" customWidth="1"/>
    <col min="9731" max="9731" width="2.41015625" customWidth="1"/>
    <col min="9733" max="9733" width="3.9375" customWidth="1"/>
    <col min="9735" max="9735" width="4.17578125" customWidth="1"/>
    <col min="9736" max="9736" width="9.5859375" customWidth="1"/>
    <col min="9979" max="9979" width="4.5859375" customWidth="1"/>
    <col min="9980" max="9980" width="2.9375" customWidth="1"/>
    <col min="9981" max="9981" width="1.1171875" customWidth="1"/>
    <col min="9982" max="9982" width="23.17578125" customWidth="1"/>
    <col min="9985" max="9985" width="2.05859375" customWidth="1"/>
    <col min="9986" max="9986" width="10.29296875" customWidth="1"/>
    <col min="9987" max="9987" width="2.41015625" customWidth="1"/>
    <col min="9989" max="9989" width="3.9375" customWidth="1"/>
    <col min="9991" max="9991" width="4.17578125" customWidth="1"/>
    <col min="9992" max="9992" width="9.5859375" customWidth="1"/>
    <col min="10235" max="10235" width="4.5859375" customWidth="1"/>
    <col min="10236" max="10236" width="2.9375" customWidth="1"/>
    <col min="10237" max="10237" width="1.1171875" customWidth="1"/>
    <col min="10238" max="10238" width="23.17578125" customWidth="1"/>
    <col min="10241" max="10241" width="2.05859375" customWidth="1"/>
    <col min="10242" max="10242" width="10.29296875" customWidth="1"/>
    <col min="10243" max="10243" width="2.41015625" customWidth="1"/>
    <col min="10245" max="10245" width="3.9375" customWidth="1"/>
    <col min="10247" max="10247" width="4.17578125" customWidth="1"/>
    <col min="10248" max="10248" width="9.5859375" customWidth="1"/>
    <col min="10491" max="10491" width="4.5859375" customWidth="1"/>
    <col min="10492" max="10492" width="2.9375" customWidth="1"/>
    <col min="10493" max="10493" width="1.1171875" customWidth="1"/>
    <col min="10494" max="10494" width="23.17578125" customWidth="1"/>
    <col min="10497" max="10497" width="2.05859375" customWidth="1"/>
    <col min="10498" max="10498" width="10.29296875" customWidth="1"/>
    <col min="10499" max="10499" width="2.41015625" customWidth="1"/>
    <col min="10501" max="10501" width="3.9375" customWidth="1"/>
    <col min="10503" max="10503" width="4.17578125" customWidth="1"/>
    <col min="10504" max="10504" width="9.5859375" customWidth="1"/>
    <col min="10747" max="10747" width="4.5859375" customWidth="1"/>
    <col min="10748" max="10748" width="2.9375" customWidth="1"/>
    <col min="10749" max="10749" width="1.1171875" customWidth="1"/>
    <col min="10750" max="10750" width="23.17578125" customWidth="1"/>
    <col min="10753" max="10753" width="2.05859375" customWidth="1"/>
    <col min="10754" max="10754" width="10.29296875" customWidth="1"/>
    <col min="10755" max="10755" width="2.41015625" customWidth="1"/>
    <col min="10757" max="10757" width="3.9375" customWidth="1"/>
    <col min="10759" max="10759" width="4.17578125" customWidth="1"/>
    <col min="10760" max="10760" width="9.5859375" customWidth="1"/>
    <col min="11003" max="11003" width="4.5859375" customWidth="1"/>
    <col min="11004" max="11004" width="2.9375" customWidth="1"/>
    <col min="11005" max="11005" width="1.1171875" customWidth="1"/>
    <col min="11006" max="11006" width="23.17578125" customWidth="1"/>
    <col min="11009" max="11009" width="2.05859375" customWidth="1"/>
    <col min="11010" max="11010" width="10.29296875" customWidth="1"/>
    <col min="11011" max="11011" width="2.41015625" customWidth="1"/>
    <col min="11013" max="11013" width="3.9375" customWidth="1"/>
    <col min="11015" max="11015" width="4.17578125" customWidth="1"/>
    <col min="11016" max="11016" width="9.5859375" customWidth="1"/>
    <col min="11259" max="11259" width="4.5859375" customWidth="1"/>
    <col min="11260" max="11260" width="2.9375" customWidth="1"/>
    <col min="11261" max="11261" width="1.1171875" customWidth="1"/>
    <col min="11262" max="11262" width="23.17578125" customWidth="1"/>
    <col min="11265" max="11265" width="2.05859375" customWidth="1"/>
    <col min="11266" max="11266" width="10.29296875" customWidth="1"/>
    <col min="11267" max="11267" width="2.41015625" customWidth="1"/>
    <col min="11269" max="11269" width="3.9375" customWidth="1"/>
    <col min="11271" max="11271" width="4.17578125" customWidth="1"/>
    <col min="11272" max="11272" width="9.5859375" customWidth="1"/>
    <col min="11515" max="11515" width="4.5859375" customWidth="1"/>
    <col min="11516" max="11516" width="2.9375" customWidth="1"/>
    <col min="11517" max="11517" width="1.1171875" customWidth="1"/>
    <col min="11518" max="11518" width="23.17578125" customWidth="1"/>
    <col min="11521" max="11521" width="2.05859375" customWidth="1"/>
    <col min="11522" max="11522" width="10.29296875" customWidth="1"/>
    <col min="11523" max="11523" width="2.41015625" customWidth="1"/>
    <col min="11525" max="11525" width="3.9375" customWidth="1"/>
    <col min="11527" max="11527" width="4.17578125" customWidth="1"/>
    <col min="11528" max="11528" width="9.5859375" customWidth="1"/>
    <col min="11771" max="11771" width="4.5859375" customWidth="1"/>
    <col min="11772" max="11772" width="2.9375" customWidth="1"/>
    <col min="11773" max="11773" width="1.1171875" customWidth="1"/>
    <col min="11774" max="11774" width="23.17578125" customWidth="1"/>
    <col min="11777" max="11777" width="2.05859375" customWidth="1"/>
    <col min="11778" max="11778" width="10.29296875" customWidth="1"/>
    <col min="11779" max="11779" width="2.41015625" customWidth="1"/>
    <col min="11781" max="11781" width="3.9375" customWidth="1"/>
    <col min="11783" max="11783" width="4.17578125" customWidth="1"/>
    <col min="11784" max="11784" width="9.5859375" customWidth="1"/>
    <col min="12027" max="12027" width="4.5859375" customWidth="1"/>
    <col min="12028" max="12028" width="2.9375" customWidth="1"/>
    <col min="12029" max="12029" width="1.1171875" customWidth="1"/>
    <col min="12030" max="12030" width="23.17578125" customWidth="1"/>
    <col min="12033" max="12033" width="2.05859375" customWidth="1"/>
    <col min="12034" max="12034" width="10.29296875" customWidth="1"/>
    <col min="12035" max="12035" width="2.41015625" customWidth="1"/>
    <col min="12037" max="12037" width="3.9375" customWidth="1"/>
    <col min="12039" max="12039" width="4.17578125" customWidth="1"/>
    <col min="12040" max="12040" width="9.5859375" customWidth="1"/>
    <col min="12283" max="12283" width="4.5859375" customWidth="1"/>
    <col min="12284" max="12284" width="2.9375" customWidth="1"/>
    <col min="12285" max="12285" width="1.1171875" customWidth="1"/>
    <col min="12286" max="12286" width="23.17578125" customWidth="1"/>
    <col min="12289" max="12289" width="2.05859375" customWidth="1"/>
    <col min="12290" max="12290" width="10.29296875" customWidth="1"/>
    <col min="12291" max="12291" width="2.41015625" customWidth="1"/>
    <col min="12293" max="12293" width="3.9375" customWidth="1"/>
    <col min="12295" max="12295" width="4.17578125" customWidth="1"/>
    <col min="12296" max="12296" width="9.5859375" customWidth="1"/>
    <col min="12539" max="12539" width="4.5859375" customWidth="1"/>
    <col min="12540" max="12540" width="2.9375" customWidth="1"/>
    <col min="12541" max="12541" width="1.1171875" customWidth="1"/>
    <col min="12542" max="12542" width="23.17578125" customWidth="1"/>
    <col min="12545" max="12545" width="2.05859375" customWidth="1"/>
    <col min="12546" max="12546" width="10.29296875" customWidth="1"/>
    <col min="12547" max="12547" width="2.41015625" customWidth="1"/>
    <col min="12549" max="12549" width="3.9375" customWidth="1"/>
    <col min="12551" max="12551" width="4.17578125" customWidth="1"/>
    <col min="12552" max="12552" width="9.5859375" customWidth="1"/>
    <col min="12795" max="12795" width="4.5859375" customWidth="1"/>
    <col min="12796" max="12796" width="2.9375" customWidth="1"/>
    <col min="12797" max="12797" width="1.1171875" customWidth="1"/>
    <col min="12798" max="12798" width="23.17578125" customWidth="1"/>
    <col min="12801" max="12801" width="2.05859375" customWidth="1"/>
    <col min="12802" max="12802" width="10.29296875" customWidth="1"/>
    <col min="12803" max="12803" width="2.41015625" customWidth="1"/>
    <col min="12805" max="12805" width="3.9375" customWidth="1"/>
    <col min="12807" max="12807" width="4.17578125" customWidth="1"/>
    <col min="12808" max="12808" width="9.5859375" customWidth="1"/>
    <col min="13051" max="13051" width="4.5859375" customWidth="1"/>
    <col min="13052" max="13052" width="2.9375" customWidth="1"/>
    <col min="13053" max="13053" width="1.1171875" customWidth="1"/>
    <col min="13054" max="13054" width="23.17578125" customWidth="1"/>
    <col min="13057" max="13057" width="2.05859375" customWidth="1"/>
    <col min="13058" max="13058" width="10.29296875" customWidth="1"/>
    <col min="13059" max="13059" width="2.41015625" customWidth="1"/>
    <col min="13061" max="13061" width="3.9375" customWidth="1"/>
    <col min="13063" max="13063" width="4.17578125" customWidth="1"/>
    <col min="13064" max="13064" width="9.5859375" customWidth="1"/>
    <col min="13307" max="13307" width="4.5859375" customWidth="1"/>
    <col min="13308" max="13308" width="2.9375" customWidth="1"/>
    <col min="13309" max="13309" width="1.1171875" customWidth="1"/>
    <col min="13310" max="13310" width="23.17578125" customWidth="1"/>
    <col min="13313" max="13313" width="2.05859375" customWidth="1"/>
    <col min="13314" max="13314" width="10.29296875" customWidth="1"/>
    <col min="13315" max="13315" width="2.41015625" customWidth="1"/>
    <col min="13317" max="13317" width="3.9375" customWidth="1"/>
    <col min="13319" max="13319" width="4.17578125" customWidth="1"/>
    <col min="13320" max="13320" width="9.5859375" customWidth="1"/>
    <col min="13563" max="13563" width="4.5859375" customWidth="1"/>
    <col min="13564" max="13564" width="2.9375" customWidth="1"/>
    <col min="13565" max="13565" width="1.1171875" customWidth="1"/>
    <col min="13566" max="13566" width="23.17578125" customWidth="1"/>
    <col min="13569" max="13569" width="2.05859375" customWidth="1"/>
    <col min="13570" max="13570" width="10.29296875" customWidth="1"/>
    <col min="13571" max="13571" width="2.41015625" customWidth="1"/>
    <col min="13573" max="13573" width="3.9375" customWidth="1"/>
    <col min="13575" max="13575" width="4.17578125" customWidth="1"/>
    <col min="13576" max="13576" width="9.5859375" customWidth="1"/>
    <col min="13819" max="13819" width="4.5859375" customWidth="1"/>
    <col min="13820" max="13820" width="2.9375" customWidth="1"/>
    <col min="13821" max="13821" width="1.1171875" customWidth="1"/>
    <col min="13822" max="13822" width="23.17578125" customWidth="1"/>
    <col min="13825" max="13825" width="2.05859375" customWidth="1"/>
    <col min="13826" max="13826" width="10.29296875" customWidth="1"/>
    <col min="13827" max="13827" width="2.41015625" customWidth="1"/>
    <col min="13829" max="13829" width="3.9375" customWidth="1"/>
    <col min="13831" max="13831" width="4.17578125" customWidth="1"/>
    <col min="13832" max="13832" width="9.5859375" customWidth="1"/>
    <col min="14075" max="14075" width="4.5859375" customWidth="1"/>
    <col min="14076" max="14076" width="2.9375" customWidth="1"/>
    <col min="14077" max="14077" width="1.1171875" customWidth="1"/>
    <col min="14078" max="14078" width="23.17578125" customWidth="1"/>
    <col min="14081" max="14081" width="2.05859375" customWidth="1"/>
    <col min="14082" max="14082" width="10.29296875" customWidth="1"/>
    <col min="14083" max="14083" width="2.41015625" customWidth="1"/>
    <col min="14085" max="14085" width="3.9375" customWidth="1"/>
    <col min="14087" max="14087" width="4.17578125" customWidth="1"/>
    <col min="14088" max="14088" width="9.5859375" customWidth="1"/>
    <col min="14331" max="14331" width="4.5859375" customWidth="1"/>
    <col min="14332" max="14332" width="2.9375" customWidth="1"/>
    <col min="14333" max="14333" width="1.1171875" customWidth="1"/>
    <col min="14334" max="14334" width="23.17578125" customWidth="1"/>
    <col min="14337" max="14337" width="2.05859375" customWidth="1"/>
    <col min="14338" max="14338" width="10.29296875" customWidth="1"/>
    <col min="14339" max="14339" width="2.41015625" customWidth="1"/>
    <col min="14341" max="14341" width="3.9375" customWidth="1"/>
    <col min="14343" max="14343" width="4.17578125" customWidth="1"/>
    <col min="14344" max="14344" width="9.5859375" customWidth="1"/>
    <col min="14587" max="14587" width="4.5859375" customWidth="1"/>
    <col min="14588" max="14588" width="2.9375" customWidth="1"/>
    <col min="14589" max="14589" width="1.1171875" customWidth="1"/>
    <col min="14590" max="14590" width="23.17578125" customWidth="1"/>
    <col min="14593" max="14593" width="2.05859375" customWidth="1"/>
    <col min="14594" max="14594" width="10.29296875" customWidth="1"/>
    <col min="14595" max="14595" width="2.41015625" customWidth="1"/>
    <col min="14597" max="14597" width="3.9375" customWidth="1"/>
    <col min="14599" max="14599" width="4.17578125" customWidth="1"/>
    <col min="14600" max="14600" width="9.5859375" customWidth="1"/>
    <col min="14843" max="14843" width="4.5859375" customWidth="1"/>
    <col min="14844" max="14844" width="2.9375" customWidth="1"/>
    <col min="14845" max="14845" width="1.1171875" customWidth="1"/>
    <col min="14846" max="14846" width="23.17578125" customWidth="1"/>
    <col min="14849" max="14849" width="2.05859375" customWidth="1"/>
    <col min="14850" max="14850" width="10.29296875" customWidth="1"/>
    <col min="14851" max="14851" width="2.41015625" customWidth="1"/>
    <col min="14853" max="14853" width="3.9375" customWidth="1"/>
    <col min="14855" max="14855" width="4.17578125" customWidth="1"/>
    <col min="14856" max="14856" width="9.5859375" customWidth="1"/>
    <col min="15099" max="15099" width="4.5859375" customWidth="1"/>
    <col min="15100" max="15100" width="2.9375" customWidth="1"/>
    <col min="15101" max="15101" width="1.1171875" customWidth="1"/>
    <col min="15102" max="15102" width="23.17578125" customWidth="1"/>
    <col min="15105" max="15105" width="2.05859375" customWidth="1"/>
    <col min="15106" max="15106" width="10.29296875" customWidth="1"/>
    <col min="15107" max="15107" width="2.41015625" customWidth="1"/>
    <col min="15109" max="15109" width="3.9375" customWidth="1"/>
    <col min="15111" max="15111" width="4.17578125" customWidth="1"/>
    <col min="15112" max="15112" width="9.5859375" customWidth="1"/>
    <col min="15355" max="15355" width="4.5859375" customWidth="1"/>
    <col min="15356" max="15356" width="2.9375" customWidth="1"/>
    <col min="15357" max="15357" width="1.1171875" customWidth="1"/>
    <col min="15358" max="15358" width="23.17578125" customWidth="1"/>
    <col min="15361" max="15361" width="2.05859375" customWidth="1"/>
    <col min="15362" max="15362" width="10.29296875" customWidth="1"/>
    <col min="15363" max="15363" width="2.41015625" customWidth="1"/>
    <col min="15365" max="15365" width="3.9375" customWidth="1"/>
    <col min="15367" max="15367" width="4.17578125" customWidth="1"/>
    <col min="15368" max="15368" width="9.5859375" customWidth="1"/>
    <col min="15611" max="15611" width="4.5859375" customWidth="1"/>
    <col min="15612" max="15612" width="2.9375" customWidth="1"/>
    <col min="15613" max="15613" width="1.1171875" customWidth="1"/>
    <col min="15614" max="15614" width="23.17578125" customWidth="1"/>
    <col min="15617" max="15617" width="2.05859375" customWidth="1"/>
    <col min="15618" max="15618" width="10.29296875" customWidth="1"/>
    <col min="15619" max="15619" width="2.41015625" customWidth="1"/>
    <col min="15621" max="15621" width="3.9375" customWidth="1"/>
    <col min="15623" max="15623" width="4.17578125" customWidth="1"/>
    <col min="15624" max="15624" width="9.5859375" customWidth="1"/>
    <col min="15867" max="15867" width="4.5859375" customWidth="1"/>
    <col min="15868" max="15868" width="2.9375" customWidth="1"/>
    <col min="15869" max="15869" width="1.1171875" customWidth="1"/>
    <col min="15870" max="15870" width="23.17578125" customWidth="1"/>
    <col min="15873" max="15873" width="2.05859375" customWidth="1"/>
    <col min="15874" max="15874" width="10.29296875" customWidth="1"/>
    <col min="15875" max="15875" width="2.41015625" customWidth="1"/>
    <col min="15877" max="15877" width="3.9375" customWidth="1"/>
    <col min="15879" max="15879" width="4.17578125" customWidth="1"/>
    <col min="15880" max="15880" width="9.5859375" customWidth="1"/>
    <col min="16123" max="16123" width="4.5859375" customWidth="1"/>
    <col min="16124" max="16124" width="2.9375" customWidth="1"/>
    <col min="16125" max="16125" width="1.1171875" customWidth="1"/>
    <col min="16126" max="16126" width="23.17578125" customWidth="1"/>
    <col min="16129" max="16129" width="2.05859375" customWidth="1"/>
    <col min="16130" max="16130" width="10.29296875" customWidth="1"/>
    <col min="16131" max="16131" width="2.41015625" customWidth="1"/>
    <col min="16133" max="16133" width="3.9375" customWidth="1"/>
    <col min="16135" max="16135" width="4.17578125" customWidth="1"/>
    <col min="16136" max="16136" width="9.5859375" customWidth="1"/>
  </cols>
  <sheetData>
    <row r="1" spans="2:13" ht="14.7" thickBot="1" x14ac:dyDescent="0.55000000000000004"/>
    <row r="2" spans="2:13" ht="20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75" customHeight="1" x14ac:dyDescent="0.5">
      <c r="B3" s="72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7.85" customHeight="1" x14ac:dyDescent="0.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14.7" thickBot="1" x14ac:dyDescent="0.55000000000000004">
      <c r="B5" s="7"/>
      <c r="C5" s="5"/>
      <c r="D5" s="101" t="s">
        <v>43</v>
      </c>
      <c r="E5" s="101"/>
      <c r="F5" s="101"/>
      <c r="G5" s="5"/>
      <c r="H5" s="101" t="s">
        <v>42</v>
      </c>
      <c r="I5" s="101"/>
      <c r="J5" s="101"/>
      <c r="K5" s="101"/>
      <c r="L5" s="101"/>
      <c r="M5" s="6"/>
    </row>
    <row r="6" spans="2:13" ht="15.75" customHeight="1" thickBot="1" x14ac:dyDescent="0.55000000000000004">
      <c r="B6" s="100" t="s">
        <v>173</v>
      </c>
      <c r="C6" s="5"/>
      <c r="D6" s="9" t="s">
        <v>19</v>
      </c>
      <c r="E6" s="10"/>
      <c r="F6" s="9" t="s">
        <v>18</v>
      </c>
      <c r="G6" s="5"/>
      <c r="H6" s="9" t="s">
        <v>20</v>
      </c>
      <c r="I6" s="9" t="s">
        <v>21</v>
      </c>
      <c r="J6" s="9" t="s">
        <v>22</v>
      </c>
      <c r="K6" s="9" t="s">
        <v>23</v>
      </c>
      <c r="L6" s="9" t="s">
        <v>24</v>
      </c>
      <c r="M6" s="6"/>
    </row>
    <row r="7" spans="2:13" ht="8.25" customHeight="1" x14ac:dyDescent="0.5">
      <c r="B7" s="93"/>
      <c r="C7" s="5"/>
      <c r="D7" s="8"/>
      <c r="E7" s="11"/>
      <c r="F7" s="8"/>
      <c r="G7" s="5"/>
      <c r="H7" s="5"/>
      <c r="I7" s="5"/>
      <c r="J7" s="5"/>
      <c r="K7" s="5"/>
      <c r="L7" s="5"/>
      <c r="M7" s="6"/>
    </row>
    <row r="8" spans="2:13" x14ac:dyDescent="0.5">
      <c r="B8" s="41" t="s">
        <v>2</v>
      </c>
      <c r="C8" s="5"/>
      <c r="D8" s="5"/>
      <c r="E8" s="11"/>
      <c r="F8" s="5"/>
      <c r="G8" s="5"/>
      <c r="H8" s="5"/>
      <c r="I8" s="5"/>
      <c r="J8" s="5"/>
      <c r="K8" s="5"/>
      <c r="L8" s="5"/>
      <c r="M8" s="6"/>
    </row>
    <row r="9" spans="2:13" x14ac:dyDescent="0.5">
      <c r="B9" s="7" t="s">
        <v>3</v>
      </c>
      <c r="C9" s="5"/>
      <c r="D9" s="35">
        <v>800000</v>
      </c>
      <c r="E9" s="36"/>
      <c r="F9" s="35">
        <v>920000</v>
      </c>
      <c r="G9" s="5"/>
      <c r="H9" s="30">
        <f>+'Revene Assump'!H15*'Revene Assump'!H27</f>
        <v>1004640.0000000001</v>
      </c>
      <c r="I9" s="30">
        <f>+'Revene Assump'!I15*'Revene Assump'!I27</f>
        <v>1086593.5079999999</v>
      </c>
      <c r="J9" s="30">
        <f>+'Revene Assump'!J15*'Revene Assump'!J27</f>
        <v>1152767.0526372001</v>
      </c>
      <c r="K9" s="30">
        <f>+'Revene Assump'!K15*'Revene Assump'!K27</f>
        <v>1211125.8846769582</v>
      </c>
      <c r="L9" s="30">
        <f>+'Revene Assump'!L15*'Revene Assump'!L27</f>
        <v>1266232.1124297597</v>
      </c>
      <c r="M9" s="6"/>
    </row>
    <row r="10" spans="2:13" x14ac:dyDescent="0.5">
      <c r="B10" s="7" t="s">
        <v>4</v>
      </c>
      <c r="C10" s="5"/>
      <c r="D10" s="35">
        <v>120000</v>
      </c>
      <c r="E10" s="36"/>
      <c r="F10" s="35">
        <v>140000</v>
      </c>
      <c r="G10" s="5"/>
      <c r="H10" s="30">
        <f>+'Revene Assump'!H16*'Revene Assump'!H28</f>
        <v>161700</v>
      </c>
      <c r="I10" s="30">
        <f>+'Revene Assump'!I16*'Revene Assump'!I28</f>
        <v>182494.62</v>
      </c>
      <c r="J10" s="30">
        <f>+'Revene Assump'!J16*'Revene Assump'!J28</f>
        <v>201182.06908799999</v>
      </c>
      <c r="K10" s="30">
        <f>+'Revene Assump'!K16*'Revene Assump'!K28</f>
        <v>215506.23240706563</v>
      </c>
      <c r="L10" s="30">
        <f>+'Revene Assump'!L16*'Revene Assump'!L28</f>
        <v>225311.76598158709</v>
      </c>
      <c r="M10" s="6"/>
    </row>
    <row r="11" spans="2:13" x14ac:dyDescent="0.5">
      <c r="B11" s="7" t="s">
        <v>5</v>
      </c>
      <c r="C11" s="5"/>
      <c r="D11" s="35">
        <v>40000</v>
      </c>
      <c r="E11" s="36"/>
      <c r="F11" s="35">
        <v>50000</v>
      </c>
      <c r="G11" s="5"/>
      <c r="H11" s="30">
        <f>+'Revene Assump'!H17*'Revene Assump'!H29</f>
        <v>61800</v>
      </c>
      <c r="I11" s="30">
        <f>+'Revene Assump'!I17*'Revene Assump'!I29</f>
        <v>75111.72</v>
      </c>
      <c r="J11" s="30">
        <f>+'Revene Assump'!J17*'Revene Assump'!J29</f>
        <v>88969.832339999994</v>
      </c>
      <c r="K11" s="30">
        <f>+'Revene Assump'!K17*'Revene Assump'!K29</f>
        <v>102635.598587424</v>
      </c>
      <c r="L11" s="30">
        <f>+'Revene Assump'!L17*'Revene Assump'!L29</f>
        <v>113617.60763627838</v>
      </c>
      <c r="M11" s="6"/>
    </row>
    <row r="12" spans="2:13" ht="13.85" customHeight="1" x14ac:dyDescent="0.5">
      <c r="B12" s="7" t="s">
        <v>6</v>
      </c>
      <c r="C12" s="5"/>
      <c r="D12" s="25">
        <f>SUM(D9:D11)</f>
        <v>960000</v>
      </c>
      <c r="E12" s="11"/>
      <c r="F12" s="25">
        <f>SUM(F9:F11)</f>
        <v>1110000</v>
      </c>
      <c r="G12" s="5"/>
      <c r="H12" s="26">
        <f>SUM(H9:H11)</f>
        <v>1228140</v>
      </c>
      <c r="I12" s="26">
        <f>SUM(I9:I11)</f>
        <v>1344199.848</v>
      </c>
      <c r="J12" s="26">
        <f>SUM(J9:J11)</f>
        <v>1442918.9540652002</v>
      </c>
      <c r="K12" s="26">
        <f>SUM(K9:K11)</f>
        <v>1529267.7156714478</v>
      </c>
      <c r="L12" s="26">
        <f>SUM(L9:L11)</f>
        <v>1605161.4860476251</v>
      </c>
      <c r="M12" s="6"/>
    </row>
    <row r="13" spans="2:13" ht="13.85" customHeight="1" x14ac:dyDescent="0.5">
      <c r="B13" s="94" t="s">
        <v>31</v>
      </c>
      <c r="C13" s="5"/>
      <c r="D13" s="32"/>
      <c r="E13" s="32"/>
      <c r="F13" s="33">
        <f>+F12/D12-1</f>
        <v>0.15625</v>
      </c>
      <c r="G13" s="34"/>
      <c r="H13" s="33">
        <f>+H12/F12-1</f>
        <v>0.10643243243243239</v>
      </c>
      <c r="I13" s="33">
        <f>+I12/H12-1</f>
        <v>9.4500503199960839E-2</v>
      </c>
      <c r="J13" s="33">
        <f>+J12/I12-1</f>
        <v>7.3440795438328488E-2</v>
      </c>
      <c r="K13" s="33">
        <f>+K12/J12-1</f>
        <v>5.9843112714663249E-2</v>
      </c>
      <c r="L13" s="33">
        <f>+L12/K12-1</f>
        <v>4.9627524074720375E-2</v>
      </c>
      <c r="M13" s="6"/>
    </row>
    <row r="14" spans="2:13" ht="6.75" customHeight="1" x14ac:dyDescent="0.5">
      <c r="B14" s="7"/>
      <c r="C14" s="5"/>
      <c r="D14" s="11"/>
      <c r="E14" s="11"/>
      <c r="F14" s="11"/>
      <c r="G14" s="5"/>
      <c r="H14" s="31"/>
      <c r="I14" s="31"/>
      <c r="J14" s="31"/>
      <c r="K14" s="31"/>
      <c r="L14" s="31"/>
      <c r="M14" s="6"/>
    </row>
    <row r="15" spans="2:13" x14ac:dyDescent="0.5">
      <c r="B15" s="41" t="s">
        <v>7</v>
      </c>
      <c r="C15" s="5"/>
      <c r="D15" s="11"/>
      <c r="E15" s="11"/>
      <c r="F15" s="11"/>
      <c r="G15" s="5"/>
      <c r="H15" s="31"/>
      <c r="I15" s="31"/>
      <c r="J15" s="31"/>
      <c r="K15" s="31"/>
      <c r="L15" s="31"/>
      <c r="M15" s="6"/>
    </row>
    <row r="16" spans="2:13" x14ac:dyDescent="0.5">
      <c r="B16" s="7" t="str">
        <f>+B9</f>
        <v xml:space="preserve">  U.S.</v>
      </c>
      <c r="C16" s="5"/>
      <c r="D16" s="35">
        <v>293000</v>
      </c>
      <c r="E16" s="36"/>
      <c r="F16" s="35">
        <v>350000</v>
      </c>
      <c r="G16" s="5"/>
      <c r="H16" s="31">
        <f>+H9*'Cost Assump'!H7</f>
        <v>381763.20000000007</v>
      </c>
      <c r="I16" s="31">
        <f>+I9*'Cost Assump'!I7</f>
        <v>412905.53303999995</v>
      </c>
      <c r="J16" s="31">
        <f>+J9*'Cost Assump'!J7</f>
        <v>438051.48000213603</v>
      </c>
      <c r="K16" s="31">
        <f>+K9*'Cost Assump'!K7</f>
        <v>460227.83617724414</v>
      </c>
      <c r="L16" s="31">
        <f>+L9*'Cost Assump'!L7</f>
        <v>481168.2027233087</v>
      </c>
      <c r="M16" s="6"/>
    </row>
    <row r="17" spans="2:13" x14ac:dyDescent="0.5">
      <c r="B17" s="7" t="str">
        <f>+B10</f>
        <v xml:space="preserve">  Europe</v>
      </c>
      <c r="C17" s="5"/>
      <c r="D17" s="35">
        <v>39000</v>
      </c>
      <c r="E17" s="36"/>
      <c r="F17" s="35">
        <v>50000</v>
      </c>
      <c r="G17" s="5"/>
      <c r="H17" s="31">
        <f>+H10*'Cost Assump'!H8</f>
        <v>56595</v>
      </c>
      <c r="I17" s="31">
        <f>+I10*'Cost Assump'!I8</f>
        <v>63873.116999999991</v>
      </c>
      <c r="J17" s="31">
        <f>+J10*'Cost Assump'!J8</f>
        <v>70413.724180799996</v>
      </c>
      <c r="K17" s="31">
        <f>+K10*'Cost Assump'!K8</f>
        <v>75427.181342472963</v>
      </c>
      <c r="L17" s="31">
        <f>+L10*'Cost Assump'!L8</f>
        <v>78859.118093555473</v>
      </c>
      <c r="M17" s="6"/>
    </row>
    <row r="18" spans="2:13" x14ac:dyDescent="0.5">
      <c r="B18" s="7" t="str">
        <f>+B11</f>
        <v xml:space="preserve">  Asia</v>
      </c>
      <c r="C18" s="5"/>
      <c r="D18" s="35">
        <v>13000</v>
      </c>
      <c r="E18" s="36"/>
      <c r="F18" s="35">
        <v>20000</v>
      </c>
      <c r="G18" s="5"/>
      <c r="H18" s="31">
        <f>+H11*'Cost Assump'!H9</f>
        <v>24720</v>
      </c>
      <c r="I18" s="31">
        <f>+I11*'Cost Assump'!I9</f>
        <v>30044.688000000002</v>
      </c>
      <c r="J18" s="31">
        <f>+J11*'Cost Assump'!J9</f>
        <v>35587.932935999997</v>
      </c>
      <c r="K18" s="31">
        <f>+K11*'Cost Assump'!K9</f>
        <v>41054.239434969604</v>
      </c>
      <c r="L18" s="31">
        <f>+L11*'Cost Assump'!L9</f>
        <v>45447.043054511356</v>
      </c>
      <c r="M18" s="6"/>
    </row>
    <row r="19" spans="2:13" x14ac:dyDescent="0.5">
      <c r="B19" s="7" t="s">
        <v>9</v>
      </c>
      <c r="C19" s="5"/>
      <c r="D19" s="25">
        <f>SUM(D16:D18)</f>
        <v>345000</v>
      </c>
      <c r="E19" s="11"/>
      <c r="F19" s="25">
        <f>SUM(F16:F18)</f>
        <v>420000</v>
      </c>
      <c r="G19" s="5"/>
      <c r="H19" s="20">
        <f>SUM(H16:H18)</f>
        <v>463078.20000000007</v>
      </c>
      <c r="I19" s="20">
        <f>SUM(I16:I18)</f>
        <v>506823.33803999994</v>
      </c>
      <c r="J19" s="20">
        <f>SUM(J16:J18)</f>
        <v>544053.13711893605</v>
      </c>
      <c r="K19" s="20">
        <f>SUM(K16:K18)</f>
        <v>576709.25695468672</v>
      </c>
      <c r="L19" s="20">
        <f>SUM(L16:L18)</f>
        <v>605474.36387137545</v>
      </c>
      <c r="M19" s="6"/>
    </row>
    <row r="20" spans="2:13" ht="6.75" customHeight="1" x14ac:dyDescent="0.5">
      <c r="B20" s="7"/>
      <c r="C20" s="5"/>
      <c r="D20" s="11"/>
      <c r="E20" s="11"/>
      <c r="F20" s="11"/>
      <c r="G20" s="5"/>
      <c r="H20" s="31"/>
      <c r="I20" s="31"/>
      <c r="J20" s="31"/>
      <c r="K20" s="31"/>
      <c r="L20" s="31"/>
      <c r="M20" s="6"/>
    </row>
    <row r="21" spans="2:13" x14ac:dyDescent="0.5">
      <c r="B21" s="7" t="s">
        <v>8</v>
      </c>
      <c r="C21" s="5"/>
      <c r="D21" s="11">
        <f>+D12-D19</f>
        <v>615000</v>
      </c>
      <c r="E21" s="11"/>
      <c r="F21" s="11">
        <f>+F12-F19</f>
        <v>690000</v>
      </c>
      <c r="G21" s="5"/>
      <c r="H21" s="11">
        <f>+H12-H19</f>
        <v>765061.79999999993</v>
      </c>
      <c r="I21" s="11">
        <f>+I12-I19</f>
        <v>837376.50996000005</v>
      </c>
      <c r="J21" s="11">
        <f>+J12-J19</f>
        <v>898865.81694626412</v>
      </c>
      <c r="K21" s="11">
        <f>+K12-K19</f>
        <v>952558.45871676109</v>
      </c>
      <c r="L21" s="11">
        <f>+L12-L19</f>
        <v>999687.12217624963</v>
      </c>
      <c r="M21" s="6"/>
    </row>
    <row r="22" spans="2:13" ht="13.85" customHeight="1" x14ac:dyDescent="0.5">
      <c r="B22" s="94" t="s">
        <v>79</v>
      </c>
      <c r="C22" s="5"/>
      <c r="D22" s="32"/>
      <c r="E22" s="32"/>
      <c r="F22" s="33">
        <f>+F21/F12</f>
        <v>0.6216216216216216</v>
      </c>
      <c r="G22" s="34"/>
      <c r="H22" s="33">
        <f>+H21/H12</f>
        <v>0.62294347549953588</v>
      </c>
      <c r="I22" s="33">
        <f>+I21/I12</f>
        <v>0.62295536724387435</v>
      </c>
      <c r="J22" s="33">
        <f>+J21/J12</f>
        <v>0.62294962195475301</v>
      </c>
      <c r="K22" s="33">
        <f>+K21/K12</f>
        <v>0.62288535156745006</v>
      </c>
      <c r="L22" s="33">
        <f>+L21/L12</f>
        <v>0.62279535789123019</v>
      </c>
      <c r="M22" s="6"/>
    </row>
    <row r="23" spans="2:13" ht="9" customHeight="1" x14ac:dyDescent="0.5">
      <c r="B23" s="7"/>
      <c r="C23" s="5"/>
      <c r="D23" s="11"/>
      <c r="E23" s="11"/>
      <c r="F23" s="11"/>
      <c r="G23" s="5"/>
      <c r="H23" s="31"/>
      <c r="I23" s="31"/>
      <c r="J23" s="31"/>
      <c r="K23" s="31"/>
      <c r="L23" s="31"/>
      <c r="M23" s="6"/>
    </row>
    <row r="24" spans="2:13" x14ac:dyDescent="0.5">
      <c r="B24" s="41" t="s">
        <v>10</v>
      </c>
      <c r="C24" s="5"/>
      <c r="D24" s="11"/>
      <c r="E24" s="11"/>
      <c r="F24" s="11"/>
      <c r="G24" s="5"/>
      <c r="H24" s="31"/>
      <c r="I24" s="31"/>
      <c r="J24" s="31"/>
      <c r="K24" s="31"/>
      <c r="L24" s="31"/>
      <c r="M24" s="6"/>
    </row>
    <row r="25" spans="2:13" x14ac:dyDescent="0.5">
      <c r="B25" s="7" t="s">
        <v>11</v>
      </c>
      <c r="C25" s="5"/>
      <c r="D25" s="35">
        <v>145000</v>
      </c>
      <c r="E25" s="36"/>
      <c r="F25" s="35">
        <v>165000</v>
      </c>
      <c r="G25" s="5"/>
      <c r="H25" s="31">
        <f>+F25*(1+'Cost Assump'!H19)</f>
        <v>173250</v>
      </c>
      <c r="I25" s="31">
        <f>+H25*(1+'Cost Assump'!I19)</f>
        <v>181912.5</v>
      </c>
      <c r="J25" s="31">
        <f>+I25*(1+'Cost Assump'!J19)</f>
        <v>191008.125</v>
      </c>
      <c r="K25" s="31">
        <f>+J25*(1+'Cost Assump'!K19)</f>
        <v>200558.53125</v>
      </c>
      <c r="L25" s="31">
        <f>+K25*(1+'Cost Assump'!L19)</f>
        <v>210586.45781250001</v>
      </c>
      <c r="M25" s="6"/>
    </row>
    <row r="26" spans="2:13" x14ac:dyDescent="0.5">
      <c r="B26" s="7" t="s">
        <v>12</v>
      </c>
      <c r="C26" s="5"/>
      <c r="D26" s="35">
        <v>75000</v>
      </c>
      <c r="E26" s="36"/>
      <c r="F26" s="35">
        <v>80000</v>
      </c>
      <c r="G26" s="5"/>
      <c r="H26" s="31">
        <f>+H$12*'Cost Assump'!H20</f>
        <v>85969.8</v>
      </c>
      <c r="I26" s="31">
        <f>+I$12*'Cost Assump'!I20</f>
        <v>94093.989360000007</v>
      </c>
      <c r="J26" s="31">
        <f>+J$12*'Cost Assump'!J20</f>
        <v>101004.32678456402</v>
      </c>
      <c r="K26" s="31">
        <f>+K$12*'Cost Assump'!K20</f>
        <v>107048.74009700136</v>
      </c>
      <c r="L26" s="31">
        <f>+L$12*'Cost Assump'!L20</f>
        <v>112361.30402333377</v>
      </c>
      <c r="M26" s="6"/>
    </row>
    <row r="27" spans="2:13" x14ac:dyDescent="0.5">
      <c r="B27" s="7" t="s">
        <v>13</v>
      </c>
      <c r="C27" s="5"/>
      <c r="D27" s="35">
        <v>10000</v>
      </c>
      <c r="E27" s="36"/>
      <c r="F27" s="35">
        <v>12000</v>
      </c>
      <c r="G27" s="5"/>
      <c r="H27" s="31">
        <f>+H$12*'Cost Assump'!H21</f>
        <v>12281.4</v>
      </c>
      <c r="I27" s="31">
        <f>+I$12*'Cost Assump'!I21</f>
        <v>13441.99848</v>
      </c>
      <c r="J27" s="31">
        <f>+J$12*'Cost Assump'!J21</f>
        <v>14429.189540652002</v>
      </c>
      <c r="K27" s="31">
        <f>+K$12*'Cost Assump'!K21</f>
        <v>15292.677156714479</v>
      </c>
      <c r="L27" s="31">
        <f>+L$12*'Cost Assump'!L21</f>
        <v>16051.614860476251</v>
      </c>
      <c r="M27" s="6"/>
    </row>
    <row r="28" spans="2:13" x14ac:dyDescent="0.5">
      <c r="B28" s="7" t="s">
        <v>14</v>
      </c>
      <c r="C28" s="5"/>
      <c r="D28" s="25">
        <f>SUM(D25:D27)</f>
        <v>230000</v>
      </c>
      <c r="E28" s="25"/>
      <c r="F28" s="25">
        <f>SUM(F25:F27)</f>
        <v>257000</v>
      </c>
      <c r="G28" s="22"/>
      <c r="H28" s="25">
        <f>SUM(H25:H27)</f>
        <v>271501.2</v>
      </c>
      <c r="I28" s="25">
        <f>SUM(I25:I27)</f>
        <v>289448.48784000002</v>
      </c>
      <c r="J28" s="25">
        <f>SUM(J25:J27)</f>
        <v>306441.64132521598</v>
      </c>
      <c r="K28" s="25">
        <f>SUM(K25:K27)</f>
        <v>322899.94850371586</v>
      </c>
      <c r="L28" s="25">
        <f>SUM(L25:L27)</f>
        <v>338999.37669631001</v>
      </c>
      <c r="M28" s="6"/>
    </row>
    <row r="29" spans="2:13" ht="6.75" customHeight="1" x14ac:dyDescent="0.5">
      <c r="B29" s="7"/>
      <c r="C29" s="5"/>
      <c r="D29" s="11"/>
      <c r="E29" s="11"/>
      <c r="F29" s="11"/>
      <c r="G29" s="5"/>
      <c r="H29" s="31"/>
      <c r="I29" s="31"/>
      <c r="J29" s="31"/>
      <c r="K29" s="31"/>
      <c r="L29" s="31"/>
      <c r="M29" s="6"/>
    </row>
    <row r="30" spans="2:13" ht="15.35" customHeight="1" x14ac:dyDescent="0.5">
      <c r="B30" s="41" t="s">
        <v>15</v>
      </c>
      <c r="C30" s="5"/>
      <c r="D30" s="11">
        <f>+D21-D28</f>
        <v>385000</v>
      </c>
      <c r="E30" s="11"/>
      <c r="F30" s="11">
        <f>+F21-F28</f>
        <v>433000</v>
      </c>
      <c r="G30" s="5"/>
      <c r="H30" s="11">
        <f>+H21-H28</f>
        <v>493560.59999999992</v>
      </c>
      <c r="I30" s="11">
        <f>+I21-I28</f>
        <v>547928.0221200001</v>
      </c>
      <c r="J30" s="11">
        <f>+J21-J28</f>
        <v>592424.17562104808</v>
      </c>
      <c r="K30" s="11">
        <f>+K21-K28</f>
        <v>629658.51021304517</v>
      </c>
      <c r="L30" s="11">
        <f>+L21-L28</f>
        <v>660687.74547993962</v>
      </c>
      <c r="M30" s="6"/>
    </row>
    <row r="31" spans="2:13" ht="15.35" customHeight="1" x14ac:dyDescent="0.5">
      <c r="B31" s="94" t="s">
        <v>78</v>
      </c>
      <c r="C31" s="5"/>
      <c r="D31" s="33">
        <f>+D30/D12</f>
        <v>0.40104166666666669</v>
      </c>
      <c r="E31" s="32"/>
      <c r="F31" s="33">
        <f>+F30/F12</f>
        <v>0.3900900900900901</v>
      </c>
      <c r="G31" s="34"/>
      <c r="H31" s="33">
        <f>+H30/H12</f>
        <v>0.40187649616493226</v>
      </c>
      <c r="I31" s="33">
        <f>+I30/I12</f>
        <v>0.40762392804555658</v>
      </c>
      <c r="J31" s="33">
        <f>+J30/J12</f>
        <v>0.41057342406653191</v>
      </c>
      <c r="K31" s="33">
        <f>+K30/K12</f>
        <v>0.41173857511049605</v>
      </c>
      <c r="L31" s="33">
        <f>+L30/L12</f>
        <v>0.41160204205169737</v>
      </c>
      <c r="M31" s="6"/>
    </row>
    <row r="32" spans="2:13" ht="15.35" customHeight="1" x14ac:dyDescent="0.5">
      <c r="B32" s="7"/>
      <c r="C32" s="5"/>
      <c r="D32" s="11"/>
      <c r="E32" s="11"/>
      <c r="F32" s="11"/>
      <c r="G32" s="5"/>
      <c r="H32" s="31"/>
      <c r="I32" s="31"/>
      <c r="J32" s="31"/>
      <c r="K32" s="31"/>
      <c r="L32" s="31"/>
      <c r="M32" s="6"/>
    </row>
    <row r="33" spans="2:13" ht="15.35" customHeight="1" x14ac:dyDescent="0.5">
      <c r="B33" s="41" t="s">
        <v>16</v>
      </c>
      <c r="C33" s="5"/>
      <c r="D33" s="35">
        <v>60000</v>
      </c>
      <c r="E33" s="36"/>
      <c r="F33" s="35">
        <v>65000</v>
      </c>
      <c r="G33" s="5"/>
      <c r="H33" s="31">
        <f>+H12*'Cost Assump'!H24</f>
        <v>73688.399999999994</v>
      </c>
      <c r="I33" s="31">
        <f>+I12*'Cost Assump'!I24</f>
        <v>80651.990879999998</v>
      </c>
      <c r="J33" s="31">
        <f>+J12*'Cost Assump'!J24</f>
        <v>86575.137243912002</v>
      </c>
      <c r="K33" s="31">
        <f>+K12*'Cost Assump'!K24</f>
        <v>91756.062940286865</v>
      </c>
      <c r="L33" s="31">
        <f>+L12*'Cost Assump'!L24</f>
        <v>96309.689162857496</v>
      </c>
      <c r="M33" s="6"/>
    </row>
    <row r="34" spans="2:13" ht="15.35" customHeight="1" x14ac:dyDescent="0.5">
      <c r="B34" s="41" t="s">
        <v>109</v>
      </c>
      <c r="C34" s="5"/>
      <c r="D34" s="35">
        <v>0</v>
      </c>
      <c r="E34" s="36"/>
      <c r="F34" s="35">
        <v>0</v>
      </c>
      <c r="G34" s="5"/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6"/>
    </row>
    <row r="35" spans="2:13" ht="7.5" customHeight="1" x14ac:dyDescent="0.5">
      <c r="B35" s="7"/>
      <c r="C35" s="5"/>
      <c r="D35" s="11"/>
      <c r="E35" s="11"/>
      <c r="F35" s="11"/>
      <c r="G35" s="5"/>
      <c r="H35" s="31"/>
      <c r="I35" s="31"/>
      <c r="J35" s="31"/>
      <c r="K35" s="31"/>
      <c r="L35" s="31"/>
      <c r="M35" s="6"/>
    </row>
    <row r="36" spans="2:13" ht="17.100000000000001" customHeight="1" x14ac:dyDescent="0.5">
      <c r="B36" s="41" t="s">
        <v>17</v>
      </c>
      <c r="C36" s="5"/>
      <c r="D36" s="25">
        <f>+D30-D33-D34</f>
        <v>325000</v>
      </c>
      <c r="E36" s="11"/>
      <c r="F36" s="25">
        <f>+F30-F33-F34</f>
        <v>368000</v>
      </c>
      <c r="G36" s="5"/>
      <c r="H36" s="25">
        <f>+H30-H33-H34</f>
        <v>419872.19999999995</v>
      </c>
      <c r="I36" s="25">
        <f t="shared" ref="I36:L36" si="0">+I30-I33-I34</f>
        <v>467276.0312400001</v>
      </c>
      <c r="J36" s="25">
        <f t="shared" si="0"/>
        <v>505849.03837713611</v>
      </c>
      <c r="K36" s="25">
        <f t="shared" si="0"/>
        <v>537902.44727275835</v>
      </c>
      <c r="L36" s="25">
        <f t="shared" si="0"/>
        <v>564378.05631708214</v>
      </c>
      <c r="M36" s="6"/>
    </row>
    <row r="37" spans="2:13" ht="17.100000000000001" customHeight="1" x14ac:dyDescent="0.5">
      <c r="B37" s="94" t="s">
        <v>80</v>
      </c>
      <c r="C37" s="5"/>
      <c r="D37" s="33">
        <f>+D36/D12</f>
        <v>0.33854166666666669</v>
      </c>
      <c r="E37" s="32"/>
      <c r="F37" s="33">
        <f>+F36/F12</f>
        <v>0.33153153153153153</v>
      </c>
      <c r="G37" s="34"/>
      <c r="H37" s="33">
        <f>+H36/H12</f>
        <v>0.34187649616493232</v>
      </c>
      <c r="I37" s="33">
        <f>+I36/I12</f>
        <v>0.34762392804555658</v>
      </c>
      <c r="J37" s="33">
        <f>+J36/J12</f>
        <v>0.35057342406653191</v>
      </c>
      <c r="K37" s="33">
        <f>+K36/K12</f>
        <v>0.35173857511049611</v>
      </c>
      <c r="L37" s="33">
        <f>+L36/L12</f>
        <v>0.35160204205169737</v>
      </c>
      <c r="M37" s="6"/>
    </row>
    <row r="38" spans="2:13" ht="17.100000000000001" customHeight="1" x14ac:dyDescent="0.5">
      <c r="B38" s="7"/>
      <c r="C38" s="5"/>
      <c r="D38" s="11"/>
      <c r="E38" s="11"/>
      <c r="F38" s="11"/>
      <c r="G38" s="5"/>
      <c r="H38" s="5"/>
      <c r="I38" s="5"/>
      <c r="J38" s="5"/>
      <c r="K38" s="5"/>
      <c r="L38" s="5"/>
      <c r="M38" s="6"/>
    </row>
    <row r="39" spans="2:13" x14ac:dyDescent="0.5">
      <c r="B39" s="7" t="s">
        <v>144</v>
      </c>
      <c r="C39" s="5"/>
      <c r="D39" s="5"/>
      <c r="E39" s="11"/>
      <c r="F39" s="5"/>
      <c r="G39" s="5"/>
      <c r="H39" s="58">
        <f>+'Debt Schedule'!H31</f>
        <v>95450</v>
      </c>
      <c r="I39" s="58">
        <f>+'Debt Schedule'!I31</f>
        <v>99600</v>
      </c>
      <c r="J39" s="58">
        <f>+'Debt Schedule'!J31</f>
        <v>113450</v>
      </c>
      <c r="K39" s="58">
        <f>+'Debt Schedule'!K31</f>
        <v>141750</v>
      </c>
      <c r="L39" s="58">
        <f>+'Debt Schedule'!L31</f>
        <v>157250</v>
      </c>
      <c r="M39" s="6"/>
    </row>
    <row r="40" spans="2:13" x14ac:dyDescent="0.5">
      <c r="B40" s="95" t="s">
        <v>110</v>
      </c>
      <c r="C40" s="5"/>
      <c r="D40" s="5"/>
      <c r="E40" s="5"/>
      <c r="F40" s="5"/>
      <c r="G40" s="5"/>
      <c r="H40" s="31">
        <f>+H36-H39</f>
        <v>324422.19999999995</v>
      </c>
      <c r="I40" s="31">
        <f t="shared" ref="I40:L40" si="1">+I36-I39</f>
        <v>367676.0312400001</v>
      </c>
      <c r="J40" s="31">
        <f t="shared" si="1"/>
        <v>392399.03837713611</v>
      </c>
      <c r="K40" s="31">
        <f t="shared" si="1"/>
        <v>396152.44727275835</v>
      </c>
      <c r="L40" s="31">
        <f t="shared" si="1"/>
        <v>407128.05631708214</v>
      </c>
      <c r="M40" s="6"/>
    </row>
    <row r="41" spans="2:13" x14ac:dyDescent="0.5">
      <c r="B41" s="7" t="s">
        <v>111</v>
      </c>
      <c r="C41" s="86">
        <v>0.4</v>
      </c>
      <c r="D41" s="5"/>
      <c r="E41" s="5"/>
      <c r="F41" s="5"/>
      <c r="G41" s="5"/>
      <c r="H41" s="30">
        <f>+H40*$C$41</f>
        <v>129768.87999999999</v>
      </c>
      <c r="I41" s="30">
        <f>+I40*$C$41</f>
        <v>147070.41249600003</v>
      </c>
      <c r="J41" s="30">
        <f>+J40*$C$41</f>
        <v>156959.61535085444</v>
      </c>
      <c r="K41" s="30">
        <f>+K40*$C$41</f>
        <v>158460.97890910335</v>
      </c>
      <c r="L41" s="30">
        <f>+L40*$C$41</f>
        <v>162851.22252683286</v>
      </c>
      <c r="M41" s="6"/>
    </row>
    <row r="42" spans="2:13" ht="14.7" thickBot="1" x14ac:dyDescent="0.55000000000000004">
      <c r="B42" s="95" t="s">
        <v>84</v>
      </c>
      <c r="C42" s="5"/>
      <c r="D42" s="5"/>
      <c r="E42" s="5"/>
      <c r="F42" s="5"/>
      <c r="G42" s="5"/>
      <c r="H42" s="68">
        <f>+H40-H41</f>
        <v>194653.31999999995</v>
      </c>
      <c r="I42" s="68">
        <f t="shared" ref="I42:L42" si="2">+I40-I41</f>
        <v>220605.61874400006</v>
      </c>
      <c r="J42" s="68">
        <f t="shared" si="2"/>
        <v>235439.42302628167</v>
      </c>
      <c r="K42" s="68">
        <f t="shared" si="2"/>
        <v>237691.468363655</v>
      </c>
      <c r="L42" s="68">
        <f t="shared" si="2"/>
        <v>244276.83379024928</v>
      </c>
      <c r="M42" s="6"/>
    </row>
    <row r="43" spans="2:13" ht="15" thickTop="1" thickBot="1" x14ac:dyDescent="0.55000000000000004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6"/>
    </row>
  </sheetData>
  <mergeCells count="2">
    <mergeCell ref="H5:L5"/>
    <mergeCell ref="D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Revene Assump</vt:lpstr>
      <vt:lpstr>Cost Assump</vt:lpstr>
      <vt:lpstr>Working Capital Assump</vt:lpstr>
      <vt:lpstr>Cash Flow Assump</vt:lpstr>
      <vt:lpstr>Debt Schedule</vt:lpstr>
      <vt:lpstr>Tax Assump</vt:lpstr>
      <vt:lpstr>Summary</vt:lpstr>
      <vt:lpstr>Proj. Balance Sheet</vt:lpstr>
      <vt:lpstr>Proj. Income Stat</vt:lpstr>
      <vt:lpstr>Proj. Cash Flow Stat</vt:lpstr>
      <vt:lpstr>Proj. Ratio Anal.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2018-09-11T13:49:52Z</dcterms:created>
  <dcterms:modified xsi:type="dcterms:W3CDTF">2019-01-16T12:03:11Z</dcterms:modified>
</cp:coreProperties>
</file>