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Mergers ^0 Acquisition/Cedar Fair/"/>
    </mc:Choice>
  </mc:AlternateContent>
  <xr:revisionPtr revIDLastSave="54" documentId="8_{DDECB383-6CE9-47FD-9792-21FB02F10C4F}" xr6:coauthVersionLast="47" xr6:coauthVersionMax="47" xr10:uidLastSave="{417D0963-181C-42DE-92EF-C682C5A1E358}"/>
  <bookViews>
    <workbookView xWindow="10" yWindow="10" windowWidth="19180" windowHeight="10180" firstSheet="1" activeTab="3" xr2:uid="{9EF70BA9-A403-4443-BD38-55D9BF21EDC3}"/>
  </bookViews>
  <sheets>
    <sheet name="Historical Analysis" sheetId="1" r:id="rId1"/>
    <sheet name="Projections" sheetId="3" r:id="rId2"/>
    <sheet name="Trans, S&amp;U, Proforma BS" sheetId="8" r:id="rId3"/>
    <sheet name="Corporate Valuation" sheetId="13" r:id="rId4"/>
    <sheet name="Income Stat Yahoo Input" sheetId="5" r:id="rId5"/>
    <sheet name="Balance Sheet Yahoo Input" sheetId="6" r:id="rId6"/>
    <sheet name="Cash Flow Yahoo Input" sheetId="7" r:id="rId7"/>
    <sheet name="BS Quarterly" sheetId="12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1" i="13" l="1"/>
  <c r="I16" i="8"/>
  <c r="J16" i="8" s="1"/>
  <c r="K16" i="8" s="1"/>
  <c r="L16" i="8" s="1"/>
  <c r="M16" i="8" s="1"/>
  <c r="N16" i="8" s="1"/>
  <c r="O16" i="8" s="1"/>
  <c r="H16" i="8"/>
  <c r="D146" i="13" l="1"/>
  <c r="J137" i="13"/>
  <c r="I137" i="13"/>
  <c r="I143" i="13" s="1"/>
  <c r="H137" i="13"/>
  <c r="G137" i="13"/>
  <c r="F137" i="13"/>
  <c r="E137" i="13"/>
  <c r="J133" i="13"/>
  <c r="I133" i="13"/>
  <c r="H133" i="13"/>
  <c r="G133" i="13"/>
  <c r="F133" i="13"/>
  <c r="E133" i="13"/>
  <c r="H129" i="13"/>
  <c r="I129" i="13" s="1"/>
  <c r="G129" i="13"/>
  <c r="F129" i="13"/>
  <c r="E129" i="13"/>
  <c r="J123" i="13"/>
  <c r="J127" i="13" s="1"/>
  <c r="I123" i="13"/>
  <c r="I127" i="13" s="1"/>
  <c r="H123" i="13"/>
  <c r="H127" i="13" s="1"/>
  <c r="G123" i="13"/>
  <c r="G127" i="13" s="1"/>
  <c r="F123" i="13"/>
  <c r="F127" i="13" s="1"/>
  <c r="E123" i="13"/>
  <c r="E127" i="13" s="1"/>
  <c r="G87" i="8"/>
  <c r="H87" i="8"/>
  <c r="I87" i="8"/>
  <c r="J87" i="8"/>
  <c r="K87" i="8"/>
  <c r="L87" i="8"/>
  <c r="M87" i="8"/>
  <c r="N87" i="8"/>
  <c r="O87" i="8"/>
  <c r="G88" i="8"/>
  <c r="H88" i="8"/>
  <c r="I88" i="8"/>
  <c r="J88" i="8"/>
  <c r="K88" i="8"/>
  <c r="L88" i="8"/>
  <c r="M88" i="8"/>
  <c r="N88" i="8"/>
  <c r="O88" i="8"/>
  <c r="F88" i="8"/>
  <c r="F87" i="8"/>
  <c r="E117" i="13"/>
  <c r="G75" i="8"/>
  <c r="H75" i="8" s="1"/>
  <c r="F73" i="8"/>
  <c r="F76" i="8" s="1"/>
  <c r="E65" i="8"/>
  <c r="B79" i="8"/>
  <c r="B66" i="8"/>
  <c r="I75" i="8" l="1"/>
  <c r="J75" i="8" s="1"/>
  <c r="G73" i="8"/>
  <c r="H73" i="8" s="1"/>
  <c r="I73" i="8" s="1"/>
  <c r="J73" i="8" s="1"/>
  <c r="K73" i="8" s="1"/>
  <c r="L73" i="8" s="1"/>
  <c r="M73" i="8" s="1"/>
  <c r="N73" i="8" s="1"/>
  <c r="O73" i="8" s="1"/>
  <c r="G76" i="8" l="1"/>
  <c r="I76" i="8"/>
  <c r="H76" i="8"/>
  <c r="J76" i="8"/>
  <c r="K75" i="8"/>
  <c r="K76" i="8" l="1"/>
  <c r="L75" i="8"/>
  <c r="M75" i="8" l="1"/>
  <c r="L76" i="8"/>
  <c r="M76" i="8" l="1"/>
  <c r="N75" i="8"/>
  <c r="O75" i="8" l="1"/>
  <c r="O76" i="8" s="1"/>
  <c r="N76" i="8"/>
  <c r="G13" i="13" l="1"/>
  <c r="G12" i="13"/>
  <c r="B110" i="13"/>
  <c r="B103" i="13"/>
  <c r="B104" i="13"/>
  <c r="D89" i="13"/>
  <c r="J84" i="13"/>
  <c r="J128" i="13" s="1"/>
  <c r="I84" i="13"/>
  <c r="I128" i="13" s="1"/>
  <c r="H84" i="13"/>
  <c r="H128" i="13" s="1"/>
  <c r="G84" i="13"/>
  <c r="G128" i="13" s="1"/>
  <c r="F84" i="13"/>
  <c r="F128" i="13" s="1"/>
  <c r="E84" i="13"/>
  <c r="E128" i="13" s="1"/>
  <c r="J86" i="13"/>
  <c r="J131" i="13" s="1"/>
  <c r="I86" i="13"/>
  <c r="I131" i="13" s="1"/>
  <c r="H86" i="13"/>
  <c r="H131" i="13" s="1"/>
  <c r="G86" i="13"/>
  <c r="G131" i="13" s="1"/>
  <c r="F86" i="13"/>
  <c r="F131" i="13" s="1"/>
  <c r="J85" i="13"/>
  <c r="J130" i="13" s="1"/>
  <c r="I85" i="13"/>
  <c r="I130" i="13" s="1"/>
  <c r="H85" i="13"/>
  <c r="H130" i="13" s="1"/>
  <c r="G85" i="13"/>
  <c r="G130" i="13" s="1"/>
  <c r="F85" i="13"/>
  <c r="F130" i="13" s="1"/>
  <c r="E85" i="13"/>
  <c r="E130" i="13" s="1"/>
  <c r="E86" i="13"/>
  <c r="E131" i="13" s="1"/>
  <c r="J81" i="13"/>
  <c r="J120" i="13" s="1"/>
  <c r="I81" i="13"/>
  <c r="I120" i="13" s="1"/>
  <c r="H81" i="13"/>
  <c r="H120" i="13" s="1"/>
  <c r="G81" i="13"/>
  <c r="G120" i="13" s="1"/>
  <c r="F81" i="13"/>
  <c r="F120" i="13" s="1"/>
  <c r="J80" i="13"/>
  <c r="J119" i="13" s="1"/>
  <c r="I80" i="13"/>
  <c r="I119" i="13" s="1"/>
  <c r="H80" i="13"/>
  <c r="H119" i="13" s="1"/>
  <c r="G80" i="13"/>
  <c r="G119" i="13" s="1"/>
  <c r="F80" i="13"/>
  <c r="F119" i="13" s="1"/>
  <c r="E81" i="13"/>
  <c r="E120" i="13" s="1"/>
  <c r="E80" i="13"/>
  <c r="E119" i="13" s="1"/>
  <c r="J78" i="13"/>
  <c r="J118" i="13" s="1"/>
  <c r="I78" i="13"/>
  <c r="H78" i="13"/>
  <c r="H118" i="13" s="1"/>
  <c r="G78" i="13"/>
  <c r="G118" i="13" s="1"/>
  <c r="F78" i="13"/>
  <c r="F118" i="13" s="1"/>
  <c r="E78" i="13"/>
  <c r="E118" i="13" s="1"/>
  <c r="C81" i="13"/>
  <c r="D81" i="13"/>
  <c r="B81" i="13"/>
  <c r="C80" i="13"/>
  <c r="D80" i="13"/>
  <c r="B80" i="13"/>
  <c r="C78" i="13"/>
  <c r="D78" i="13"/>
  <c r="B78" i="13"/>
  <c r="I58" i="13"/>
  <c r="I72" i="13" s="1"/>
  <c r="E52" i="13"/>
  <c r="H52" i="13" s="1"/>
  <c r="J52" i="13" s="1"/>
  <c r="E6" i="13"/>
  <c r="E8" i="13" s="1"/>
  <c r="D6" i="13"/>
  <c r="D8" i="13" s="1"/>
  <c r="M6" i="3"/>
  <c r="C52" i="1"/>
  <c r="A1" i="13"/>
  <c r="A58" i="13" s="1"/>
  <c r="O102" i="13"/>
  <c r="N102" i="13"/>
  <c r="O100" i="13"/>
  <c r="N100" i="13"/>
  <c r="J90" i="13"/>
  <c r="I90" i="13"/>
  <c r="I96" i="13" s="1"/>
  <c r="H90" i="13"/>
  <c r="G90" i="13"/>
  <c r="F90" i="13"/>
  <c r="E90" i="13"/>
  <c r="F77" i="13"/>
  <c r="E55" i="13"/>
  <c r="H55" i="13" s="1"/>
  <c r="J55" i="13" s="1"/>
  <c r="E53" i="13"/>
  <c r="H53" i="13" s="1"/>
  <c r="J53" i="13" s="1"/>
  <c r="E51" i="13"/>
  <c r="H51" i="13" s="1"/>
  <c r="J51" i="13" s="1"/>
  <c r="J61" i="13" s="1"/>
  <c r="B42" i="13"/>
  <c r="B37" i="13"/>
  <c r="E36" i="13" s="1"/>
  <c r="E37" i="13" s="1"/>
  <c r="H8" i="13" s="1"/>
  <c r="I8" i="13" s="1"/>
  <c r="B36" i="13"/>
  <c r="K58" i="13"/>
  <c r="AA31" i="13"/>
  <c r="Z31" i="13"/>
  <c r="Y31" i="13"/>
  <c r="X31" i="13"/>
  <c r="W31" i="13"/>
  <c r="AA30" i="13"/>
  <c r="Z30" i="13"/>
  <c r="Y30" i="13"/>
  <c r="X30" i="13"/>
  <c r="W30" i="13"/>
  <c r="AA29" i="13"/>
  <c r="Z29" i="13"/>
  <c r="Y29" i="13"/>
  <c r="X29" i="13"/>
  <c r="W29" i="13"/>
  <c r="W32" i="13" s="1"/>
  <c r="AA28" i="13"/>
  <c r="Z28" i="13"/>
  <c r="Y28" i="13"/>
  <c r="X28" i="13"/>
  <c r="W28" i="13"/>
  <c r="G28" i="13"/>
  <c r="G58" i="13" s="1"/>
  <c r="F28" i="13"/>
  <c r="F58" i="13" s="1"/>
  <c r="B109" i="13" s="1"/>
  <c r="D28" i="13"/>
  <c r="D58" i="13" s="1"/>
  <c r="C28" i="13"/>
  <c r="C7" i="8" s="1"/>
  <c r="W19" i="13"/>
  <c r="W35" i="13" s="1"/>
  <c r="AA14" i="13"/>
  <c r="Z14" i="13"/>
  <c r="Y14" i="13"/>
  <c r="X14" i="13"/>
  <c r="W14" i="13"/>
  <c r="AA11" i="13"/>
  <c r="Z11" i="13"/>
  <c r="Y11" i="13"/>
  <c r="X11" i="13"/>
  <c r="W11" i="13"/>
  <c r="AA9" i="13"/>
  <c r="Z9" i="13"/>
  <c r="Y9" i="13"/>
  <c r="X9" i="13"/>
  <c r="W9" i="13"/>
  <c r="G8" i="13"/>
  <c r="G10" i="13" s="1"/>
  <c r="AA7" i="13"/>
  <c r="Z7" i="13"/>
  <c r="Y7" i="13"/>
  <c r="X7" i="13"/>
  <c r="W7" i="13"/>
  <c r="AA6" i="13"/>
  <c r="AA45" i="13" s="1"/>
  <c r="Z6" i="13"/>
  <c r="Z45" i="13" s="1"/>
  <c r="Y6" i="13"/>
  <c r="X6" i="13"/>
  <c r="W6" i="13"/>
  <c r="W45" i="13" s="1"/>
  <c r="F6" i="13"/>
  <c r="H121" i="13" l="1"/>
  <c r="H122" i="13"/>
  <c r="G121" i="13"/>
  <c r="G122" i="13" s="1"/>
  <c r="J121" i="13"/>
  <c r="J122" i="13" s="1"/>
  <c r="E121" i="13"/>
  <c r="E122" i="13" s="1"/>
  <c r="F121" i="13"/>
  <c r="F122" i="13" s="1"/>
  <c r="D90" i="13"/>
  <c r="X32" i="13"/>
  <c r="O103" i="13"/>
  <c r="I82" i="13"/>
  <c r="I83" i="13" s="1"/>
  <c r="I87" i="13" s="1"/>
  <c r="I118" i="13"/>
  <c r="G77" i="13"/>
  <c r="F117" i="13"/>
  <c r="J60" i="13"/>
  <c r="B140" i="13" s="1"/>
  <c r="X41" i="13"/>
  <c r="D13" i="13"/>
  <c r="D12" i="13"/>
  <c r="E13" i="13"/>
  <c r="E12" i="13"/>
  <c r="C58" i="13"/>
  <c r="E58" i="13" s="1"/>
  <c r="H58" i="13" s="1"/>
  <c r="J58" i="13" s="1"/>
  <c r="Z32" i="13"/>
  <c r="G79" i="13"/>
  <c r="Y41" i="13"/>
  <c r="F103" i="13"/>
  <c r="W8" i="13"/>
  <c r="W10" i="13" s="1"/>
  <c r="W12" i="13" s="1"/>
  <c r="W15" i="13" s="1"/>
  <c r="W16" i="13" s="1"/>
  <c r="W18" i="13" s="1"/>
  <c r="W43" i="13"/>
  <c r="Y32" i="13"/>
  <c r="E79" i="13"/>
  <c r="B111" i="13"/>
  <c r="H103" i="13" s="1"/>
  <c r="I103" i="13" s="1"/>
  <c r="C6" i="13"/>
  <c r="X42" i="13"/>
  <c r="N103" i="13"/>
  <c r="B82" i="13"/>
  <c r="J82" i="13"/>
  <c r="H79" i="13"/>
  <c r="B60" i="13"/>
  <c r="AA42" i="13"/>
  <c r="Z43" i="13"/>
  <c r="W40" i="13"/>
  <c r="F82" i="13"/>
  <c r="AA43" i="13"/>
  <c r="AA32" i="13"/>
  <c r="Z41" i="13"/>
  <c r="G82" i="13"/>
  <c r="F44" i="13"/>
  <c r="F43" i="13" s="1"/>
  <c r="F45" i="13" s="1"/>
  <c r="J79" i="13"/>
  <c r="W42" i="13"/>
  <c r="X8" i="13"/>
  <c r="X10" i="13" s="1"/>
  <c r="X12" i="13" s="1"/>
  <c r="X15" i="13" s="1"/>
  <c r="X16" i="13" s="1"/>
  <c r="W44" i="13"/>
  <c r="D79" i="13"/>
  <c r="D82" i="13" s="1"/>
  <c r="W41" i="13"/>
  <c r="Y42" i="13"/>
  <c r="X43" i="13"/>
  <c r="F79" i="13"/>
  <c r="E82" i="13"/>
  <c r="Z42" i="13"/>
  <c r="Y43" i="13"/>
  <c r="B43" i="13"/>
  <c r="H9" i="13" s="1"/>
  <c r="F8" i="13"/>
  <c r="E10" i="13"/>
  <c r="K60" i="13"/>
  <c r="B105" i="13"/>
  <c r="B106" i="13" s="1"/>
  <c r="I79" i="13"/>
  <c r="E28" i="13"/>
  <c r="Y8" i="13"/>
  <c r="Y10" i="13" s="1"/>
  <c r="Y12" i="13" s="1"/>
  <c r="Y15" i="13" s="1"/>
  <c r="Y16" i="13" s="1"/>
  <c r="D10" i="13"/>
  <c r="Z8" i="13"/>
  <c r="Z10" i="13" s="1"/>
  <c r="Z12" i="13" s="1"/>
  <c r="Z15" i="13" s="1"/>
  <c r="Z16" i="13" s="1"/>
  <c r="X44" i="13"/>
  <c r="X45" i="13"/>
  <c r="C79" i="13"/>
  <c r="C82" i="13" s="1"/>
  <c r="H82" i="13"/>
  <c r="H83" i="13" s="1"/>
  <c r="AA8" i="13"/>
  <c r="AA10" i="13" s="1"/>
  <c r="AA12" i="13" s="1"/>
  <c r="AA15" i="13" s="1"/>
  <c r="AA16" i="13" s="1"/>
  <c r="Y44" i="13"/>
  <c r="Y45" i="13"/>
  <c r="Z44" i="13"/>
  <c r="AA44" i="13"/>
  <c r="I121" i="13" l="1"/>
  <c r="I122" i="13" s="1"/>
  <c r="O104" i="13"/>
  <c r="I89" i="13"/>
  <c r="E89" i="13"/>
  <c r="E83" i="13"/>
  <c r="E87" i="13" s="1"/>
  <c r="E98" i="13" s="1"/>
  <c r="F83" i="13"/>
  <c r="F87" i="13" s="1"/>
  <c r="F98" i="13" s="1"/>
  <c r="G89" i="13"/>
  <c r="G83" i="13"/>
  <c r="G87" i="13" s="1"/>
  <c r="G98" i="13" s="1"/>
  <c r="J89" i="13"/>
  <c r="J83" i="13"/>
  <c r="J87" i="13" s="1"/>
  <c r="H77" i="13"/>
  <c r="G117" i="13"/>
  <c r="AB45" i="13"/>
  <c r="AB43" i="13"/>
  <c r="F89" i="13"/>
  <c r="AB42" i="13"/>
  <c r="AB44" i="13"/>
  <c r="AB41" i="13"/>
  <c r="H104" i="13"/>
  <c r="I104" i="13" s="1"/>
  <c r="B98" i="13"/>
  <c r="H89" i="13"/>
  <c r="H87" i="13"/>
  <c r="H98" i="13" s="1"/>
  <c r="C8" i="13"/>
  <c r="C60" i="13"/>
  <c r="B62" i="13" s="1"/>
  <c r="C10" i="13" s="1"/>
  <c r="F10" i="13" s="1"/>
  <c r="H10" i="13" s="1"/>
  <c r="I10" i="13" s="1"/>
  <c r="B93" i="13"/>
  <c r="H28" i="13"/>
  <c r="F104" i="13"/>
  <c r="I93" i="13" l="1"/>
  <c r="I77" i="13"/>
  <c r="H117" i="13"/>
  <c r="G124" i="13"/>
  <c r="G125" i="13" s="1"/>
  <c r="G136" i="13"/>
  <c r="H124" i="13"/>
  <c r="H125" i="13" s="1"/>
  <c r="H136" i="13"/>
  <c r="E136" i="13"/>
  <c r="E124" i="13"/>
  <c r="E125" i="13" s="1"/>
  <c r="F136" i="13"/>
  <c r="F124" i="13"/>
  <c r="F125" i="13" s="1"/>
  <c r="I136" i="13"/>
  <c r="I140" i="13" s="1"/>
  <c r="I124" i="13"/>
  <c r="I125" i="13" s="1"/>
  <c r="J124" i="13"/>
  <c r="J125" i="13" s="1"/>
  <c r="J136" i="13"/>
  <c r="E99" i="13"/>
  <c r="G99" i="13"/>
  <c r="F99" i="13"/>
  <c r="H99" i="13"/>
  <c r="F105" i="13"/>
  <c r="G103" i="13" s="1"/>
  <c r="D62" i="13"/>
  <c r="J77" i="13" l="1"/>
  <c r="J117" i="13" s="1"/>
  <c r="I117" i="13"/>
  <c r="F126" i="13"/>
  <c r="F132" i="13" s="1"/>
  <c r="F134" i="13" s="1"/>
  <c r="F146" i="13" s="1"/>
  <c r="F147" i="13" s="1"/>
  <c r="J126" i="13"/>
  <c r="J132" i="13" s="1"/>
  <c r="H126" i="13"/>
  <c r="H132" i="13" s="1"/>
  <c r="H134" i="13" s="1"/>
  <c r="H146" i="13" s="1"/>
  <c r="H147" i="13" s="1"/>
  <c r="E126" i="13"/>
  <c r="E132" i="13" s="1"/>
  <c r="E134" i="13" s="1"/>
  <c r="E146" i="13" s="1"/>
  <c r="I126" i="13"/>
  <c r="I132" i="13" s="1"/>
  <c r="I134" i="13" s="1"/>
  <c r="G126" i="13"/>
  <c r="G132" i="13" s="1"/>
  <c r="G134" i="13" s="1"/>
  <c r="G146" i="13" s="1"/>
  <c r="G147" i="13" s="1"/>
  <c r="J103" i="13"/>
  <c r="G104" i="13"/>
  <c r="J104" i="13" s="1"/>
  <c r="E147" i="13" l="1"/>
  <c r="J134" i="13"/>
  <c r="J105" i="13"/>
  <c r="B94" i="13" s="1"/>
  <c r="G105" i="13"/>
  <c r="I94" i="13" l="1"/>
  <c r="B141" i="13"/>
  <c r="I95" i="13" l="1"/>
  <c r="I97" i="13" s="1"/>
  <c r="I98" i="13" s="1"/>
  <c r="I99" i="13" s="1"/>
  <c r="D99" i="13" s="1"/>
  <c r="I141" i="13"/>
  <c r="I142" i="13" s="1"/>
  <c r="I145" i="13" s="1"/>
  <c r="I146" i="13" s="1"/>
  <c r="I147" i="13" l="1"/>
  <c r="D147" i="13" s="1"/>
  <c r="D148" i="13" s="1"/>
  <c r="C151" i="13"/>
  <c r="D100" i="13"/>
  <c r="F12" i="13"/>
  <c r="C12" i="13" l="1"/>
  <c r="C15" i="13" s="1"/>
  <c r="H12" i="13"/>
  <c r="F15" i="13"/>
  <c r="F13" i="13"/>
  <c r="D149" i="13"/>
  <c r="D7" i="8"/>
  <c r="O9" i="8"/>
  <c r="G7" i="8"/>
  <c r="F43" i="8"/>
  <c r="F23" i="8"/>
  <c r="C56" i="8"/>
  <c r="D56" i="8" s="1"/>
  <c r="C50" i="8"/>
  <c r="F50" i="8" s="1"/>
  <c r="D59" i="1"/>
  <c r="E59" i="1"/>
  <c r="F59" i="1"/>
  <c r="G59" i="1"/>
  <c r="H59" i="1"/>
  <c r="I59" i="1"/>
  <c r="J59" i="1"/>
  <c r="K59" i="1"/>
  <c r="L59" i="1"/>
  <c r="C59" i="1"/>
  <c r="C57" i="8" s="1"/>
  <c r="C16" i="8"/>
  <c r="F16" i="8" s="1"/>
  <c r="H13" i="13" l="1"/>
  <c r="I13" i="13" s="1"/>
  <c r="C13" i="13"/>
  <c r="I12" i="13"/>
  <c r="H15" i="13"/>
  <c r="I15" i="13" s="1"/>
  <c r="D57" i="8"/>
  <c r="F57" i="8" s="1"/>
  <c r="C58" i="8"/>
  <c r="D31" i="8" s="1"/>
  <c r="D16" i="1"/>
  <c r="E16" i="1"/>
  <c r="F16" i="1"/>
  <c r="G16" i="1"/>
  <c r="H16" i="1"/>
  <c r="I16" i="1"/>
  <c r="J16" i="1"/>
  <c r="K16" i="1"/>
  <c r="L16" i="1"/>
  <c r="C16" i="1"/>
  <c r="D15" i="1"/>
  <c r="E15" i="1"/>
  <c r="F15" i="1"/>
  <c r="G15" i="1"/>
  <c r="H15" i="1"/>
  <c r="I15" i="1"/>
  <c r="J15" i="1"/>
  <c r="K15" i="1"/>
  <c r="L15" i="1"/>
  <c r="C15" i="1"/>
  <c r="D12" i="1"/>
  <c r="E12" i="1"/>
  <c r="F12" i="1"/>
  <c r="G12" i="1"/>
  <c r="H12" i="1"/>
  <c r="I12" i="1"/>
  <c r="J12" i="1"/>
  <c r="K12" i="1"/>
  <c r="L12" i="1"/>
  <c r="C12" i="1"/>
  <c r="C68" i="1"/>
  <c r="D70" i="1"/>
  <c r="E70" i="1"/>
  <c r="F70" i="1"/>
  <c r="G70" i="1"/>
  <c r="H70" i="1"/>
  <c r="I70" i="1"/>
  <c r="J70" i="1"/>
  <c r="K70" i="1"/>
  <c r="L70" i="1"/>
  <c r="C70" i="1"/>
  <c r="D73" i="1"/>
  <c r="E73" i="1"/>
  <c r="F73" i="1"/>
  <c r="G73" i="1"/>
  <c r="H73" i="1"/>
  <c r="I73" i="1"/>
  <c r="J73" i="1"/>
  <c r="K73" i="1"/>
  <c r="L73" i="1"/>
  <c r="C73" i="1"/>
  <c r="B1" i="3"/>
  <c r="D44" i="1"/>
  <c r="E44" i="1"/>
  <c r="F44" i="1"/>
  <c r="G44" i="1"/>
  <c r="H44" i="1"/>
  <c r="I44" i="1"/>
  <c r="J44" i="1"/>
  <c r="K44" i="1"/>
  <c r="L44" i="1"/>
  <c r="D45" i="1"/>
  <c r="E45" i="1"/>
  <c r="F45" i="1"/>
  <c r="G45" i="1"/>
  <c r="H45" i="1"/>
  <c r="I45" i="1"/>
  <c r="J45" i="1"/>
  <c r="K45" i="1"/>
  <c r="L45" i="1"/>
  <c r="D47" i="1"/>
  <c r="E47" i="1"/>
  <c r="F47" i="1"/>
  <c r="G47" i="1"/>
  <c r="H47" i="1"/>
  <c r="I47" i="1"/>
  <c r="J47" i="1"/>
  <c r="K47" i="1"/>
  <c r="L47" i="1"/>
  <c r="C47" i="1"/>
  <c r="C45" i="1"/>
  <c r="C41" i="8" s="1"/>
  <c r="F41" i="8" s="1"/>
  <c r="C44" i="1"/>
  <c r="C40" i="8" s="1"/>
  <c r="F40" i="8" s="1"/>
  <c r="D51" i="1"/>
  <c r="E51" i="1"/>
  <c r="F51" i="1"/>
  <c r="G51" i="1"/>
  <c r="H51" i="1"/>
  <c r="I51" i="1"/>
  <c r="J51" i="1"/>
  <c r="K51" i="1"/>
  <c r="L51" i="1"/>
  <c r="C51" i="1"/>
  <c r="C47" i="8" s="1"/>
  <c r="G8" i="8" s="1"/>
  <c r="G9" i="8" s="1"/>
  <c r="C24" i="1"/>
  <c r="C19" i="8" s="1"/>
  <c r="F19" i="8" s="1"/>
  <c r="D47" i="8" l="1"/>
  <c r="F47" i="8" s="1"/>
  <c r="G11" i="8"/>
  <c r="D32" i="8"/>
  <c r="F32" i="8" s="1"/>
  <c r="K46" i="1"/>
  <c r="K48" i="1" s="1"/>
  <c r="H46" i="1"/>
  <c r="H48" i="1" s="1"/>
  <c r="I46" i="1"/>
  <c r="F46" i="1"/>
  <c r="F48" i="1" s="1"/>
  <c r="C46" i="1"/>
  <c r="C42" i="8" s="1"/>
  <c r="F42" i="8" s="1"/>
  <c r="F44" i="8" s="1"/>
  <c r="E46" i="1"/>
  <c r="E48" i="1" s="1"/>
  <c r="I48" i="1"/>
  <c r="G46" i="1"/>
  <c r="G48" i="1" s="1"/>
  <c r="J46" i="1"/>
  <c r="J48" i="1" s="1"/>
  <c r="L46" i="1"/>
  <c r="L48" i="1" s="1"/>
  <c r="D46" i="1"/>
  <c r="D48" i="1" s="1"/>
  <c r="L20" i="3"/>
  <c r="L5" i="3"/>
  <c r="L33" i="3"/>
  <c r="C60" i="1"/>
  <c r="C67" i="1"/>
  <c r="C20" i="1"/>
  <c r="L26" i="3"/>
  <c r="L25" i="3"/>
  <c r="L24" i="3"/>
  <c r="C53" i="1"/>
  <c r="C40" i="1"/>
  <c r="C36" i="8" s="1"/>
  <c r="C37" i="1"/>
  <c r="C33" i="8" s="1"/>
  <c r="F33" i="8" s="1"/>
  <c r="C36" i="1"/>
  <c r="C31" i="8" s="1"/>
  <c r="F31" i="8" s="1"/>
  <c r="C35" i="1"/>
  <c r="C30" i="8" s="1"/>
  <c r="F30" i="8" s="1"/>
  <c r="C34" i="1"/>
  <c r="C32" i="1"/>
  <c r="C27" i="8" s="1"/>
  <c r="C28" i="1"/>
  <c r="C27" i="1"/>
  <c r="C22" i="8" s="1"/>
  <c r="F22" i="8" s="1"/>
  <c r="C25" i="1"/>
  <c r="C20" i="8" s="1"/>
  <c r="F20" i="8" s="1"/>
  <c r="C21" i="1"/>
  <c r="L21" i="3"/>
  <c r="C17" i="1"/>
  <c r="L22" i="3" s="1"/>
  <c r="C10" i="1"/>
  <c r="L14" i="3" s="1"/>
  <c r="C8" i="1"/>
  <c r="L10" i="3" s="1"/>
  <c r="C7" i="1"/>
  <c r="D68" i="1"/>
  <c r="E68" i="1"/>
  <c r="F68" i="1"/>
  <c r="G68" i="1"/>
  <c r="H68" i="1"/>
  <c r="I68" i="1"/>
  <c r="J68" i="1"/>
  <c r="K68" i="1"/>
  <c r="L68" i="1"/>
  <c r="E7" i="1"/>
  <c r="F7" i="1"/>
  <c r="G7" i="1"/>
  <c r="H7" i="1"/>
  <c r="I7" i="1"/>
  <c r="J7" i="1"/>
  <c r="K7" i="1"/>
  <c r="L7" i="1"/>
  <c r="E8" i="1"/>
  <c r="F8" i="1"/>
  <c r="G8" i="1"/>
  <c r="H8" i="1"/>
  <c r="I8" i="1"/>
  <c r="I9" i="1" s="1"/>
  <c r="J8" i="1"/>
  <c r="K8" i="1"/>
  <c r="L8" i="1"/>
  <c r="E10" i="1"/>
  <c r="F10" i="1"/>
  <c r="G10" i="1"/>
  <c r="H10" i="1"/>
  <c r="I10" i="1"/>
  <c r="J10" i="1"/>
  <c r="K10" i="1"/>
  <c r="L10" i="1"/>
  <c r="K17" i="1"/>
  <c r="F17" i="1"/>
  <c r="E17" i="1"/>
  <c r="G17" i="1"/>
  <c r="H17" i="1"/>
  <c r="I17" i="1"/>
  <c r="J17" i="1"/>
  <c r="L17" i="1"/>
  <c r="C66" i="1" l="1"/>
  <c r="C84" i="1" s="1"/>
  <c r="C15" i="8"/>
  <c r="F15" i="8" s="1"/>
  <c r="F27" i="8"/>
  <c r="C44" i="8"/>
  <c r="C21" i="8"/>
  <c r="F21" i="8" s="1"/>
  <c r="C54" i="1"/>
  <c r="C51" i="8"/>
  <c r="D60" i="8"/>
  <c r="C33" i="1"/>
  <c r="C28" i="8" s="1"/>
  <c r="F28" i="8" s="1"/>
  <c r="C48" i="1"/>
  <c r="L28" i="3"/>
  <c r="C9" i="1"/>
  <c r="L17" i="3"/>
  <c r="C98" i="1"/>
  <c r="C26" i="1"/>
  <c r="L7" i="3"/>
  <c r="J9" i="1"/>
  <c r="J11" i="1" s="1"/>
  <c r="J13" i="1" s="1"/>
  <c r="J14" i="1" s="1"/>
  <c r="L9" i="1"/>
  <c r="L11" i="1" s="1"/>
  <c r="L13" i="1" s="1"/>
  <c r="L14" i="1" s="1"/>
  <c r="I11" i="1"/>
  <c r="I13" i="1" s="1"/>
  <c r="I14" i="1" s="1"/>
  <c r="G9" i="1"/>
  <c r="G11" i="1" s="1"/>
  <c r="G13" i="1" s="1"/>
  <c r="G14" i="1" s="1"/>
  <c r="K9" i="1"/>
  <c r="K11" i="1" s="1"/>
  <c r="K13" i="1" s="1"/>
  <c r="K14" i="1" s="1"/>
  <c r="E9" i="1"/>
  <c r="E11" i="1" s="1"/>
  <c r="E13" i="1" s="1"/>
  <c r="E14" i="1" s="1"/>
  <c r="F9" i="1"/>
  <c r="F11" i="1" s="1"/>
  <c r="F13" i="1" s="1"/>
  <c r="F14" i="1" s="1"/>
  <c r="H9" i="1"/>
  <c r="H11" i="1" s="1"/>
  <c r="H13" i="1" s="1"/>
  <c r="H14" i="1" s="1"/>
  <c r="F51" i="8" l="1"/>
  <c r="C52" i="8"/>
  <c r="C53" i="8" s="1"/>
  <c r="C60" i="8" s="1"/>
  <c r="C61" i="8" s="1"/>
  <c r="C29" i="8"/>
  <c r="F29" i="8"/>
  <c r="L38" i="3"/>
  <c r="M38" i="3" s="1"/>
  <c r="M7" i="3"/>
  <c r="L11" i="3"/>
  <c r="C11" i="1"/>
  <c r="C13" i="1" s="1"/>
  <c r="C14" i="1" s="1"/>
  <c r="L19" i="3" s="1"/>
  <c r="C103" i="1"/>
  <c r="C29" i="1"/>
  <c r="C24" i="8" s="1"/>
  <c r="F24" i="8" s="1"/>
  <c r="C93" i="1"/>
  <c r="L41" i="3"/>
  <c r="L42" i="3"/>
  <c r="L44" i="3"/>
  <c r="L15" i="3"/>
  <c r="L12" i="3"/>
  <c r="D7" i="1"/>
  <c r="D8" i="1"/>
  <c r="D10" i="1"/>
  <c r="D17" i="1"/>
  <c r="N32" i="3"/>
  <c r="O32" i="3" s="1"/>
  <c r="P32" i="3" s="1"/>
  <c r="Q32" i="3" s="1"/>
  <c r="R32" i="3" s="1"/>
  <c r="C34" i="8" l="1"/>
  <c r="F34" i="8" s="1"/>
  <c r="F35" i="8" s="1"/>
  <c r="F36" i="8" s="1"/>
  <c r="D9" i="1"/>
  <c r="C89" i="1"/>
  <c r="C92" i="1"/>
  <c r="C38" i="1"/>
  <c r="C39" i="1" s="1"/>
  <c r="L18" i="3"/>
  <c r="L34" i="3"/>
  <c r="C86" i="1" s="1"/>
  <c r="D11" i="1"/>
  <c r="D13" i="1" s="1"/>
  <c r="D14" i="1" s="1"/>
  <c r="K19" i="3" s="1"/>
  <c r="G7" i="3"/>
  <c r="J89" i="1"/>
  <c r="D7" i="3"/>
  <c r="E7" i="3"/>
  <c r="F7" i="3"/>
  <c r="H7" i="3"/>
  <c r="I7" i="3"/>
  <c r="J7" i="3"/>
  <c r="K7" i="3"/>
  <c r="C10" i="3"/>
  <c r="D10" i="3"/>
  <c r="D38" i="3" s="1"/>
  <c r="E10" i="3"/>
  <c r="E38" i="3" s="1"/>
  <c r="F10" i="3"/>
  <c r="F38" i="3" s="1"/>
  <c r="G10" i="3"/>
  <c r="G38" i="3" s="1"/>
  <c r="H10" i="3"/>
  <c r="H38" i="3" s="1"/>
  <c r="I10" i="3"/>
  <c r="J10" i="3"/>
  <c r="J38" i="3" s="1"/>
  <c r="K10" i="3"/>
  <c r="D11" i="3"/>
  <c r="D12" i="3" s="1"/>
  <c r="C14" i="3"/>
  <c r="D14" i="3"/>
  <c r="D39" i="3" s="1"/>
  <c r="E14" i="3"/>
  <c r="E39" i="3" s="1"/>
  <c r="F14" i="3"/>
  <c r="F39" i="3" s="1"/>
  <c r="G14" i="3"/>
  <c r="G39" i="3" s="1"/>
  <c r="H14" i="3"/>
  <c r="I14" i="3"/>
  <c r="J14" i="3"/>
  <c r="J39" i="3" s="1"/>
  <c r="K14" i="3"/>
  <c r="C17" i="3"/>
  <c r="D17" i="3"/>
  <c r="E17" i="3"/>
  <c r="F17" i="3"/>
  <c r="G17" i="3"/>
  <c r="H17" i="3"/>
  <c r="I17" i="3"/>
  <c r="J17" i="3"/>
  <c r="K17" i="3"/>
  <c r="C20" i="3"/>
  <c r="D20" i="3"/>
  <c r="E20" i="3"/>
  <c r="F20" i="3"/>
  <c r="G20" i="3"/>
  <c r="H20" i="3"/>
  <c r="I20" i="3"/>
  <c r="J20" i="3"/>
  <c r="K20" i="3"/>
  <c r="C21" i="3"/>
  <c r="D21" i="3"/>
  <c r="E21" i="3"/>
  <c r="F21" i="3"/>
  <c r="G21" i="3"/>
  <c r="H21" i="3"/>
  <c r="I21" i="3"/>
  <c r="J21" i="3"/>
  <c r="K21" i="3"/>
  <c r="C22" i="3"/>
  <c r="D22" i="3"/>
  <c r="E22" i="3"/>
  <c r="F22" i="3"/>
  <c r="G22" i="3"/>
  <c r="H22" i="3"/>
  <c r="I22" i="3"/>
  <c r="J22" i="3"/>
  <c r="K22" i="3"/>
  <c r="I103" i="1"/>
  <c r="H89" i="1"/>
  <c r="D89" i="1"/>
  <c r="E89" i="1"/>
  <c r="F89" i="1"/>
  <c r="G89" i="1"/>
  <c r="I89" i="1"/>
  <c r="D103" i="1"/>
  <c r="C35" i="8" l="1"/>
  <c r="H39" i="3"/>
  <c r="L8" i="3"/>
  <c r="L36" i="3"/>
  <c r="C99" i="1"/>
  <c r="C104" i="1"/>
  <c r="C100" i="1"/>
  <c r="I38" i="3"/>
  <c r="I39" i="3"/>
  <c r="M10" i="3"/>
  <c r="F8" i="3"/>
  <c r="J36" i="3"/>
  <c r="K38" i="3"/>
  <c r="J8" i="3"/>
  <c r="F36" i="3"/>
  <c r="E11" i="3"/>
  <c r="E15" i="3" s="1"/>
  <c r="G36" i="3"/>
  <c r="K36" i="3"/>
  <c r="K11" i="3"/>
  <c r="K15" i="3" s="1"/>
  <c r="I8" i="3"/>
  <c r="I11" i="3"/>
  <c r="I12" i="3" s="1"/>
  <c r="H36" i="3"/>
  <c r="N7" i="3"/>
  <c r="E36" i="3"/>
  <c r="I36" i="3"/>
  <c r="L103" i="1"/>
  <c r="G11" i="3"/>
  <c r="G103" i="1"/>
  <c r="K103" i="1"/>
  <c r="F103" i="1"/>
  <c r="K89" i="1"/>
  <c r="C19" i="3"/>
  <c r="H8" i="3"/>
  <c r="E103" i="1"/>
  <c r="D19" i="3"/>
  <c r="H19" i="3"/>
  <c r="F19" i="3"/>
  <c r="H11" i="3"/>
  <c r="H12" i="3" s="1"/>
  <c r="G8" i="3"/>
  <c r="J19" i="3"/>
  <c r="C7" i="3"/>
  <c r="L39" i="3" s="1"/>
  <c r="I19" i="3"/>
  <c r="E8" i="3"/>
  <c r="K8" i="3"/>
  <c r="J11" i="3"/>
  <c r="F11" i="3"/>
  <c r="D15" i="3"/>
  <c r="J103" i="1"/>
  <c r="E19" i="3"/>
  <c r="M8" i="3" l="1"/>
  <c r="C38" i="3"/>
  <c r="N38" i="3" s="1"/>
  <c r="N10" i="3" s="1"/>
  <c r="C39" i="3"/>
  <c r="M39" i="3" s="1"/>
  <c r="M14" i="3" s="1"/>
  <c r="M11" i="3"/>
  <c r="E12" i="3"/>
  <c r="K12" i="3"/>
  <c r="I15" i="3"/>
  <c r="I18" i="3" s="1"/>
  <c r="N8" i="3"/>
  <c r="O7" i="3"/>
  <c r="K18" i="3"/>
  <c r="K39" i="3"/>
  <c r="D36" i="3"/>
  <c r="G15" i="3"/>
  <c r="G12" i="3"/>
  <c r="H15" i="3"/>
  <c r="G19" i="3"/>
  <c r="H103" i="1"/>
  <c r="D18" i="3"/>
  <c r="E18" i="3"/>
  <c r="C11" i="3"/>
  <c r="D8" i="3"/>
  <c r="F15" i="3"/>
  <c r="F12" i="3"/>
  <c r="J15" i="3"/>
  <c r="J12" i="3"/>
  <c r="N11" i="3" l="1"/>
  <c r="N12" i="3" s="1"/>
  <c r="M12" i="3"/>
  <c r="M15" i="3"/>
  <c r="O8" i="3"/>
  <c r="P7" i="3"/>
  <c r="C15" i="3"/>
  <c r="C12" i="3"/>
  <c r="F18" i="3"/>
  <c r="H18" i="3"/>
  <c r="J18" i="3"/>
  <c r="G18" i="3"/>
  <c r="N39" i="3" l="1"/>
  <c r="N14" i="3" s="1"/>
  <c r="P8" i="3"/>
  <c r="Q7" i="3"/>
  <c r="O38" i="3"/>
  <c r="O10" i="3" s="1"/>
  <c r="C18" i="3"/>
  <c r="O11" i="3" l="1"/>
  <c r="N15" i="3"/>
  <c r="O39" i="3"/>
  <c r="O14" i="3" s="1"/>
  <c r="R7" i="3"/>
  <c r="Q8" i="3"/>
  <c r="P38" i="3"/>
  <c r="P10" i="3" s="1"/>
  <c r="P11" i="3" l="1"/>
  <c r="P12" i="3" s="1"/>
  <c r="O12" i="3"/>
  <c r="O15" i="3"/>
  <c r="P39" i="3"/>
  <c r="Q38" i="3"/>
  <c r="Q10" i="3" s="1"/>
  <c r="R8" i="3"/>
  <c r="Q39" i="3" l="1"/>
  <c r="Q14" i="3" s="1"/>
  <c r="P14" i="3"/>
  <c r="Q11" i="3"/>
  <c r="Q12" i="3" s="1"/>
  <c r="R38" i="3"/>
  <c r="R10" i="3" s="1"/>
  <c r="P15" i="3" l="1"/>
  <c r="R39" i="3"/>
  <c r="R14" i="3" s="1"/>
  <c r="Q15" i="3"/>
  <c r="R11" i="3"/>
  <c r="R12" i="3" s="1"/>
  <c r="D84" i="1"/>
  <c r="C33" i="3"/>
  <c r="D33" i="3"/>
  <c r="I85" i="1"/>
  <c r="J85" i="1"/>
  <c r="K85" i="1"/>
  <c r="L85" i="1"/>
  <c r="H85" i="1"/>
  <c r="E33" i="3"/>
  <c r="F33" i="3"/>
  <c r="J24" i="3"/>
  <c r="I24" i="3"/>
  <c r="H24" i="3"/>
  <c r="G24" i="3"/>
  <c r="F24" i="3"/>
  <c r="E24" i="3"/>
  <c r="D24" i="3"/>
  <c r="C24" i="3"/>
  <c r="K24" i="3"/>
  <c r="E66" i="1"/>
  <c r="F66" i="1"/>
  <c r="G66" i="1"/>
  <c r="H66" i="1"/>
  <c r="I66" i="1"/>
  <c r="J66" i="1"/>
  <c r="K66" i="1"/>
  <c r="L66" i="1"/>
  <c r="G25" i="3"/>
  <c r="G41" i="3" s="1"/>
  <c r="F25" i="3"/>
  <c r="F41" i="3" s="1"/>
  <c r="E25" i="3"/>
  <c r="E41" i="3" s="1"/>
  <c r="D25" i="3"/>
  <c r="D41" i="3" s="1"/>
  <c r="C25" i="3"/>
  <c r="C41" i="3" s="1"/>
  <c r="G26" i="3"/>
  <c r="G42" i="3" s="1"/>
  <c r="F26" i="3"/>
  <c r="F42" i="3" s="1"/>
  <c r="E26" i="3"/>
  <c r="E42" i="3" s="1"/>
  <c r="D26" i="3"/>
  <c r="D42" i="3" s="1"/>
  <c r="C26" i="3"/>
  <c r="C42" i="3" s="1"/>
  <c r="I24" i="1"/>
  <c r="J24" i="1"/>
  <c r="K24" i="1"/>
  <c r="L24" i="1"/>
  <c r="I25" i="1"/>
  <c r="J25" i="1"/>
  <c r="K25" i="1"/>
  <c r="L25" i="1"/>
  <c r="I27" i="1"/>
  <c r="J27" i="1"/>
  <c r="K27" i="1"/>
  <c r="L27" i="1"/>
  <c r="I28" i="1"/>
  <c r="J28" i="1"/>
  <c r="K28" i="1"/>
  <c r="L28" i="1"/>
  <c r="I32" i="1"/>
  <c r="J32" i="1"/>
  <c r="K32" i="1"/>
  <c r="L32" i="1"/>
  <c r="I34" i="1"/>
  <c r="J34" i="1"/>
  <c r="K34" i="1"/>
  <c r="L34" i="1"/>
  <c r="I35" i="1"/>
  <c r="J35" i="1"/>
  <c r="K35" i="1"/>
  <c r="L35" i="1"/>
  <c r="I36" i="1"/>
  <c r="J36" i="1"/>
  <c r="K36" i="1"/>
  <c r="L36" i="1"/>
  <c r="I37" i="1"/>
  <c r="J37" i="1"/>
  <c r="K37" i="1"/>
  <c r="L37" i="1"/>
  <c r="I40" i="1"/>
  <c r="J40" i="1"/>
  <c r="K40" i="1"/>
  <c r="L40" i="1"/>
  <c r="L105" i="1" s="1"/>
  <c r="I53" i="1"/>
  <c r="I54" i="1" s="1"/>
  <c r="J53" i="1"/>
  <c r="J54" i="1" s="1"/>
  <c r="K53" i="1"/>
  <c r="K54" i="1" s="1"/>
  <c r="L53" i="1"/>
  <c r="I60" i="1"/>
  <c r="J60" i="1"/>
  <c r="K60" i="1"/>
  <c r="L60" i="1"/>
  <c r="L106" i="1" s="1"/>
  <c r="E21" i="1"/>
  <c r="F21" i="1"/>
  <c r="G21" i="1"/>
  <c r="H21" i="1"/>
  <c r="E24" i="1"/>
  <c r="F24" i="1"/>
  <c r="G24" i="1"/>
  <c r="H24" i="1"/>
  <c r="E25" i="1"/>
  <c r="F25" i="1"/>
  <c r="G25" i="1"/>
  <c r="H25" i="1"/>
  <c r="E27" i="1"/>
  <c r="F27" i="1"/>
  <c r="G27" i="1"/>
  <c r="H27" i="1"/>
  <c r="E28" i="1"/>
  <c r="F28" i="1"/>
  <c r="G28" i="1"/>
  <c r="H28" i="1"/>
  <c r="E32" i="1"/>
  <c r="F32" i="1"/>
  <c r="G32" i="1"/>
  <c r="H32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40" i="1"/>
  <c r="F40" i="1"/>
  <c r="G40" i="1"/>
  <c r="H40" i="1"/>
  <c r="E53" i="1"/>
  <c r="E54" i="1" s="1"/>
  <c r="F53" i="1"/>
  <c r="F54" i="1" s="1"/>
  <c r="G53" i="1"/>
  <c r="G54" i="1" s="1"/>
  <c r="H53" i="1"/>
  <c r="H54" i="1" s="1"/>
  <c r="E60" i="1"/>
  <c r="F60" i="1"/>
  <c r="G60" i="1"/>
  <c r="H60" i="1"/>
  <c r="I33" i="1" l="1"/>
  <c r="E33" i="1"/>
  <c r="E26" i="1"/>
  <c r="L78" i="1"/>
  <c r="L54" i="1"/>
  <c r="L55" i="1" s="1"/>
  <c r="L62" i="1" s="1"/>
  <c r="L63" i="1" s="1"/>
  <c r="L33" i="1"/>
  <c r="G33" i="1"/>
  <c r="K98" i="1"/>
  <c r="K33" i="1"/>
  <c r="F26" i="1"/>
  <c r="F93" i="1" s="1"/>
  <c r="R15" i="3"/>
  <c r="I26" i="1"/>
  <c r="I77" i="1"/>
  <c r="J33" i="1"/>
  <c r="H77" i="1"/>
  <c r="H33" i="1"/>
  <c r="F98" i="1"/>
  <c r="F33" i="1"/>
  <c r="I55" i="1"/>
  <c r="I62" i="1" s="1"/>
  <c r="I63" i="1" s="1"/>
  <c r="E29" i="1"/>
  <c r="E92" i="1" s="1"/>
  <c r="I94" i="1"/>
  <c r="I95" i="1" s="1"/>
  <c r="H55" i="1"/>
  <c r="H62" i="1" s="1"/>
  <c r="H63" i="1" s="1"/>
  <c r="K26" i="1"/>
  <c r="K93" i="1" s="1"/>
  <c r="G55" i="1"/>
  <c r="G62" i="1" s="1"/>
  <c r="G63" i="1" s="1"/>
  <c r="G26" i="1"/>
  <c r="G93" i="1" s="1"/>
  <c r="F105" i="1"/>
  <c r="E94" i="1"/>
  <c r="E95" i="1" s="1"/>
  <c r="K78" i="1"/>
  <c r="H78" i="1"/>
  <c r="J26" i="1"/>
  <c r="J29" i="1" s="1"/>
  <c r="J92" i="1" s="1"/>
  <c r="I106" i="1"/>
  <c r="K44" i="3"/>
  <c r="K34" i="3"/>
  <c r="J44" i="3"/>
  <c r="M44" i="3" s="1"/>
  <c r="J34" i="3"/>
  <c r="G106" i="1"/>
  <c r="K55" i="1"/>
  <c r="K62" i="1" s="1"/>
  <c r="K63" i="1" s="1"/>
  <c r="L94" i="1"/>
  <c r="L95" i="1" s="1"/>
  <c r="H106" i="1"/>
  <c r="E105" i="1"/>
  <c r="K106" i="1"/>
  <c r="J55" i="1"/>
  <c r="J62" i="1" s="1"/>
  <c r="J63" i="1" s="1"/>
  <c r="J105" i="1"/>
  <c r="E106" i="1"/>
  <c r="H76" i="1"/>
  <c r="H98" i="1"/>
  <c r="H105" i="1"/>
  <c r="G94" i="1"/>
  <c r="G95" i="1" s="1"/>
  <c r="F29" i="1"/>
  <c r="F92" i="1" s="1"/>
  <c r="J106" i="1"/>
  <c r="I78" i="1"/>
  <c r="I98" i="1"/>
  <c r="I105" i="1"/>
  <c r="J94" i="1"/>
  <c r="J95" i="1" s="1"/>
  <c r="I93" i="1"/>
  <c r="E44" i="3"/>
  <c r="E34" i="3"/>
  <c r="I44" i="3"/>
  <c r="I34" i="3"/>
  <c r="E28" i="3"/>
  <c r="K105" i="1"/>
  <c r="F106" i="1"/>
  <c r="E55" i="1"/>
  <c r="E62" i="1" s="1"/>
  <c r="E63" i="1" s="1"/>
  <c r="E98" i="1"/>
  <c r="H94" i="1"/>
  <c r="H95" i="1" s="1"/>
  <c r="H26" i="1"/>
  <c r="K94" i="1"/>
  <c r="K95" i="1" s="1"/>
  <c r="F28" i="3"/>
  <c r="G98" i="1"/>
  <c r="G105" i="1"/>
  <c r="F94" i="1"/>
  <c r="F95" i="1" s="1"/>
  <c r="E93" i="1"/>
  <c r="C28" i="3"/>
  <c r="F44" i="3"/>
  <c r="F34" i="3"/>
  <c r="C44" i="3"/>
  <c r="C34" i="3"/>
  <c r="G44" i="3"/>
  <c r="G34" i="3"/>
  <c r="D44" i="3"/>
  <c r="D34" i="3"/>
  <c r="H44" i="3"/>
  <c r="H34" i="3"/>
  <c r="F29" i="3"/>
  <c r="F55" i="1"/>
  <c r="F62" i="1" s="1"/>
  <c r="F63" i="1" s="1"/>
  <c r="D28" i="3"/>
  <c r="K76" i="1"/>
  <c r="I29" i="1"/>
  <c r="I92" i="1" s="1"/>
  <c r="L26" i="1"/>
  <c r="L93" i="1" s="1"/>
  <c r="J77" i="1"/>
  <c r="J78" i="1"/>
  <c r="J76" i="1"/>
  <c r="I76" i="1"/>
  <c r="L76" i="1"/>
  <c r="K32" i="3"/>
  <c r="K5" i="3"/>
  <c r="D53" i="1"/>
  <c r="D40" i="1"/>
  <c r="D37" i="1"/>
  <c r="D36" i="1"/>
  <c r="D35" i="1"/>
  <c r="D34" i="1"/>
  <c r="D32" i="1"/>
  <c r="D28" i="1"/>
  <c r="D27" i="1"/>
  <c r="D25" i="1"/>
  <c r="D24" i="1"/>
  <c r="K29" i="1" l="1"/>
  <c r="K92" i="1" s="1"/>
  <c r="E38" i="1"/>
  <c r="E39" i="1" s="1"/>
  <c r="J93" i="1"/>
  <c r="C78" i="1"/>
  <c r="D54" i="1"/>
  <c r="J98" i="1"/>
  <c r="D105" i="1"/>
  <c r="C105" i="1"/>
  <c r="D94" i="1"/>
  <c r="D95" i="1" s="1"/>
  <c r="C94" i="1"/>
  <c r="C95" i="1" s="1"/>
  <c r="D29" i="3"/>
  <c r="E29" i="3"/>
  <c r="E30" i="3" s="1"/>
  <c r="E46" i="3" s="1"/>
  <c r="C76" i="1"/>
  <c r="K77" i="1"/>
  <c r="K80" i="1" s="1"/>
  <c r="N6" i="3"/>
  <c r="M33" i="3"/>
  <c r="F38" i="1"/>
  <c r="F39" i="1" s="1"/>
  <c r="G29" i="1"/>
  <c r="G92" i="1" s="1"/>
  <c r="I38" i="1"/>
  <c r="I39" i="1" s="1"/>
  <c r="M24" i="3"/>
  <c r="K38" i="1"/>
  <c r="K39" i="1" s="1"/>
  <c r="F30" i="3"/>
  <c r="F46" i="3" s="1"/>
  <c r="D33" i="1"/>
  <c r="J38" i="1"/>
  <c r="J39" i="1" s="1"/>
  <c r="I80" i="1"/>
  <c r="H80" i="1"/>
  <c r="J80" i="1"/>
  <c r="L98" i="1"/>
  <c r="H93" i="1"/>
  <c r="H29" i="1"/>
  <c r="L86" i="1"/>
  <c r="C29" i="3"/>
  <c r="C30" i="3" s="1"/>
  <c r="C46" i="3" s="1"/>
  <c r="L77" i="1"/>
  <c r="L80" i="1" s="1"/>
  <c r="L29" i="1"/>
  <c r="L92" i="1" s="1"/>
  <c r="D30" i="3"/>
  <c r="D46" i="3" s="1"/>
  <c r="E47" i="3" l="1"/>
  <c r="F47" i="3"/>
  <c r="D47" i="3"/>
  <c r="M34" i="3"/>
  <c r="O6" i="3"/>
  <c r="N33" i="3"/>
  <c r="G38" i="1"/>
  <c r="G39" i="1" s="1"/>
  <c r="N44" i="3"/>
  <c r="O44" i="3" s="1"/>
  <c r="H92" i="1"/>
  <c r="H38" i="1"/>
  <c r="H39" i="1" s="1"/>
  <c r="L104" i="1"/>
  <c r="L99" i="1"/>
  <c r="L100" i="1"/>
  <c r="J86" i="1"/>
  <c r="I86" i="1"/>
  <c r="L38" i="1"/>
  <c r="L39" i="1" s="1"/>
  <c r="H33" i="3"/>
  <c r="I33" i="3"/>
  <c r="J33" i="3"/>
  <c r="K33" i="3"/>
  <c r="G33" i="3"/>
  <c r="N5" i="3"/>
  <c r="O5" i="3" s="1"/>
  <c r="P5" i="3" s="1"/>
  <c r="Q5" i="3" s="1"/>
  <c r="R5" i="3" s="1"/>
  <c r="G29" i="3"/>
  <c r="H29" i="3"/>
  <c r="I29" i="3"/>
  <c r="J29" i="3"/>
  <c r="K29" i="3"/>
  <c r="G28" i="3"/>
  <c r="H28" i="3"/>
  <c r="I28" i="3"/>
  <c r="J28" i="3"/>
  <c r="K28" i="3"/>
  <c r="M8" i="8" l="1"/>
  <c r="E80" i="8" s="1"/>
  <c r="M7" i="8"/>
  <c r="E67" i="8" s="1"/>
  <c r="N24" i="3"/>
  <c r="P6" i="3"/>
  <c r="O33" i="3"/>
  <c r="P44" i="3"/>
  <c r="O24" i="3"/>
  <c r="I99" i="1"/>
  <c r="I100" i="1"/>
  <c r="I104" i="1"/>
  <c r="J104" i="1"/>
  <c r="J99" i="1"/>
  <c r="J100" i="1"/>
  <c r="K86" i="1"/>
  <c r="G30" i="3"/>
  <c r="G46" i="3" s="1"/>
  <c r="G47" i="3" s="1"/>
  <c r="H30" i="3"/>
  <c r="H46" i="3" s="1"/>
  <c r="I30" i="3"/>
  <c r="I46" i="3" s="1"/>
  <c r="I47" i="3" s="1"/>
  <c r="K30" i="3"/>
  <c r="K46" i="3" s="1"/>
  <c r="J30" i="3"/>
  <c r="J46" i="3" s="1"/>
  <c r="D60" i="1"/>
  <c r="C106" i="1" s="1"/>
  <c r="D26" i="1"/>
  <c r="D78" i="1"/>
  <c r="D77" i="1"/>
  <c r="D76" i="1"/>
  <c r="K26" i="3"/>
  <c r="K42" i="3" s="1"/>
  <c r="D21" i="1"/>
  <c r="F78" i="1"/>
  <c r="E78" i="1"/>
  <c r="G77" i="1"/>
  <c r="F77" i="1"/>
  <c r="E77" i="1"/>
  <c r="G76" i="1"/>
  <c r="F76" i="1"/>
  <c r="E76" i="1"/>
  <c r="H26" i="3"/>
  <c r="H42" i="3" s="1"/>
  <c r="I26" i="3"/>
  <c r="I42" i="3" s="1"/>
  <c r="J26" i="3"/>
  <c r="J42" i="3" s="1"/>
  <c r="N68" i="8" l="1"/>
  <c r="O68" i="8"/>
  <c r="N81" i="8"/>
  <c r="M81" i="8"/>
  <c r="H81" i="8"/>
  <c r="O81" i="8"/>
  <c r="L81" i="8"/>
  <c r="K81" i="8"/>
  <c r="F81" i="8"/>
  <c r="J81" i="8"/>
  <c r="I81" i="8"/>
  <c r="G81" i="8"/>
  <c r="F82" i="8"/>
  <c r="H68" i="8"/>
  <c r="G68" i="8"/>
  <c r="E70" i="8"/>
  <c r="F69" i="8"/>
  <c r="F68" i="8"/>
  <c r="M68" i="8"/>
  <c r="L68" i="8"/>
  <c r="J68" i="8"/>
  <c r="I68" i="8"/>
  <c r="K68" i="8"/>
  <c r="F80" i="8"/>
  <c r="G82" i="8" s="1"/>
  <c r="E48" i="8"/>
  <c r="F48" i="8" s="1"/>
  <c r="E49" i="8"/>
  <c r="F49" i="8" s="1"/>
  <c r="M9" i="8"/>
  <c r="J47" i="3"/>
  <c r="H47" i="3"/>
  <c r="M42" i="3"/>
  <c r="K47" i="3"/>
  <c r="O34" i="3"/>
  <c r="N34" i="3"/>
  <c r="Q6" i="3"/>
  <c r="P33" i="3"/>
  <c r="D93" i="1"/>
  <c r="D106" i="1"/>
  <c r="D98" i="1"/>
  <c r="Q44" i="3"/>
  <c r="P24" i="3"/>
  <c r="K99" i="1"/>
  <c r="K100" i="1"/>
  <c r="K104" i="1"/>
  <c r="G86" i="1"/>
  <c r="D29" i="1"/>
  <c r="D92" i="1" s="1"/>
  <c r="D55" i="1"/>
  <c r="J25" i="3"/>
  <c r="J41" i="3" s="1"/>
  <c r="F80" i="1"/>
  <c r="D80" i="1"/>
  <c r="K25" i="3"/>
  <c r="K41" i="3" s="1"/>
  <c r="H25" i="3"/>
  <c r="H41" i="3" s="1"/>
  <c r="M41" i="3" s="1"/>
  <c r="E80" i="1"/>
  <c r="G78" i="1"/>
  <c r="G80" i="1" s="1"/>
  <c r="I25" i="3"/>
  <c r="I41" i="3" s="1"/>
  <c r="F83" i="8" l="1"/>
  <c r="F89" i="8" s="1"/>
  <c r="F70" i="8"/>
  <c r="F67" i="8"/>
  <c r="G69" i="8" s="1"/>
  <c r="G83" i="8"/>
  <c r="G80" i="8"/>
  <c r="H82" i="8" s="1"/>
  <c r="G67" i="8"/>
  <c r="H69" i="8" s="1"/>
  <c r="G70" i="8"/>
  <c r="F90" i="8"/>
  <c r="F52" i="8"/>
  <c r="F53" i="8" s="1"/>
  <c r="M10" i="8"/>
  <c r="M11" i="8" s="1"/>
  <c r="N9" i="8" s="1"/>
  <c r="P34" i="3"/>
  <c r="R6" i="3"/>
  <c r="R33" i="3" s="1"/>
  <c r="Q33" i="3"/>
  <c r="N41" i="3"/>
  <c r="N42" i="3"/>
  <c r="M26" i="3"/>
  <c r="R44" i="3"/>
  <c r="R24" i="3" s="1"/>
  <c r="Q24" i="3"/>
  <c r="G99" i="1"/>
  <c r="G100" i="1"/>
  <c r="G104" i="1"/>
  <c r="E86" i="1"/>
  <c r="D38" i="1"/>
  <c r="D86" i="1"/>
  <c r="F86" i="1"/>
  <c r="H86" i="1"/>
  <c r="D62" i="1"/>
  <c r="D63" i="1" s="1"/>
  <c r="G89" i="8" l="1"/>
  <c r="H80" i="8"/>
  <c r="I82" i="8" s="1"/>
  <c r="H83" i="8"/>
  <c r="H67" i="8"/>
  <c r="I69" i="8" s="1"/>
  <c r="H70" i="8"/>
  <c r="G90" i="8"/>
  <c r="O11" i="8"/>
  <c r="N11" i="8"/>
  <c r="N7" i="8"/>
  <c r="N8" i="8"/>
  <c r="E56" i="8"/>
  <c r="O10" i="8"/>
  <c r="N10" i="8"/>
  <c r="R34" i="3"/>
  <c r="Q34" i="3"/>
  <c r="M25" i="3"/>
  <c r="O42" i="3"/>
  <c r="N26" i="3"/>
  <c r="N25" i="3"/>
  <c r="O41" i="3"/>
  <c r="E99" i="1"/>
  <c r="E100" i="1"/>
  <c r="E104" i="1"/>
  <c r="H99" i="1"/>
  <c r="H100" i="1"/>
  <c r="H104" i="1"/>
  <c r="D99" i="1"/>
  <c r="D100" i="1"/>
  <c r="D104" i="1"/>
  <c r="F104" i="1"/>
  <c r="F99" i="1"/>
  <c r="F100" i="1"/>
  <c r="D39" i="1"/>
  <c r="H89" i="8" l="1"/>
  <c r="I80" i="8"/>
  <c r="J82" i="8" s="1"/>
  <c r="I83" i="8"/>
  <c r="I70" i="8"/>
  <c r="H90" i="8"/>
  <c r="I67" i="8"/>
  <c r="J69" i="8" s="1"/>
  <c r="E60" i="8"/>
  <c r="F56" i="8"/>
  <c r="F58" i="8" s="1"/>
  <c r="F60" i="8" s="1"/>
  <c r="F61" i="8" s="1"/>
  <c r="O25" i="3"/>
  <c r="P41" i="3"/>
  <c r="O26" i="3"/>
  <c r="P42" i="3"/>
  <c r="I89" i="8" l="1"/>
  <c r="J80" i="8"/>
  <c r="K82" i="8" s="1"/>
  <c r="J83" i="8"/>
  <c r="I90" i="8"/>
  <c r="J70" i="8"/>
  <c r="J67" i="8"/>
  <c r="K69" i="8" s="1"/>
  <c r="Q41" i="3"/>
  <c r="P25" i="3"/>
  <c r="P26" i="3"/>
  <c r="Q42" i="3"/>
  <c r="J89" i="8" l="1"/>
  <c r="K80" i="8"/>
  <c r="L82" i="8" s="1"/>
  <c r="K83" i="8"/>
  <c r="J90" i="8"/>
  <c r="K70" i="8"/>
  <c r="K67" i="8"/>
  <c r="L69" i="8" s="1"/>
  <c r="Q26" i="3"/>
  <c r="R42" i="3"/>
  <c r="R26" i="3" s="1"/>
  <c r="R41" i="3"/>
  <c r="R25" i="3" s="1"/>
  <c r="Q25" i="3"/>
  <c r="K89" i="8" l="1"/>
  <c r="L80" i="8"/>
  <c r="M82" i="8" s="1"/>
  <c r="L83" i="8"/>
  <c r="K90" i="8"/>
  <c r="L67" i="8"/>
  <c r="M69" i="8" s="1"/>
  <c r="L70" i="8"/>
  <c r="C55" i="1"/>
  <c r="C62" i="1" s="1"/>
  <c r="C63" i="1" s="1"/>
  <c r="L29" i="3"/>
  <c r="L30" i="3" s="1"/>
  <c r="L89" i="8" l="1"/>
  <c r="M80" i="8"/>
  <c r="M83" i="8"/>
  <c r="L90" i="8"/>
  <c r="M70" i="8"/>
  <c r="D70" i="8" s="1"/>
  <c r="M67" i="8"/>
  <c r="L46" i="3"/>
  <c r="O47" i="3" s="1"/>
  <c r="C77" i="1"/>
  <c r="C80" i="1" s="1"/>
  <c r="M90" i="8" l="1"/>
  <c r="N67" i="8"/>
  <c r="N69" i="8"/>
  <c r="N70" i="8" s="1"/>
  <c r="N82" i="8"/>
  <c r="N83" i="8" s="1"/>
  <c r="N89" i="8" s="1"/>
  <c r="N80" i="8"/>
  <c r="M89" i="8"/>
  <c r="M47" i="3"/>
  <c r="M46" i="3" s="1"/>
  <c r="N47" i="3"/>
  <c r="R47" i="3"/>
  <c r="P47" i="3"/>
  <c r="Q47" i="3"/>
  <c r="L47" i="3"/>
  <c r="N90" i="8" l="1"/>
  <c r="O80" i="8"/>
  <c r="O82" i="8"/>
  <c r="O83" i="8" s="1"/>
  <c r="O69" i="8"/>
  <c r="O70" i="8" s="1"/>
  <c r="O67" i="8"/>
  <c r="M30" i="3"/>
  <c r="N46" i="3"/>
  <c r="N30" i="3"/>
  <c r="O46" i="3"/>
  <c r="O89" i="8" l="1"/>
  <c r="O90" i="8"/>
  <c r="P46" i="3"/>
  <c r="O30" i="3"/>
  <c r="Q46" i="3" l="1"/>
  <c r="P30" i="3"/>
  <c r="Q30" i="3" l="1"/>
  <c r="R46" i="3"/>
  <c r="R30" i="3" l="1"/>
</calcChain>
</file>

<file path=xl/sharedStrings.xml><?xml version="1.0" encoding="utf-8"?>
<sst xmlns="http://schemas.openxmlformats.org/spreadsheetml/2006/main" count="782" uniqueCount="527">
  <si>
    <t>($000's)</t>
  </si>
  <si>
    <t>Total Revenue</t>
  </si>
  <si>
    <t>Cost of Revenue</t>
  </si>
  <si>
    <t>Gross Profit</t>
  </si>
  <si>
    <t>Total Operating Expenses</t>
  </si>
  <si>
    <t>EBIT (Operating Income or Loss)</t>
  </si>
  <si>
    <t>Interest Expense</t>
  </si>
  <si>
    <t>EBT &amp; other Income/Expenses</t>
  </si>
  <si>
    <t>Other Income/Expenses Net</t>
  </si>
  <si>
    <t>EBT</t>
  </si>
  <si>
    <t>Income Tax Expense</t>
  </si>
  <si>
    <t>Net Income</t>
  </si>
  <si>
    <t>Assets</t>
  </si>
  <si>
    <t>Current Assets</t>
  </si>
  <si>
    <t>Cash And Cash Equivalents</t>
  </si>
  <si>
    <t>Other Short Term Investments</t>
  </si>
  <si>
    <t>Total Cash</t>
  </si>
  <si>
    <t>Net Receivables</t>
  </si>
  <si>
    <t>Inventory</t>
  </si>
  <si>
    <t>Total Current Assets</t>
  </si>
  <si>
    <t>Non-current assets</t>
  </si>
  <si>
    <t>Gross property, plant and equipment</t>
  </si>
  <si>
    <t>Accumulated Depreciation</t>
  </si>
  <si>
    <t>Net property, plant and equipment</t>
  </si>
  <si>
    <t>Long Term Investments</t>
  </si>
  <si>
    <t>Goodwill</t>
  </si>
  <si>
    <t>Intangible Assets</t>
  </si>
  <si>
    <t>Other long-term assets</t>
  </si>
  <si>
    <t>Total non-current assets</t>
  </si>
  <si>
    <t>Total Assets</t>
  </si>
  <si>
    <t>Liabilities</t>
  </si>
  <si>
    <t>Current Liabilities</t>
  </si>
  <si>
    <t>Accounts Payable</t>
  </si>
  <si>
    <t>Accrued liabilities</t>
  </si>
  <si>
    <t>Deferred revenues</t>
  </si>
  <si>
    <t>Current Portion of Long Term Debt</t>
  </si>
  <si>
    <t>Total Current Liabilities</t>
  </si>
  <si>
    <t>Non-Current Liabilities</t>
  </si>
  <si>
    <t>Long Term Debt</t>
  </si>
  <si>
    <t>Deferred taxes liabilities</t>
  </si>
  <si>
    <t>Total non-current liabilities</t>
  </si>
  <si>
    <t>Total Liabilities</t>
  </si>
  <si>
    <t>Stockholders' Equity</t>
  </si>
  <si>
    <t>Common Stock</t>
  </si>
  <si>
    <t>Retained Earnings</t>
  </si>
  <si>
    <t>Total stockholders' equity</t>
  </si>
  <si>
    <t xml:space="preserve"> Liabilities &amp; Stockholders Equity</t>
  </si>
  <si>
    <t>Error</t>
  </si>
  <si>
    <t>Depreciation</t>
  </si>
  <si>
    <t>Investment Activities</t>
  </si>
  <si>
    <t>Capital Expenditure</t>
  </si>
  <si>
    <t>Financing Activity</t>
  </si>
  <si>
    <t>ST Debt</t>
  </si>
  <si>
    <t>LT Debt</t>
  </si>
  <si>
    <t>LT Deferred Revenue</t>
  </si>
  <si>
    <t>Other Long-Term Liabilities</t>
  </si>
  <si>
    <t xml:space="preserve">  Total Financing Activities</t>
  </si>
  <si>
    <t>FINANCIAL RATIO ANALYSIS</t>
  </si>
  <si>
    <t>EBITDA ($ 000's)</t>
  </si>
  <si>
    <t>TREND ANALYSIS</t>
  </si>
  <si>
    <t>Revenue Growth</t>
  </si>
  <si>
    <t>LIQUIDITY RATIOS</t>
  </si>
  <si>
    <t>Current Ratio</t>
  </si>
  <si>
    <t>Quick Ratio</t>
  </si>
  <si>
    <t>Accounts Receivable Turnover</t>
  </si>
  <si>
    <t>Accounts Receivable Days</t>
  </si>
  <si>
    <t>SOLVENCY RATIOS</t>
  </si>
  <si>
    <t>Total Debt / Total Capitalization (Cap Ratio)</t>
  </si>
  <si>
    <t>EBITDA/ Interest (Coverage Ratio)</t>
  </si>
  <si>
    <t>Total Debt / EBITDA (Leverage Ratio)</t>
  </si>
  <si>
    <t>PROFITABILITY RATIO</t>
  </si>
  <si>
    <t>EBITDA Margin</t>
  </si>
  <si>
    <t>ROA</t>
  </si>
  <si>
    <t>ROE</t>
  </si>
  <si>
    <t xml:space="preserve">INCOME STATEMENT </t>
  </si>
  <si>
    <t>LTM</t>
  </si>
  <si>
    <t>EBITDA</t>
  </si>
  <si>
    <t>Total Debt</t>
  </si>
  <si>
    <t>OPERATING ASSUMPTIONS</t>
  </si>
  <si>
    <t>Depreciation % Revenue</t>
  </si>
  <si>
    <t>Capex % Revenue</t>
  </si>
  <si>
    <t xml:space="preserve">  Revenue Growth</t>
  </si>
  <si>
    <t>Dec 31</t>
  </si>
  <si>
    <t>Financial Analysis</t>
  </si>
  <si>
    <t>BALANACE SHEET STATEMENT</t>
  </si>
  <si>
    <t>Cost of Revenue as % of Revenue</t>
  </si>
  <si>
    <t>Operating Expense as % of Revenues</t>
  </si>
  <si>
    <t>Working Capital as % of Revenues</t>
  </si>
  <si>
    <t>Working Capital</t>
  </si>
  <si>
    <t xml:space="preserve"> Debt Reapayment $</t>
  </si>
  <si>
    <t>Projection Analysis</t>
  </si>
  <si>
    <t xml:space="preserve">  Gross profit</t>
  </si>
  <si>
    <t>HISTORICAL</t>
  </si>
  <si>
    <t>PROJECTED</t>
  </si>
  <si>
    <t>Comments</t>
  </si>
  <si>
    <t>name</t>
  </si>
  <si>
    <t>TotalRevenue</t>
  </si>
  <si>
    <t xml:space="preserve">	OperatingRevenue</t>
  </si>
  <si>
    <t>CostOfRevenue</t>
  </si>
  <si>
    <t>GrossProfit</t>
  </si>
  <si>
    <t>OperatingExpense</t>
  </si>
  <si>
    <t xml:space="preserve">	SellingGeneralAndAdministration</t>
  </si>
  <si>
    <t xml:space="preserve">	DepreciationAmortizationDepletionIncomeStatement</t>
  </si>
  <si>
    <t xml:space="preserve">		DepreciationAndAmortizationInIncomeStatement</t>
  </si>
  <si>
    <t>OperatingIncome</t>
  </si>
  <si>
    <t>NetNonOperatingInterestIncomeExpense</t>
  </si>
  <si>
    <t xml:space="preserve">	InterestIncomeNonOperating</t>
  </si>
  <si>
    <t xml:space="preserve">	InterestExpenseNonOperating</t>
  </si>
  <si>
    <t>OtherIncomeExpense</t>
  </si>
  <si>
    <t xml:space="preserve">	GainOnSaleOfSecurity</t>
  </si>
  <si>
    <t xml:space="preserve">	SpecialIncomeCharges</t>
  </si>
  <si>
    <t xml:space="preserve">		ImpairmentOfCapitalAssets</t>
  </si>
  <si>
    <t xml:space="preserve">		OtherSpecialCharges</t>
  </si>
  <si>
    <t xml:space="preserve">		GainOnSaleOfPPE</t>
  </si>
  <si>
    <t xml:space="preserve">	OtherNonOperatingIncomeExpenses</t>
  </si>
  <si>
    <t>PretaxIncome</t>
  </si>
  <si>
    <t>TaxProvision</t>
  </si>
  <si>
    <t>NetIncomeCommonStockholders</t>
  </si>
  <si>
    <t xml:space="preserve">	NetIncome</t>
  </si>
  <si>
    <t xml:space="preserve">		NetIncomeIncludingNoncontrollingInterests</t>
  </si>
  <si>
    <t xml:space="preserve">			NetIncomeContinuousOperations</t>
  </si>
  <si>
    <t xml:space="preserve">		MinorityInterests</t>
  </si>
  <si>
    <t>DilutedNIAvailtoComStockholders</t>
  </si>
  <si>
    <t>BasicEPS</t>
  </si>
  <si>
    <t>DilutedEPS</t>
  </si>
  <si>
    <t>BasicAverageShares</t>
  </si>
  <si>
    <t>DilutedAverageShares</t>
  </si>
  <si>
    <t>TotalExpenses</t>
  </si>
  <si>
    <t>NetIncomeFromContinuingAndDiscontinuedOperation</t>
  </si>
  <si>
    <t>NormalizedIncome</t>
  </si>
  <si>
    <t>InterestIncome</t>
  </si>
  <si>
    <t>InterestExpense</t>
  </si>
  <si>
    <t>NetInterestIncome</t>
  </si>
  <si>
    <t>EBIT</t>
  </si>
  <si>
    <t>ReconciledCostOfRevenue</t>
  </si>
  <si>
    <t>ReconciledDepreciation</t>
  </si>
  <si>
    <t>NetIncomeFromContinuingOperationNetMinorityInterest</t>
  </si>
  <si>
    <t>TotalUnusualItemsExcludingGoodwill</t>
  </si>
  <si>
    <t>TotalUnusualItems</t>
  </si>
  <si>
    <t>NormalizedEBITDA</t>
  </si>
  <si>
    <t>TaxRateForCalcs</t>
  </si>
  <si>
    <t>TaxEffectOfUnusualItems</t>
  </si>
  <si>
    <t>TotalAssets</t>
  </si>
  <si>
    <t xml:space="preserve">	CurrentAssets</t>
  </si>
  <si>
    <t xml:space="preserve">		CashCashEquivalentsAndShortTermInvestments</t>
  </si>
  <si>
    <t xml:space="preserve">			CashAndCashEquivalents</t>
  </si>
  <si>
    <t xml:space="preserve">		Receivables</t>
  </si>
  <si>
    <t xml:space="preserve">			AccountsReceivable</t>
  </si>
  <si>
    <t xml:space="preserve">		Inventory</t>
  </si>
  <si>
    <t xml:space="preserve">		PrepaidAssets</t>
  </si>
  <si>
    <t xml:space="preserve">		CurrentDeferredAssets</t>
  </si>
  <si>
    <t xml:space="preserve">			CurrentDeferredTaxesAssets</t>
  </si>
  <si>
    <t xml:space="preserve">		OtherCurrentAssets</t>
  </si>
  <si>
    <t xml:space="preserve">	TotalNonCurrentAssets</t>
  </si>
  <si>
    <t xml:space="preserve">		NetPPE</t>
  </si>
  <si>
    <t xml:space="preserve">			GrossPPE</t>
  </si>
  <si>
    <t xml:space="preserve">				Properties</t>
  </si>
  <si>
    <t xml:space="preserve">				LandAndImprovements</t>
  </si>
  <si>
    <t xml:space="preserve">				BuildingsAndImprovements</t>
  </si>
  <si>
    <t xml:space="preserve">				MachineryFurnitureEquipment</t>
  </si>
  <si>
    <t xml:space="preserve">				OtherProperties</t>
  </si>
  <si>
    <t xml:space="preserve">				ConstructionInProgress</t>
  </si>
  <si>
    <t xml:space="preserve">			AccumulatedDepreciation</t>
  </si>
  <si>
    <t xml:space="preserve">		GoodwillAndOtherIntangibleAssets</t>
  </si>
  <si>
    <t xml:space="preserve">			Goodwill</t>
  </si>
  <si>
    <t xml:space="preserve">			OtherIntangibleAssets</t>
  </si>
  <si>
    <t xml:space="preserve">		OtherNonCurrentAssets</t>
  </si>
  <si>
    <t>TotalLiabilitiesNetMinorityInterest</t>
  </si>
  <si>
    <t xml:space="preserve">	CurrentLiabilities</t>
  </si>
  <si>
    <t xml:space="preserve">		PayablesAndAccruedExpenses</t>
  </si>
  <si>
    <t xml:space="preserve">			Payables</t>
  </si>
  <si>
    <t xml:space="preserve">				AccountsPayable</t>
  </si>
  <si>
    <t xml:space="preserve">				TotalTaxPayable</t>
  </si>
  <si>
    <t xml:space="preserve">			CurrentAccruedExpenses</t>
  </si>
  <si>
    <t xml:space="preserve">		PensionandOtherPostRetirementBenefitPlansCurrent</t>
  </si>
  <si>
    <t xml:space="preserve">		CurrentDebtAndCapitalLeaseObligation</t>
  </si>
  <si>
    <t xml:space="preserve">			CurrentDebt</t>
  </si>
  <si>
    <t xml:space="preserve">				OtherCurrentBorrowings</t>
  </si>
  <si>
    <t xml:space="preserve">		CurrentDeferredLiabilities</t>
  </si>
  <si>
    <t xml:space="preserve">			CurrentDeferredRevenue</t>
  </si>
  <si>
    <t xml:space="preserve">		OtherCurrentLiabilities</t>
  </si>
  <si>
    <t xml:space="preserve">	TotalNonCurrentLiabilitiesNetMinorityInterest</t>
  </si>
  <si>
    <t xml:space="preserve">		LongTermDebtAndCapitalLeaseObligation</t>
  </si>
  <si>
    <t xml:space="preserve">			LongTermDebt</t>
  </si>
  <si>
    <t xml:space="preserve">			LongTermCapitalLeaseObligation</t>
  </si>
  <si>
    <t xml:space="preserve">		NonCurrentDeferredLiabilities</t>
  </si>
  <si>
    <t xml:space="preserve">			NonCurrentDeferredTaxesLiabilities</t>
  </si>
  <si>
    <t xml:space="preserve">			NonCurrentDeferredRevenue</t>
  </si>
  <si>
    <t xml:space="preserve">		OtherNonCurrentLiabilities</t>
  </si>
  <si>
    <t>TotalEquityGrossMinorityInterest</t>
  </si>
  <si>
    <t xml:space="preserve">	StockholdersEquity</t>
  </si>
  <si>
    <t xml:space="preserve">		CapitalStock</t>
  </si>
  <si>
    <t xml:space="preserve">			CommonStock</t>
  </si>
  <si>
    <t xml:space="preserve">		AdditionalPaidInCapital</t>
  </si>
  <si>
    <t xml:space="preserve">		RetainedEarnings</t>
  </si>
  <si>
    <t xml:space="preserve">		GainsLossesNotAffectingRetainedEarnings</t>
  </si>
  <si>
    <t xml:space="preserve">	MinorityInterest</t>
  </si>
  <si>
    <t>TotalCapitalization</t>
  </si>
  <si>
    <t>CommonStockEquity</t>
  </si>
  <si>
    <t>CapitalLeaseObligations</t>
  </si>
  <si>
    <t>NetTangibleAssets</t>
  </si>
  <si>
    <t>WorkingCapital</t>
  </si>
  <si>
    <t>InvestedCapital</t>
  </si>
  <si>
    <t>TangibleBookValue</t>
  </si>
  <si>
    <t>TotalDebt</t>
  </si>
  <si>
    <t>NetDebt</t>
  </si>
  <si>
    <t>ShareIssued</t>
  </si>
  <si>
    <t>OrdinarySharesNumber</t>
  </si>
  <si>
    <t>OperatingCashFlow</t>
  </si>
  <si>
    <t xml:space="preserve">	CashFlowFromContinuingOperatingActivities</t>
  </si>
  <si>
    <t xml:space="preserve">		NetIncomeFromContinuingOperations</t>
  </si>
  <si>
    <t xml:space="preserve">		OperatingGainsLosses</t>
  </si>
  <si>
    <t xml:space="preserve">			NetForeignCurrencyExchangeGainLoss</t>
  </si>
  <si>
    <t xml:space="preserve">			GainLossOnInvestmentSecurities</t>
  </si>
  <si>
    <t xml:space="preserve">		DepreciationAmortizationDepletion</t>
  </si>
  <si>
    <t xml:space="preserve">			DepreciationAndAmortization</t>
  </si>
  <si>
    <t xml:space="preserve">		DeferredTax</t>
  </si>
  <si>
    <t xml:space="preserve">			DeferredIncomeTax</t>
  </si>
  <si>
    <t xml:space="preserve">		AssetImpairmentCharge</t>
  </si>
  <si>
    <t xml:space="preserve">		StockBasedCompensation</t>
  </si>
  <si>
    <t xml:space="preserve">		OtherNonCashItems</t>
  </si>
  <si>
    <t xml:space="preserve">		ChangeInWorkingCapital</t>
  </si>
  <si>
    <t xml:space="preserve">			ChangeInReceivables</t>
  </si>
  <si>
    <t xml:space="preserve">			ChangeInInventory</t>
  </si>
  <si>
    <t xml:space="preserve">			ChangeInPayablesAndAccruedExpense</t>
  </si>
  <si>
    <t xml:space="preserve">				ChangeInPayable</t>
  </si>
  <si>
    <t xml:space="preserve">					ChangeInAccountPayable</t>
  </si>
  <si>
    <t xml:space="preserve">			ChangeInOtherCurrentAssets</t>
  </si>
  <si>
    <t xml:space="preserve">			ChangeInOtherCurrentLiabilities</t>
  </si>
  <si>
    <t xml:space="preserve">			ChangeInOtherWorkingCapital</t>
  </si>
  <si>
    <t>InvestingCashFlow</t>
  </si>
  <si>
    <t xml:space="preserve">	CashFlowFromContinuingInvestingActivities</t>
  </si>
  <si>
    <t xml:space="preserve">		CapitalExpenditureReported</t>
  </si>
  <si>
    <t xml:space="preserve">		NetPPEPurchaseAndSale</t>
  </si>
  <si>
    <t xml:space="preserve">			PurchaseOfPPE</t>
  </si>
  <si>
    <t xml:space="preserve">			SaleOfPPE</t>
  </si>
  <si>
    <t xml:space="preserve">		NetIntangiblesPurchaseAndSale</t>
  </si>
  <si>
    <t xml:space="preserve">		NetBusinessPurchaseAndSale</t>
  </si>
  <si>
    <t xml:space="preserve">			PurchaseOfBusiness</t>
  </si>
  <si>
    <t xml:space="preserve">			SaleOfBusiness</t>
  </si>
  <si>
    <t xml:space="preserve">		NetInvestmentPurchaseAndSale</t>
  </si>
  <si>
    <t xml:space="preserve">			SaleOfInvestment</t>
  </si>
  <si>
    <t xml:space="preserve">		NetOtherInvestingChanges</t>
  </si>
  <si>
    <t>FinancingCashFlow</t>
  </si>
  <si>
    <t xml:space="preserve">	CashFlowFromContinuingFinancingActivities</t>
  </si>
  <si>
    <t xml:space="preserve">		NetIssuancePaymentsOfDebt</t>
  </si>
  <si>
    <t xml:space="preserve">			NetLongTermDebtIssuance</t>
  </si>
  <si>
    <t xml:space="preserve">				LongTermDebtIssuance</t>
  </si>
  <si>
    <t xml:space="preserve">				LongTermDebtPayments</t>
  </si>
  <si>
    <t xml:space="preserve">			NetShortTermDebtIssuance</t>
  </si>
  <si>
    <t xml:space="preserve">				ShortTermDebtIssuance</t>
  </si>
  <si>
    <t xml:space="preserve">		NetCommonStockIssuance</t>
  </si>
  <si>
    <t xml:space="preserve">			CommonStockIssuance</t>
  </si>
  <si>
    <t xml:space="preserve">			CommonStockPayments</t>
  </si>
  <si>
    <t xml:space="preserve">		CashDividendsPaid</t>
  </si>
  <si>
    <t xml:space="preserve">			CommonStockDividendPaid</t>
  </si>
  <si>
    <t xml:space="preserve">		NetOtherFinancingCharges</t>
  </si>
  <si>
    <t>EndCashPosition</t>
  </si>
  <si>
    <t xml:space="preserve">	ChangesInCash</t>
  </si>
  <si>
    <t xml:space="preserve">	EffectOfExchangeRateChanges</t>
  </si>
  <si>
    <t xml:space="preserve">	BeginningCashPosition</t>
  </si>
  <si>
    <t>IncomeTaxPaidSupplementalData</t>
  </si>
  <si>
    <t>InterestPaidSupplementalData</t>
  </si>
  <si>
    <t>CapitalExpenditure</t>
  </si>
  <si>
    <t>IssuanceOfCapitalStock</t>
  </si>
  <si>
    <t>IssuanceOfDebt</t>
  </si>
  <si>
    <t>RepaymentOfDebt</t>
  </si>
  <si>
    <t>RepurchaseOfCapitalStock</t>
  </si>
  <si>
    <t>FreeCashFlow</t>
  </si>
  <si>
    <t>By 2023, EBITDA will come back to 2019 levels</t>
  </si>
  <si>
    <t xml:space="preserve"> Depreciation</t>
  </si>
  <si>
    <t>Covid</t>
  </si>
  <si>
    <t xml:space="preserve"> Estimated Debt Repayment % of 12/2020</t>
  </si>
  <si>
    <t>SUMMARY CASH FLOW ANALYSIS</t>
  </si>
  <si>
    <t xml:space="preserve"> Working Capital Activities</t>
  </si>
  <si>
    <t>Expenses used pre-covid % of Revenue average (before 2020)</t>
  </si>
  <si>
    <t>Working Capital used pre-covid % of revenue (before 2020)</t>
  </si>
  <si>
    <t>Capex used pre-covid % of revenue (before 2020)</t>
  </si>
  <si>
    <t>Depreciation used pre-coved % of reveue (before 2020)</t>
  </si>
  <si>
    <t xml:space="preserve">	OtherOperatingExpenses</t>
  </si>
  <si>
    <t xml:space="preserve">	PreferredStockDividends</t>
  </si>
  <si>
    <t>TotalOperatingIncomeAsReported</t>
  </si>
  <si>
    <t xml:space="preserve">			TaxesReceivable</t>
  </si>
  <si>
    <t xml:space="preserve">				InterestPayable</t>
  </si>
  <si>
    <t xml:space="preserve">		CurrentProvisions</t>
  </si>
  <si>
    <t xml:space="preserve">		DerivativeProductLiabilities</t>
  </si>
  <si>
    <t xml:space="preserve">	TotalPartnershipCapital</t>
  </si>
  <si>
    <t xml:space="preserve">		LimitedPartnershipCapital</t>
  </si>
  <si>
    <t xml:space="preserve">		GeneralPartnershipCapital</t>
  </si>
  <si>
    <t xml:space="preserve">		OtherEquityInterest</t>
  </si>
  <si>
    <t xml:space="preserve">		AmortizationOfSecurities</t>
  </si>
  <si>
    <t xml:space="preserve">		ExcessTaxBenefitFromStockBasedCompensation</t>
  </si>
  <si>
    <t xml:space="preserve">				ChangesInAccountReceivables</t>
  </si>
  <si>
    <t xml:space="preserve">					ChangeInTaxPayable</t>
  </si>
  <si>
    <t xml:space="preserve">						ChangeInIncomeTaxPayable</t>
  </si>
  <si>
    <t xml:space="preserve">				ChangeInAccruedExpense</t>
  </si>
  <si>
    <t xml:space="preserve">					ChangeInInterestPayable</t>
  </si>
  <si>
    <t xml:space="preserve">			PurchaseOfIntangibles</t>
  </si>
  <si>
    <t xml:space="preserve">		ProceedsFromStockOptionExercised</t>
  </si>
  <si>
    <t xml:space="preserve">	OtherCashAdjustmentOutsideChangeinCash</t>
  </si>
  <si>
    <t xml:space="preserve">				DividendsPayable</t>
  </si>
  <si>
    <t>CEDAR FAIR, L.P. (FUN)</t>
  </si>
  <si>
    <t>Other Current Liabilities</t>
  </si>
  <si>
    <t>The growth rates (15%, 10%) were designed for COVID recovery in 2023 after a significant decline in 2020 - assume back to 2019 EBITDA levels by 2023</t>
  </si>
  <si>
    <t>Debit</t>
  </si>
  <si>
    <t>Credit</t>
  </si>
  <si>
    <t>TRANSACTION ADJUST</t>
  </si>
  <si>
    <t>SOURCES</t>
  </si>
  <si>
    <t>USES</t>
  </si>
  <si>
    <t>Stock Purchase</t>
  </si>
  <si>
    <t>Repayment of Existing Debt</t>
  </si>
  <si>
    <t>Transaction Fees</t>
  </si>
  <si>
    <t>Current 
Stock
Price</t>
  </si>
  <si>
    <t>Total Transaction Uses</t>
  </si>
  <si>
    <t>Term Loan</t>
  </si>
  <si>
    <t>Corporate Bonds</t>
  </si>
  <si>
    <t xml:space="preserve">  Total Debt</t>
  </si>
  <si>
    <t>Equity</t>
  </si>
  <si>
    <t>Number
of Shares
(000's)</t>
  </si>
  <si>
    <t>Amount
(000's)</t>
  </si>
  <si>
    <t>% Cap</t>
  </si>
  <si>
    <t>EBITDA
Multiple</t>
  </si>
  <si>
    <t>TRANSACTION SOURCES &amp; USES - STANDALONG BASIS</t>
  </si>
  <si>
    <t>Existing Long Term Debt</t>
  </si>
  <si>
    <t>New Term Loan</t>
  </si>
  <si>
    <t>New Corporate Bond</t>
  </si>
  <si>
    <t>Capitalized Fees</t>
  </si>
  <si>
    <t>Biding 
Price</t>
  </si>
  <si>
    <t>Premium 
%</t>
  </si>
  <si>
    <t>Total Transaction Sources</t>
  </si>
  <si>
    <t>Yahoo Finance 
Link =</t>
  </si>
  <si>
    <t>Date of Analysis:</t>
  </si>
  <si>
    <t>INPUT</t>
  </si>
  <si>
    <t>VALUATION ANALYSIS</t>
  </si>
  <si>
    <t>Financial Statement Date:</t>
  </si>
  <si>
    <t>HISTORICAL  INFORMATION</t>
  </si>
  <si>
    <t>ENTERPRISE VALUATION ANALYSIS</t>
  </si>
  <si>
    <t>INCOME STATEMENT</t>
  </si>
  <si>
    <t>EV
(000's)</t>
  </si>
  <si>
    <t>Debt
(000's)</t>
  </si>
  <si>
    <t>Cash
(000's)</t>
  </si>
  <si>
    <t>Eq Value
(000's)</t>
  </si>
  <si>
    <t>Shares Outs
(000's)</t>
  </si>
  <si>
    <t>Stock 
Price</t>
  </si>
  <si>
    <t>(000's)</t>
  </si>
  <si>
    <t>METHOD #1 - Market Value / Using the Stock Price</t>
  </si>
  <si>
    <t>Revenue</t>
  </si>
  <si>
    <t>METHOD #2- Intrinsic Value</t>
  </si>
  <si>
    <t xml:space="preserve"> Gross Profit</t>
  </si>
  <si>
    <t>METHOD #3- Dividend Discount Model (DDM)</t>
  </si>
  <si>
    <t>Operating Expense</t>
  </si>
  <si>
    <t xml:space="preserve">METHOD #4 -Average  EBITDA  Industry Trading Multiples </t>
  </si>
  <si>
    <t>EBIT (operating)</t>
  </si>
  <si>
    <t>METHOD #5 - Using Averge EBITDA Transaction Multiples</t>
  </si>
  <si>
    <t xml:space="preserve">Interest </t>
  </si>
  <si>
    <t>METHOD #6 - Discount Cash Flow Valuation Analysis</t>
  </si>
  <si>
    <t>EBT (operating)</t>
  </si>
  <si>
    <t>Other non-oper. Income</t>
  </si>
  <si>
    <t xml:space="preserve">  Average of other methods</t>
  </si>
  <si>
    <t>Shares Outstanding</t>
  </si>
  <si>
    <t>EPS</t>
  </si>
  <si>
    <t>Company</t>
  </si>
  <si>
    <t>Symbol</t>
  </si>
  <si>
    <t>Stocks Outstanding ($000)</t>
  </si>
  <si>
    <t>Equity 
Value
 ($000)</t>
  </si>
  <si>
    <t>Debt (ST&amp;LT)
($000)
12/31/2021</t>
  </si>
  <si>
    <t>Cash
 ($000)
12/31/2021</t>
  </si>
  <si>
    <t>Enterprise Value 
($000)</t>
  </si>
  <si>
    <t>Choice Hotels International</t>
  </si>
  <si>
    <t>CHH</t>
  </si>
  <si>
    <t>Fairmont Hotels &amp; Resorts</t>
  </si>
  <si>
    <t>FHR</t>
  </si>
  <si>
    <t>Hilton Hotels</t>
  </si>
  <si>
    <t>HLT</t>
  </si>
  <si>
    <t>John Q. Hammons Hotels</t>
  </si>
  <si>
    <t>JQH</t>
  </si>
  <si>
    <t>La-Quinta Corp</t>
  </si>
  <si>
    <t>LQI</t>
  </si>
  <si>
    <t>Marcus Corporation</t>
  </si>
  <si>
    <t>MCS</t>
  </si>
  <si>
    <t>Marriott International</t>
  </si>
  <si>
    <t>MAR</t>
  </si>
  <si>
    <t>Orient Express Hotels Ltd</t>
  </si>
  <si>
    <t>OEH</t>
  </si>
  <si>
    <t>Hyatt</t>
  </si>
  <si>
    <t>H</t>
  </si>
  <si>
    <t>Cash, Cash &amp; Equivalent</t>
  </si>
  <si>
    <t>Using CAPM = k = Rf + ( Beta * Premium )</t>
  </si>
  <si>
    <t>Intrinsic Value = V0 = [ E(D1) + E (P1)] / (1+k)</t>
  </si>
  <si>
    <t>Risk Free =</t>
  </si>
  <si>
    <t>D1=</t>
  </si>
  <si>
    <t>Pre-covid</t>
  </si>
  <si>
    <t>Beta =</t>
  </si>
  <si>
    <t>SUMMARY CASH FLOW ST.</t>
  </si>
  <si>
    <t>Market Premium=</t>
  </si>
  <si>
    <t>Exp (P1)=</t>
  </si>
  <si>
    <t>(Avg Target by Analysts for 9/22)</t>
  </si>
  <si>
    <t>Market Return (Rf + Premium)=</t>
  </si>
  <si>
    <t>k=</t>
  </si>
  <si>
    <t>Capex</t>
  </si>
  <si>
    <t>Expected Equity Return using CAPM=</t>
  </si>
  <si>
    <t>Stock Val=</t>
  </si>
  <si>
    <t>Deprec. &amp; Amort.</t>
  </si>
  <si>
    <t>AVERAGE</t>
  </si>
  <si>
    <t>Constant-Growth DDM (Gordon Model) V0 = D1 / (k-g)</t>
  </si>
  <si>
    <t>Expected HPR = E 9r) = [E (d1) + (E(p1) - P0) / P0</t>
  </si>
  <si>
    <t>Revenue Growth %</t>
  </si>
  <si>
    <t>D1 =</t>
  </si>
  <si>
    <t>Dividend (d1)</t>
  </si>
  <si>
    <t>COGS % of Revenue</t>
  </si>
  <si>
    <t>Expected Equity Return (k)=</t>
  </si>
  <si>
    <t>P1 = P0+D</t>
  </si>
  <si>
    <t>Oper. Expense % of Revenue</t>
  </si>
  <si>
    <t>Expected Growth (g) =</t>
  </si>
  <si>
    <t>P0</t>
  </si>
  <si>
    <t>Stock Val =</t>
  </si>
  <si>
    <t>Exp. HPR=</t>
  </si>
  <si>
    <t>COVID IMPACT</t>
  </si>
  <si>
    <t>Equity Value
 ($000)</t>
  </si>
  <si>
    <t>EBITDA Multiple</t>
  </si>
  <si>
    <t>Beta</t>
  </si>
  <si>
    <t>EBITDA * Average Multiple</t>
  </si>
  <si>
    <t>Average</t>
  </si>
  <si>
    <t xml:space="preserve"> Stock Val=</t>
  </si>
  <si>
    <t>METHOD #5 - Using Averge EBITDA Transaction Multiples (M&amp;A Comparable Method)</t>
  </si>
  <si>
    <t xml:space="preserve">Target </t>
  </si>
  <si>
    <t>Acquirer</t>
  </si>
  <si>
    <t>Acquisition Price /Share</t>
  </si>
  <si>
    <t>Equity Value ($mm)</t>
  </si>
  <si>
    <t>Total Net Debt ($mm)</t>
  </si>
  <si>
    <t>Enterprise Value (EV)</t>
  </si>
  <si>
    <t>EBITDA (last reported)</t>
  </si>
  <si>
    <t xml:space="preserve">  year =</t>
  </si>
  <si>
    <t xml:space="preserve">HISTORICAL </t>
  </si>
  <si>
    <t>EXIT YEAR</t>
  </si>
  <si>
    <t>Revenues</t>
  </si>
  <si>
    <t>Cost of Revenues (CoGS)</t>
  </si>
  <si>
    <t>Operating Expenses (Excl. Non-rec.)</t>
  </si>
  <si>
    <t xml:space="preserve"> EBIT</t>
  </si>
  <si>
    <t>Less Taxes (tax rate x of EBIT)</t>
  </si>
  <si>
    <t>Plus Depreciation</t>
  </si>
  <si>
    <t>Less Working Capital</t>
  </si>
  <si>
    <t xml:space="preserve">Less Capex </t>
  </si>
  <si>
    <t>Cash Flow</t>
  </si>
  <si>
    <t>Debt (assuming 5% reduction of intial principal per year)</t>
  </si>
  <si>
    <t>Terminal Value</t>
  </si>
  <si>
    <t>Assumptions</t>
  </si>
  <si>
    <t>Growth</t>
  </si>
  <si>
    <t xml:space="preserve">  EBITDA Multiple Method</t>
  </si>
  <si>
    <t>(EBITDA x EBITDA Multiple)</t>
  </si>
  <si>
    <t xml:space="preserve">  Perpetuity Method </t>
  </si>
  <si>
    <t>WACC</t>
  </si>
  <si>
    <t xml:space="preserve"> Next Year's Cash Flow / (Discount Rate - Growth)</t>
  </si>
  <si>
    <t>Less Debt Outstanding (at Exit)</t>
  </si>
  <si>
    <t>Equity Value at Terminal</t>
  </si>
  <si>
    <t>Equity Cash Flows</t>
  </si>
  <si>
    <t>Hyatt's Enterprise Value</t>
  </si>
  <si>
    <t xml:space="preserve">Stock Price  </t>
  </si>
  <si>
    <t>STD</t>
  </si>
  <si>
    <t>Cost of Equity Calc</t>
  </si>
  <si>
    <t>WACC Calc:</t>
  </si>
  <si>
    <t>Amount</t>
  </si>
  <si>
    <t xml:space="preserve">  % Cap</t>
  </si>
  <si>
    <t>RoR</t>
  </si>
  <si>
    <t xml:space="preserve"> AT RoR</t>
  </si>
  <si>
    <t>LTD</t>
  </si>
  <si>
    <t>Risk Free Rate (5 year)</t>
  </si>
  <si>
    <t>Total</t>
  </si>
  <si>
    <t>Premium based on MC =</t>
  </si>
  <si>
    <t>MV Equity</t>
  </si>
  <si>
    <t>Hyatt Beta =</t>
  </si>
  <si>
    <t>Expected Equity Return =</t>
  </si>
  <si>
    <t>Interest Calculation</t>
  </si>
  <si>
    <t>Avg Debt</t>
  </si>
  <si>
    <t>Interest</t>
  </si>
  <si>
    <t>Rate</t>
  </si>
  <si>
    <t>https://finance.yahoo.com/quote/FUN?p=FUN</t>
  </si>
  <si>
    <t xml:space="preserve">Stock Price
3/31/2022 </t>
  </si>
  <si>
    <t>NA</t>
  </si>
  <si>
    <t>SIX</t>
  </si>
  <si>
    <t>SEAS</t>
  </si>
  <si>
    <t>Dave &amp; Buster</t>
  </si>
  <si>
    <t>PLAY</t>
  </si>
  <si>
    <t>Stock
Price
3/31/22</t>
  </si>
  <si>
    <t>Debt 
(ST&amp;LT)
($000)
12/31/21</t>
  </si>
  <si>
    <t>Cash
 ($000)
12/31/21</t>
  </si>
  <si>
    <t>Six Flags Enteretainment Corooration</t>
  </si>
  <si>
    <t>EBITDA 
($mm)
12/31/21</t>
  </si>
  <si>
    <t>SeaWorld Entertainment Inc.</t>
  </si>
  <si>
    <t>The Walt Disney Company</t>
  </si>
  <si>
    <t>DIS</t>
  </si>
  <si>
    <t>1,17</t>
  </si>
  <si>
    <t>Enteprise Value</t>
  </si>
  <si>
    <t>METHOD #7 - LBO Method</t>
  </si>
  <si>
    <t xml:space="preserve"> Premium / Discount %</t>
  </si>
  <si>
    <t>METHOD #7 - Leveraged Buyout (LBO) Analysis</t>
  </si>
  <si>
    <t>Debt Schedule</t>
  </si>
  <si>
    <t>Years</t>
  </si>
  <si>
    <t xml:space="preserve">   Outstanding</t>
  </si>
  <si>
    <t xml:space="preserve">   Scheduled Principal Payments (P)</t>
  </si>
  <si>
    <t xml:space="preserve">   Interest Payments (I)</t>
  </si>
  <si>
    <t xml:space="preserve">   Total Payments (P+I)</t>
  </si>
  <si>
    <t>Total Debt Payments</t>
  </si>
  <si>
    <t>Total Debt Outstanding</t>
  </si>
  <si>
    <t>Discout Cash Flow Valuation Analysis</t>
  </si>
  <si>
    <t>Less Interest</t>
  </si>
  <si>
    <t>Plus Amortization</t>
  </si>
  <si>
    <t>Cash Flow Before Principal Payment</t>
  </si>
  <si>
    <t>Debt Principal Payment</t>
  </si>
  <si>
    <t xml:space="preserve">Debt </t>
  </si>
  <si>
    <t>Plus Cash (at Exit)</t>
  </si>
  <si>
    <t>Pricing</t>
  </si>
  <si>
    <t>LIBOR</t>
  </si>
  <si>
    <t>Spread</t>
  </si>
  <si>
    <t>Increase in LIBOR</t>
  </si>
  <si>
    <t>Scheduled Payament % (TL B type)</t>
  </si>
  <si>
    <t>Leveraged Buyout (LBO) Analysis</t>
  </si>
  <si>
    <t>Total Interest Payments</t>
  </si>
  <si>
    <t>Total Principal Payments</t>
  </si>
  <si>
    <t>PV</t>
  </si>
  <si>
    <t>IRR</t>
  </si>
  <si>
    <t>NPV</t>
  </si>
  <si>
    <t>Average (Theme Parks)</t>
  </si>
  <si>
    <t>Average (Theme Parks including Disney)</t>
  </si>
  <si>
    <t>Cost Savings/Synergies</t>
  </si>
  <si>
    <t>Per Share</t>
  </si>
  <si>
    <t>Plus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</si>
</sst>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00"/>
    <numFmt numFmtId="165" formatCode="0.0%"/>
    <numFmt numFmtId="166" formatCode="0.0\x"/>
    <numFmt numFmtId="167" formatCode="#,#00.00"/>
    <numFmt numFmtId="168" formatCode="_(* #,##0_);_(* \(#,##0\);_(* &quot;-&quot;??_);_(@_)"/>
    <numFmt numFmtId="169" formatCode="0.0\X"/>
    <numFmt numFmtId="170" formatCode="_(* #,##0.000_);_(* \(#,##0.000\);_(* &quot;-&quot;??_);_(@_)"/>
    <numFmt numFmtId="171" formatCode="0.00\x"/>
    <numFmt numFmtId="172" formatCode="_(&quot;$&quot;* #,##0_);_(&quot;$&quot;* \(#,##0\);_(&quot;$&quot;* &quot;-&quot;??_);_(@_)"/>
    <numFmt numFmtId="173" formatCode="0.000%"/>
    <numFmt numFmtId="174" formatCode="_(* #,##0.0000000_);_(* \(#,##0.0000000\);_(* &quot;-&quot;??_);_(@_)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000000"/>
      <name val="Times New Roman"/>
      <family val="1"/>
    </font>
    <font>
      <b/>
      <sz val="9"/>
      <color rgb="FF000000"/>
      <name val="&amp;quot"/>
    </font>
    <font>
      <sz val="9"/>
      <color rgb="FF000000"/>
      <name val="Times New Roman"/>
      <family val="1"/>
    </font>
    <font>
      <sz val="9"/>
      <color rgb="FF000000"/>
      <name val="&amp;quot"/>
    </font>
    <font>
      <sz val="9"/>
      <name val="Arial"/>
      <family val="2"/>
    </font>
    <font>
      <b/>
      <u/>
      <sz val="9"/>
      <color rgb="FF000000"/>
      <name val="Times New Roman"/>
      <family val="1"/>
    </font>
    <font>
      <sz val="10"/>
      <name val="Calibri"/>
      <family val="2"/>
    </font>
    <font>
      <i/>
      <sz val="8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66F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66FF"/>
      <name val="Arial"/>
      <family val="2"/>
    </font>
    <font>
      <sz val="10"/>
      <color rgb="FF0066FF"/>
      <name val="Arial"/>
      <family val="2"/>
    </font>
    <font>
      <i/>
      <sz val="9"/>
      <color rgb="FF000000"/>
      <name val="Times New Roman"/>
      <family val="1"/>
    </font>
    <font>
      <i/>
      <sz val="9"/>
      <color rgb="FF000000"/>
      <name val="&amp;quot"/>
    </font>
    <font>
      <i/>
      <sz val="9"/>
      <name val="Arial"/>
      <family val="2"/>
    </font>
    <font>
      <b/>
      <sz val="9"/>
      <color rgb="FF0066FF"/>
      <name val="Arial"/>
      <family val="2"/>
    </font>
    <font>
      <i/>
      <sz val="10"/>
      <color rgb="FF0066FF"/>
      <name val="Calibri"/>
      <family val="2"/>
    </font>
    <font>
      <b/>
      <sz val="11"/>
      <name val="Calibri"/>
      <family val="2"/>
      <scheme val="minor"/>
    </font>
    <font>
      <b/>
      <sz val="10"/>
      <color rgb="FF0066FF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00B0F0"/>
      <name val="Arial"/>
      <family val="2"/>
    </font>
    <font>
      <b/>
      <sz val="11"/>
      <color rgb="FF00B0F0"/>
      <name val="Calibri"/>
      <family val="2"/>
      <scheme val="minor"/>
    </font>
    <font>
      <b/>
      <sz val="11"/>
      <name val="Times New Roman"/>
      <family val="1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6"/>
      <name val="Arial"/>
      <family val="2"/>
    </font>
    <font>
      <b/>
      <sz val="10"/>
      <name val="Calibri"/>
      <family val="2"/>
      <scheme val="minor"/>
    </font>
    <font>
      <sz val="8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name val="Times New Roman"/>
      <family val="1"/>
    </font>
    <font>
      <b/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b/>
      <sz val="10"/>
      <color indexed="48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579">
    <xf numFmtId="0" fontId="0" fillId="0" borderId="0" xfId="0"/>
    <xf numFmtId="0" fontId="3" fillId="0" borderId="0" xfId="0" applyFont="1"/>
    <xf numFmtId="164" fontId="4" fillId="0" borderId="0" xfId="0" applyNumberFormat="1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5" fillId="0" borderId="0" xfId="0" applyNumberFormat="1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right" vertical="center" wrapText="1"/>
    </xf>
    <xf numFmtId="164" fontId="11" fillId="0" borderId="2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/>
    </xf>
    <xf numFmtId="164" fontId="3" fillId="0" borderId="0" xfId="0" applyNumberFormat="1" applyFont="1"/>
    <xf numFmtId="0" fontId="12" fillId="0" borderId="0" xfId="0" applyFont="1" applyAlignment="1">
      <alignment horizontal="left" vertical="center"/>
    </xf>
    <xf numFmtId="164" fontId="11" fillId="0" borderId="4" xfId="0" applyNumberFormat="1" applyFont="1" applyBorder="1" applyAlignment="1">
      <alignment horizontal="right"/>
    </xf>
    <xf numFmtId="0" fontId="11" fillId="0" borderId="0" xfId="0" applyFont="1"/>
    <xf numFmtId="0" fontId="13" fillId="0" borderId="0" xfId="0" applyFont="1" applyAlignment="1">
      <alignment vertical="center"/>
    </xf>
    <xf numFmtId="164" fontId="11" fillId="0" borderId="5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0" fontId="13" fillId="0" borderId="0" xfId="0" applyFont="1"/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64" fontId="14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5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right"/>
    </xf>
    <xf numFmtId="164" fontId="11" fillId="0" borderId="0" xfId="0" applyNumberFormat="1" applyFont="1"/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5" fontId="11" fillId="0" borderId="0" xfId="2" applyNumberFormat="1" applyFont="1" applyFill="1" applyBorder="1" applyAlignment="1">
      <alignment horizontal="right"/>
    </xf>
    <xf numFmtId="166" fontId="11" fillId="0" borderId="0" xfId="0" applyNumberFormat="1" applyFont="1" applyAlignment="1">
      <alignment horizontal="right"/>
    </xf>
    <xf numFmtId="167" fontId="11" fillId="0" borderId="0" xfId="0" applyNumberFormat="1" applyFont="1" applyAlignment="1">
      <alignment horizontal="right"/>
    </xf>
    <xf numFmtId="0" fontId="0" fillId="2" borderId="0" xfId="0" applyFill="1"/>
    <xf numFmtId="3" fontId="0" fillId="0" borderId="0" xfId="0" applyNumberFormat="1"/>
    <xf numFmtId="168" fontId="0" fillId="0" borderId="0" xfId="0" applyNumberFormat="1"/>
    <xf numFmtId="0" fontId="5" fillId="0" borderId="0" xfId="0" applyFont="1"/>
    <xf numFmtId="164" fontId="6" fillId="0" borderId="0" xfId="0" applyNumberFormat="1" applyFont="1"/>
    <xf numFmtId="0" fontId="21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14" fontId="0" fillId="0" borderId="0" xfId="0" applyNumberFormat="1"/>
    <xf numFmtId="168" fontId="3" fillId="0" borderId="0" xfId="1" applyNumberFormat="1" applyFont="1"/>
    <xf numFmtId="165" fontId="11" fillId="0" borderId="0" xfId="2" applyNumberFormat="1" applyFont="1" applyAlignment="1">
      <alignment horizontal="right"/>
    </xf>
    <xf numFmtId="165" fontId="0" fillId="0" borderId="0" xfId="0" applyNumberFormat="1"/>
    <xf numFmtId="165" fontId="22" fillId="0" borderId="0" xfId="0" applyNumberFormat="1" applyFont="1"/>
    <xf numFmtId="0" fontId="24" fillId="0" borderId="0" xfId="0" applyFont="1"/>
    <xf numFmtId="0" fontId="25" fillId="0" borderId="0" xfId="0" applyFont="1"/>
    <xf numFmtId="168" fontId="25" fillId="0" borderId="0" xfId="1" applyNumberFormat="1" applyFont="1"/>
    <xf numFmtId="168" fontId="8" fillId="0" borderId="0" xfId="1" applyNumberFormat="1" applyFont="1" applyAlignment="1">
      <alignment horizontal="right" vertical="center" wrapText="1"/>
    </xf>
    <xf numFmtId="168" fontId="10" fillId="0" borderId="0" xfId="1" applyNumberFormat="1" applyFont="1" applyAlignment="1">
      <alignment horizontal="right" vertical="center" wrapText="1"/>
    </xf>
    <xf numFmtId="168" fontId="11" fillId="0" borderId="5" xfId="1" applyNumberFormat="1" applyFont="1" applyBorder="1" applyAlignment="1">
      <alignment horizontal="right"/>
    </xf>
    <xf numFmtId="168" fontId="10" fillId="0" borderId="4" xfId="1" applyNumberFormat="1" applyFont="1" applyBorder="1" applyAlignment="1">
      <alignment horizontal="right" vertical="center" wrapText="1"/>
    </xf>
    <xf numFmtId="168" fontId="10" fillId="0" borderId="0" xfId="1" applyNumberFormat="1" applyFont="1" applyBorder="1" applyAlignment="1">
      <alignment horizontal="right" vertical="center" wrapText="1"/>
    </xf>
    <xf numFmtId="168" fontId="11" fillId="0" borderId="0" xfId="1" applyNumberFormat="1" applyFont="1" applyAlignment="1">
      <alignment horizontal="right"/>
    </xf>
    <xf numFmtId="168" fontId="11" fillId="0" borderId="2" xfId="1" applyNumberFormat="1" applyFont="1" applyBorder="1" applyAlignment="1">
      <alignment horizontal="right"/>
    </xf>
    <xf numFmtId="168" fontId="3" fillId="0" borderId="0" xfId="1" applyNumberFormat="1" applyFont="1" applyAlignment="1">
      <alignment horizontal="right"/>
    </xf>
    <xf numFmtId="168" fontId="11" fillId="0" borderId="0" xfId="1" applyNumberFormat="1" applyFont="1" applyBorder="1" applyAlignment="1">
      <alignment horizontal="right"/>
    </xf>
    <xf numFmtId="168" fontId="6" fillId="0" borderId="0" xfId="1" applyNumberFormat="1" applyFont="1" applyBorder="1" applyAlignment="1">
      <alignment horizontal="right"/>
    </xf>
    <xf numFmtId="168" fontId="8" fillId="0" borderId="2" xfId="1" applyNumberFormat="1" applyFont="1" applyBorder="1" applyAlignment="1">
      <alignment horizontal="right" vertical="center" wrapText="1"/>
    </xf>
    <xf numFmtId="168" fontId="10" fillId="0" borderId="2" xfId="1" applyNumberFormat="1" applyFont="1" applyBorder="1" applyAlignment="1">
      <alignment horizontal="right" vertical="center" wrapText="1"/>
    </xf>
    <xf numFmtId="168" fontId="8" fillId="0" borderId="0" xfId="1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left" vertical="center"/>
    </xf>
    <xf numFmtId="168" fontId="27" fillId="0" borderId="0" xfId="1" applyNumberFormat="1" applyFont="1" applyAlignment="1">
      <alignment horizontal="right" vertical="center" wrapText="1"/>
    </xf>
    <xf numFmtId="165" fontId="28" fillId="0" borderId="0" xfId="2" applyNumberFormat="1" applyFont="1" applyBorder="1" applyAlignment="1">
      <alignment horizontal="right"/>
    </xf>
    <xf numFmtId="165" fontId="27" fillId="0" borderId="0" xfId="2" applyNumberFormat="1" applyFont="1" applyAlignment="1">
      <alignment horizontal="right" vertical="center" wrapText="1"/>
    </xf>
    <xf numFmtId="168" fontId="6" fillId="0" borderId="5" xfId="1" applyNumberFormat="1" applyFont="1" applyBorder="1" applyAlignment="1">
      <alignment horizontal="right"/>
    </xf>
    <xf numFmtId="164" fontId="29" fillId="0" borderId="0" xfId="0" applyNumberFormat="1" applyFont="1" applyAlignment="1">
      <alignment horizontal="right"/>
    </xf>
    <xf numFmtId="0" fontId="30" fillId="0" borderId="0" xfId="0" applyFont="1"/>
    <xf numFmtId="4" fontId="0" fillId="0" borderId="0" xfId="0" applyNumberFormat="1"/>
    <xf numFmtId="165" fontId="11" fillId="0" borderId="0" xfId="2" applyNumberFormat="1" applyFont="1" applyFill="1" applyAlignment="1">
      <alignment horizontal="right"/>
    </xf>
    <xf numFmtId="164" fontId="11" fillId="0" borderId="0" xfId="0" applyNumberFormat="1" applyFont="1" applyFill="1" applyAlignment="1">
      <alignment horizontal="right"/>
    </xf>
    <xf numFmtId="165" fontId="11" fillId="3" borderId="0" xfId="2" applyNumberFormat="1" applyFont="1" applyFill="1" applyAlignment="1">
      <alignment horizontal="right"/>
    </xf>
    <xf numFmtId="164" fontId="5" fillId="4" borderId="0" xfId="0" applyNumberFormat="1" applyFont="1" applyFill="1"/>
    <xf numFmtId="164" fontId="19" fillId="4" borderId="4" xfId="0" quotePrefix="1" applyNumberFormat="1" applyFont="1" applyFill="1" applyBorder="1" applyAlignment="1">
      <alignment horizontal="right"/>
    </xf>
    <xf numFmtId="164" fontId="6" fillId="4" borderId="1" xfId="0" quotePrefix="1" applyNumberFormat="1" applyFont="1" applyFill="1" applyBorder="1" applyAlignment="1">
      <alignment horizontal="left" vertical="center"/>
    </xf>
    <xf numFmtId="1" fontId="5" fillId="4" borderId="1" xfId="0" applyNumberFormat="1" applyFont="1" applyFill="1" applyBorder="1" applyAlignment="1">
      <alignment horizontal="right" vertical="center"/>
    </xf>
    <xf numFmtId="164" fontId="19" fillId="4" borderId="4" xfId="0" applyNumberFormat="1" applyFont="1" applyFill="1" applyBorder="1" applyAlignment="1">
      <alignment horizontal="right"/>
    </xf>
    <xf numFmtId="164" fontId="18" fillId="5" borderId="0" xfId="0" applyNumberFormat="1" applyFont="1" applyFill="1"/>
    <xf numFmtId="164" fontId="17" fillId="5" borderId="0" xfId="0" applyNumberFormat="1" applyFont="1" applyFill="1" applyAlignment="1">
      <alignment horizontal="right"/>
    </xf>
    <xf numFmtId="0" fontId="17" fillId="5" borderId="0" xfId="0" applyFont="1" applyFill="1" applyAlignment="1">
      <alignment horizontal="right"/>
    </xf>
    <xf numFmtId="0" fontId="17" fillId="5" borderId="0" xfId="0" applyFont="1" applyFill="1"/>
    <xf numFmtId="168" fontId="17" fillId="5" borderId="0" xfId="1" applyNumberFormat="1" applyFont="1" applyFill="1"/>
    <xf numFmtId="164" fontId="5" fillId="6" borderId="0" xfId="0" applyNumberFormat="1" applyFont="1" applyFill="1"/>
    <xf numFmtId="164" fontId="19" fillId="6" borderId="4" xfId="0" quotePrefix="1" applyNumberFormat="1" applyFont="1" applyFill="1" applyBorder="1" applyAlignment="1">
      <alignment horizontal="right"/>
    </xf>
    <xf numFmtId="164" fontId="19" fillId="6" borderId="4" xfId="0" applyNumberFormat="1" applyFont="1" applyFill="1" applyBorder="1" applyAlignment="1">
      <alignment horizontal="right" wrapText="1"/>
    </xf>
    <xf numFmtId="164" fontId="6" fillId="6" borderId="1" xfId="0" quotePrefix="1" applyNumberFormat="1" applyFont="1" applyFill="1" applyBorder="1" applyAlignment="1">
      <alignment horizontal="left" vertical="center"/>
    </xf>
    <xf numFmtId="1" fontId="5" fillId="6" borderId="1" xfId="0" applyNumberFormat="1" applyFont="1" applyFill="1" applyBorder="1" applyAlignment="1">
      <alignment horizontal="right" vertical="center"/>
    </xf>
    <xf numFmtId="0" fontId="5" fillId="6" borderId="0" xfId="0" applyFont="1" applyFill="1"/>
    <xf numFmtId="0" fontId="3" fillId="6" borderId="0" xfId="0" applyFont="1" applyFill="1"/>
    <xf numFmtId="1" fontId="5" fillId="6" borderId="8" xfId="0" applyNumberFormat="1" applyFont="1" applyFill="1" applyBorder="1" applyAlignment="1">
      <alignment horizontal="right" vertical="center"/>
    </xf>
    <xf numFmtId="164" fontId="6" fillId="0" borderId="7" xfId="0" applyNumberFormat="1" applyFont="1" applyBorder="1" applyAlignment="1">
      <alignment horizontal="right"/>
    </xf>
    <xf numFmtId="165" fontId="11" fillId="0" borderId="7" xfId="2" applyNumberFormat="1" applyFont="1" applyBorder="1" applyAlignment="1">
      <alignment horizontal="right"/>
    </xf>
    <xf numFmtId="165" fontId="11" fillId="0" borderId="7" xfId="2" applyNumberFormat="1" applyFont="1" applyFill="1" applyBorder="1" applyAlignment="1">
      <alignment horizontal="right"/>
    </xf>
    <xf numFmtId="164" fontId="11" fillId="0" borderId="7" xfId="0" applyNumberFormat="1" applyFont="1" applyBorder="1" applyAlignment="1">
      <alignment horizontal="right"/>
    </xf>
    <xf numFmtId="164" fontId="11" fillId="0" borderId="7" xfId="0" applyNumberFormat="1" applyFont="1" applyFill="1" applyBorder="1" applyAlignment="1">
      <alignment horizontal="right"/>
    </xf>
    <xf numFmtId="164" fontId="11" fillId="0" borderId="7" xfId="0" applyNumberFormat="1" applyFont="1" applyBorder="1"/>
    <xf numFmtId="165" fontId="22" fillId="3" borderId="0" xfId="0" applyNumberFormat="1" applyFont="1" applyFill="1"/>
    <xf numFmtId="164" fontId="6" fillId="0" borderId="0" xfId="0" applyNumberFormat="1" applyFont="1" applyFill="1" applyAlignment="1">
      <alignment horizontal="right"/>
    </xf>
    <xf numFmtId="164" fontId="6" fillId="0" borderId="7" xfId="0" applyNumberFormat="1" applyFont="1" applyFill="1" applyBorder="1" applyAlignment="1">
      <alignment horizontal="right"/>
    </xf>
    <xf numFmtId="168" fontId="8" fillId="0" borderId="13" xfId="1" applyNumberFormat="1" applyFont="1" applyBorder="1" applyAlignment="1">
      <alignment horizontal="right" vertical="center" wrapText="1"/>
    </xf>
    <xf numFmtId="165" fontId="27" fillId="0" borderId="7" xfId="2" applyNumberFormat="1" applyFont="1" applyBorder="1" applyAlignment="1">
      <alignment horizontal="right" vertical="center" wrapText="1"/>
    </xf>
    <xf numFmtId="168" fontId="8" fillId="0" borderId="7" xfId="1" applyNumberFormat="1" applyFont="1" applyBorder="1" applyAlignment="1">
      <alignment horizontal="right" vertical="center" wrapText="1"/>
    </xf>
    <xf numFmtId="168" fontId="10" fillId="0" borderId="7" xfId="1" applyNumberFormat="1" applyFont="1" applyBorder="1" applyAlignment="1">
      <alignment horizontal="right" vertical="center" wrapText="1"/>
    </xf>
    <xf numFmtId="168" fontId="11" fillId="0" borderId="10" xfId="1" applyNumberFormat="1" applyFont="1" applyBorder="1" applyAlignment="1">
      <alignment horizontal="right"/>
    </xf>
    <xf numFmtId="165" fontId="28" fillId="0" borderId="7" xfId="2" applyNumberFormat="1" applyFont="1" applyBorder="1" applyAlignment="1">
      <alignment horizontal="right"/>
    </xf>
    <xf numFmtId="168" fontId="11" fillId="0" borderId="7" xfId="1" applyNumberFormat="1" applyFont="1" applyBorder="1" applyAlignment="1">
      <alignment horizontal="right"/>
    </xf>
    <xf numFmtId="168" fontId="10" fillId="0" borderId="11" xfId="1" applyNumberFormat="1" applyFont="1" applyBorder="1" applyAlignment="1">
      <alignment horizontal="right" vertical="center" wrapText="1"/>
    </xf>
    <xf numFmtId="168" fontId="10" fillId="0" borderId="9" xfId="1" applyNumberFormat="1" applyFont="1" applyBorder="1" applyAlignment="1">
      <alignment horizontal="right" vertical="center" wrapText="1"/>
    </xf>
    <xf numFmtId="168" fontId="11" fillId="0" borderId="9" xfId="1" applyNumberFormat="1" applyFont="1" applyBorder="1" applyAlignment="1">
      <alignment horizontal="right"/>
    </xf>
    <xf numFmtId="168" fontId="3" fillId="0" borderId="7" xfId="1" applyNumberFormat="1" applyFont="1" applyBorder="1"/>
    <xf numFmtId="168" fontId="6" fillId="0" borderId="7" xfId="1" applyNumberFormat="1" applyFont="1" applyBorder="1" applyAlignment="1">
      <alignment horizontal="right"/>
    </xf>
    <xf numFmtId="168" fontId="6" fillId="0" borderId="10" xfId="1" applyNumberFormat="1" applyFont="1" applyBorder="1" applyAlignment="1">
      <alignment horizontal="right"/>
    </xf>
    <xf numFmtId="164" fontId="5" fillId="0" borderId="7" xfId="0" applyNumberFormat="1" applyFont="1" applyBorder="1"/>
    <xf numFmtId="164" fontId="6" fillId="0" borderId="0" xfId="0" applyNumberFormat="1" applyFont="1" applyBorder="1" applyAlignment="1">
      <alignment horizontal="right"/>
    </xf>
    <xf numFmtId="164" fontId="18" fillId="5" borderId="0" xfId="0" applyNumberFormat="1" applyFont="1" applyFill="1" applyAlignment="1">
      <alignment horizontal="right"/>
    </xf>
    <xf numFmtId="164" fontId="19" fillId="6" borderId="11" xfId="0" applyNumberFormat="1" applyFont="1" applyFill="1" applyBorder="1" applyAlignment="1">
      <alignment horizontal="right" wrapText="1"/>
    </xf>
    <xf numFmtId="10" fontId="11" fillId="0" borderId="6" xfId="2" applyNumberFormat="1" applyFont="1" applyFill="1" applyBorder="1" applyAlignment="1">
      <alignment horizontal="right"/>
    </xf>
    <xf numFmtId="164" fontId="11" fillId="7" borderId="0" xfId="0" applyNumberFormat="1" applyFont="1" applyFill="1" applyAlignment="1">
      <alignment horizontal="right"/>
    </xf>
    <xf numFmtId="164" fontId="8" fillId="7" borderId="0" xfId="0" applyNumberFormat="1" applyFont="1" applyFill="1" applyAlignment="1">
      <alignment horizontal="right" vertical="center" wrapText="1"/>
    </xf>
    <xf numFmtId="164" fontId="10" fillId="7" borderId="0" xfId="0" applyNumberFormat="1" applyFont="1" applyFill="1" applyAlignment="1">
      <alignment horizontal="right" vertical="center" wrapText="1"/>
    </xf>
    <xf numFmtId="164" fontId="11" fillId="7" borderId="2" xfId="0" applyNumberFormat="1" applyFont="1" applyFill="1" applyBorder="1" applyAlignment="1">
      <alignment horizontal="right"/>
    </xf>
    <xf numFmtId="164" fontId="10" fillId="7" borderId="3" xfId="0" applyNumberFormat="1" applyFont="1" applyFill="1" applyBorder="1" applyAlignment="1">
      <alignment horizontal="right" vertical="center" wrapText="1"/>
    </xf>
    <xf numFmtId="0" fontId="6" fillId="7" borderId="0" xfId="0" applyFont="1" applyFill="1" applyAlignment="1">
      <alignment horizontal="left" vertical="center"/>
    </xf>
    <xf numFmtId="164" fontId="6" fillId="7" borderId="0" xfId="0" applyNumberFormat="1" applyFont="1" applyFill="1" applyBorder="1" applyAlignment="1">
      <alignment horizontal="right"/>
    </xf>
    <xf numFmtId="0" fontId="15" fillId="7" borderId="0" xfId="0" applyFont="1" applyFill="1" applyAlignment="1">
      <alignment horizontal="left" vertical="center"/>
    </xf>
    <xf numFmtId="0" fontId="11" fillId="7" borderId="0" xfId="0" applyFont="1" applyFill="1" applyAlignment="1">
      <alignment horizontal="left" vertical="center"/>
    </xf>
    <xf numFmtId="164" fontId="6" fillId="7" borderId="0" xfId="0" applyNumberFormat="1" applyFont="1" applyFill="1" applyAlignment="1">
      <alignment horizontal="right"/>
    </xf>
    <xf numFmtId="164" fontId="19" fillId="6" borderId="11" xfId="0" quotePrefix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164" fontId="10" fillId="0" borderId="4" xfId="0" applyNumberFormat="1" applyFont="1" applyFill="1" applyBorder="1" applyAlignment="1">
      <alignment horizontal="right" vertical="center" wrapText="1"/>
    </xf>
    <xf numFmtId="0" fontId="9" fillId="7" borderId="0" xfId="0" applyFont="1" applyFill="1" applyAlignment="1">
      <alignment horizontal="left" vertical="center"/>
    </xf>
    <xf numFmtId="1" fontId="5" fillId="4" borderId="1" xfId="0" applyNumberFormat="1" applyFont="1" applyFill="1" applyBorder="1" applyAlignment="1">
      <alignment horizontal="center" vertical="center"/>
    </xf>
    <xf numFmtId="0" fontId="0" fillId="0" borderId="0" xfId="0" applyFill="1"/>
    <xf numFmtId="3" fontId="0" fillId="0" borderId="0" xfId="0" applyNumberFormat="1" applyFill="1"/>
    <xf numFmtId="0" fontId="3" fillId="0" borderId="0" xfId="0" applyFont="1" applyFill="1"/>
    <xf numFmtId="164" fontId="11" fillId="0" borderId="5" xfId="0" applyNumberFormat="1" applyFont="1" applyFill="1" applyBorder="1" applyAlignment="1">
      <alignment horizontal="right"/>
    </xf>
    <xf numFmtId="0" fontId="13" fillId="0" borderId="0" xfId="0" applyFont="1" applyFill="1"/>
    <xf numFmtId="0" fontId="12" fillId="0" borderId="0" xfId="0" applyFont="1" applyFill="1" applyAlignment="1">
      <alignment horizontal="left" vertical="center"/>
    </xf>
    <xf numFmtId="164" fontId="11" fillId="0" borderId="4" xfId="0" applyNumberFormat="1" applyFont="1" applyFill="1" applyBorder="1" applyAlignment="1">
      <alignment horizontal="right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164" fontId="6" fillId="0" borderId="2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left" vertical="center"/>
    </xf>
    <xf numFmtId="164" fontId="14" fillId="0" borderId="0" xfId="0" applyNumberFormat="1" applyFont="1" applyFill="1" applyAlignment="1">
      <alignment horizontal="right"/>
    </xf>
    <xf numFmtId="164" fontId="3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8" fontId="3" fillId="0" borderId="0" xfId="1" applyNumberFormat="1" applyFont="1" applyFill="1"/>
    <xf numFmtId="164" fontId="11" fillId="0" borderId="0" xfId="0" applyNumberFormat="1" applyFont="1" applyFill="1"/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44" fontId="3" fillId="0" borderId="0" xfId="3" applyFont="1"/>
    <xf numFmtId="165" fontId="3" fillId="0" borderId="0" xfId="2" applyNumberFormat="1" applyFont="1" applyAlignment="1">
      <alignment horizontal="center"/>
    </xf>
    <xf numFmtId="169" fontId="3" fillId="0" borderId="0" xfId="0" applyNumberFormat="1" applyFont="1"/>
    <xf numFmtId="169" fontId="25" fillId="0" borderId="0" xfId="0" applyNumberFormat="1" applyFont="1"/>
    <xf numFmtId="164" fontId="3" fillId="0" borderId="4" xfId="0" applyNumberFormat="1" applyFont="1" applyBorder="1"/>
    <xf numFmtId="165" fontId="3" fillId="0" borderId="4" xfId="2" applyNumberFormat="1" applyFont="1" applyBorder="1" applyAlignment="1">
      <alignment horizontal="center"/>
    </xf>
    <xf numFmtId="169" fontId="25" fillId="0" borderId="4" xfId="0" applyNumberFormat="1" applyFont="1" applyBorder="1"/>
    <xf numFmtId="44" fontId="32" fillId="0" borderId="0" xfId="3" applyFont="1"/>
    <xf numFmtId="165" fontId="5" fillId="0" borderId="0" xfId="2" applyNumberFormat="1" applyFont="1" applyAlignment="1">
      <alignment horizontal="center"/>
    </xf>
    <xf numFmtId="164" fontId="5" fillId="0" borderId="2" xfId="0" applyNumberFormat="1" applyFont="1" applyBorder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165" fontId="5" fillId="0" borderId="2" xfId="2" applyNumberFormat="1" applyFont="1" applyBorder="1" applyAlignment="1">
      <alignment horizontal="center"/>
    </xf>
    <xf numFmtId="169" fontId="5" fillId="0" borderId="2" xfId="0" applyNumberFormat="1" applyFont="1" applyBorder="1"/>
    <xf numFmtId="164" fontId="5" fillId="4" borderId="0" xfId="0" applyNumberFormat="1" applyFont="1" applyFill="1" applyAlignment="1">
      <alignment horizontal="left" vertical="center"/>
    </xf>
    <xf numFmtId="164" fontId="5" fillId="4" borderId="0" xfId="0" applyNumberFormat="1" applyFont="1" applyFill="1" applyAlignment="1">
      <alignment horizontal="center" vertical="center" wrapText="1"/>
    </xf>
    <xf numFmtId="164" fontId="5" fillId="4" borderId="0" xfId="0" applyNumberFormat="1" applyFont="1" applyFill="1" applyAlignment="1">
      <alignment horizontal="center" vertical="center"/>
    </xf>
    <xf numFmtId="164" fontId="5" fillId="4" borderId="0" xfId="0" quotePrefix="1" applyNumberFormat="1" applyFont="1" applyFill="1" applyAlignment="1">
      <alignment horizontal="center" vertical="center"/>
    </xf>
    <xf numFmtId="164" fontId="18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5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0" fillId="0" borderId="0" xfId="0" applyAlignment="1"/>
    <xf numFmtId="164" fontId="19" fillId="4" borderId="4" xfId="0" quotePrefix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5" fillId="0" borderId="6" xfId="0" applyFont="1" applyBorder="1" applyAlignment="1">
      <alignment vertical="center"/>
    </xf>
    <xf numFmtId="0" fontId="33" fillId="0" borderId="14" xfId="0" applyFont="1" applyBorder="1" applyAlignment="1">
      <alignment horizontal="right" vertical="center" wrapText="1"/>
    </xf>
    <xf numFmtId="0" fontId="34" fillId="0" borderId="15" xfId="4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3" fillId="0" borderId="0" xfId="0" applyFont="1" applyAlignment="1">
      <alignment horizontal="center" vertical="center" wrapText="1"/>
    </xf>
    <xf numFmtId="14" fontId="36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3" fillId="2" borderId="0" xfId="0" applyFont="1" applyFill="1" applyAlignment="1">
      <alignment vertical="center"/>
    </xf>
    <xf numFmtId="0" fontId="37" fillId="0" borderId="0" xfId="0" applyFont="1"/>
    <xf numFmtId="6" fontId="0" fillId="0" borderId="0" xfId="0" applyNumberFormat="1"/>
    <xf numFmtId="0" fontId="33" fillId="0" borderId="0" xfId="0" applyFont="1" applyAlignment="1">
      <alignment horizontal="right"/>
    </xf>
    <xf numFmtId="0" fontId="33" fillId="0" borderId="0" xfId="0" applyFont="1"/>
    <xf numFmtId="0" fontId="38" fillId="5" borderId="17" xfId="0" applyFont="1" applyFill="1" applyBorder="1"/>
    <xf numFmtId="0" fontId="17" fillId="5" borderId="18" xfId="0" applyFont="1" applyFill="1" applyBorder="1"/>
    <xf numFmtId="0" fontId="17" fillId="5" borderId="19" xfId="0" applyFont="1" applyFill="1" applyBorder="1"/>
    <xf numFmtId="0" fontId="2" fillId="8" borderId="0" xfId="0" applyFont="1" applyFill="1"/>
    <xf numFmtId="0" fontId="2" fillId="8" borderId="7" xfId="0" applyFont="1" applyFill="1" applyBorder="1" applyAlignment="1">
      <alignment horizontal="center" vertical="center"/>
    </xf>
    <xf numFmtId="14" fontId="2" fillId="8" borderId="0" xfId="0" applyNumberFormat="1" applyFont="1" applyFill="1"/>
    <xf numFmtId="0" fontId="0" fillId="6" borderId="14" xfId="0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0" fontId="31" fillId="6" borderId="15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9" borderId="1" xfId="0" quotePrefix="1" applyFont="1" applyFill="1" applyBorder="1" applyAlignment="1">
      <alignment horizontal="left" vertical="center" wrapText="1"/>
    </xf>
    <xf numFmtId="14" fontId="5" fillId="9" borderId="8" xfId="0" applyNumberFormat="1" applyFont="1" applyFill="1" applyBorder="1" applyAlignment="1">
      <alignment horizontal="center" vertical="center" wrapText="1"/>
    </xf>
    <xf numFmtId="14" fontId="5" fillId="9" borderId="1" xfId="0" applyNumberFormat="1" applyFont="1" applyFill="1" applyBorder="1" applyAlignment="1">
      <alignment horizontal="center" vertical="center" wrapText="1"/>
    </xf>
    <xf numFmtId="0" fontId="39" fillId="3" borderId="20" xfId="0" applyFont="1" applyFill="1" applyBorder="1"/>
    <xf numFmtId="168" fontId="39" fillId="3" borderId="4" xfId="0" applyNumberFormat="1" applyFont="1" applyFill="1" applyBorder="1"/>
    <xf numFmtId="168" fontId="31" fillId="3" borderId="4" xfId="0" applyNumberFormat="1" applyFont="1" applyFill="1" applyBorder="1"/>
    <xf numFmtId="44" fontId="31" fillId="3" borderId="21" xfId="3" applyFont="1" applyFill="1" applyBorder="1" applyAlignment="1"/>
    <xf numFmtId="168" fontId="39" fillId="3" borderId="4" xfId="0" applyNumberFormat="1" applyFont="1" applyFill="1" applyBorder="1" applyAlignment="1">
      <alignment horizontal="center" vertical="center"/>
    </xf>
    <xf numFmtId="168" fontId="0" fillId="0" borderId="0" xfId="1" applyNumberFormat="1" applyFont="1"/>
    <xf numFmtId="168" fontId="1" fillId="0" borderId="7" xfId="1" applyNumberFormat="1" applyFont="1" applyBorder="1"/>
    <xf numFmtId="168" fontId="1" fillId="0" borderId="0" xfId="1" applyNumberFormat="1" applyFont="1"/>
    <xf numFmtId="0" fontId="0" fillId="4" borderId="20" xfId="0" applyFill="1" applyBorder="1"/>
    <xf numFmtId="168" fontId="0" fillId="4" borderId="4" xfId="0" applyNumberFormat="1" applyFill="1" applyBorder="1"/>
    <xf numFmtId="44" fontId="0" fillId="4" borderId="21" xfId="3" applyFont="1" applyFill="1" applyBorder="1" applyAlignment="1"/>
    <xf numFmtId="168" fontId="0" fillId="4" borderId="4" xfId="0" applyNumberFormat="1" applyFill="1" applyBorder="1" applyAlignment="1">
      <alignment horizontal="center" vertical="center"/>
    </xf>
    <xf numFmtId="168" fontId="1" fillId="0" borderId="9" xfId="0" applyNumberFormat="1" applyFont="1" applyBorder="1"/>
    <xf numFmtId="168" fontId="0" fillId="0" borderId="2" xfId="0" applyNumberFormat="1" applyBorder="1"/>
    <xf numFmtId="168" fontId="1" fillId="0" borderId="22" xfId="1" applyNumberFormat="1" applyFont="1" applyBorder="1"/>
    <xf numFmtId="168" fontId="0" fillId="0" borderId="3" xfId="0" applyNumberFormat="1" applyBorder="1"/>
    <xf numFmtId="0" fontId="0" fillId="4" borderId="23" xfId="0" applyFill="1" applyBorder="1"/>
    <xf numFmtId="168" fontId="0" fillId="4" borderId="24" xfId="0" applyNumberFormat="1" applyFill="1" applyBorder="1"/>
    <xf numFmtId="168" fontId="1" fillId="0" borderId="25" xfId="0" applyNumberFormat="1" applyFont="1" applyBorder="1"/>
    <xf numFmtId="168" fontId="0" fillId="0" borderId="24" xfId="0" applyNumberFormat="1" applyBorder="1"/>
    <xf numFmtId="168" fontId="1" fillId="0" borderId="7" xfId="0" applyNumberFormat="1" applyFont="1" applyBorder="1"/>
    <xf numFmtId="0" fontId="0" fillId="4" borderId="26" xfId="0" applyFill="1" applyBorder="1"/>
    <xf numFmtId="0" fontId="0" fillId="4" borderId="0" xfId="0" applyFill="1"/>
    <xf numFmtId="168" fontId="0" fillId="4" borderId="0" xfId="0" applyNumberFormat="1" applyFill="1"/>
    <xf numFmtId="168" fontId="0" fillId="4" borderId="27" xfId="0" applyNumberFormat="1" applyFill="1" applyBorder="1"/>
    <xf numFmtId="168" fontId="1" fillId="0" borderId="25" xfId="1" applyNumberFormat="1" applyFont="1" applyBorder="1"/>
    <xf numFmtId="168" fontId="0" fillId="0" borderId="24" xfId="1" applyNumberFormat="1" applyFont="1" applyBorder="1"/>
    <xf numFmtId="0" fontId="31" fillId="4" borderId="26" xfId="0" applyFont="1" applyFill="1" applyBorder="1"/>
    <xf numFmtId="0" fontId="31" fillId="4" borderId="0" xfId="0" applyFont="1" applyFill="1"/>
    <xf numFmtId="168" fontId="1" fillId="0" borderId="0" xfId="1" applyNumberFormat="1" applyFont="1" applyBorder="1"/>
    <xf numFmtId="0" fontId="38" fillId="5" borderId="0" xfId="0" applyFont="1" applyFill="1" applyAlignment="1">
      <alignment horizontal="left"/>
    </xf>
    <xf numFmtId="6" fontId="17" fillId="5" borderId="0" xfId="0" applyNumberFormat="1" applyFont="1" applyFill="1"/>
    <xf numFmtId="168" fontId="40" fillId="0" borderId="0" xfId="1" applyNumberFormat="1" applyFont="1"/>
    <xf numFmtId="44" fontId="0" fillId="0" borderId="0" xfId="3" applyFont="1"/>
    <xf numFmtId="0" fontId="31" fillId="6" borderId="29" xfId="0" applyFont="1" applyFill="1" applyBorder="1"/>
    <xf numFmtId="0" fontId="31" fillId="6" borderId="30" xfId="0" applyFont="1" applyFill="1" applyBorder="1" applyAlignment="1">
      <alignment horizontal="center"/>
    </xf>
    <xf numFmtId="0" fontId="31" fillId="6" borderId="30" xfId="0" applyFont="1" applyFill="1" applyBorder="1" applyAlignment="1">
      <alignment horizontal="center" wrapText="1"/>
    </xf>
    <xf numFmtId="0" fontId="31" fillId="6" borderId="31" xfId="0" applyFont="1" applyFill="1" applyBorder="1" applyAlignment="1">
      <alignment horizontal="center" wrapText="1"/>
    </xf>
    <xf numFmtId="0" fontId="31" fillId="6" borderId="32" xfId="0" applyFont="1" applyFill="1" applyBorder="1" applyAlignment="1">
      <alignment horizontal="center" wrapText="1"/>
    </xf>
    <xf numFmtId="0" fontId="31" fillId="6" borderId="6" xfId="0" applyFont="1" applyFill="1" applyBorder="1" applyAlignment="1">
      <alignment horizontal="center" wrapText="1"/>
    </xf>
    <xf numFmtId="0" fontId="31" fillId="0" borderId="33" xfId="0" applyFont="1" applyBorder="1" applyAlignment="1">
      <alignment horizontal="left" vertical="center" wrapText="1"/>
    </xf>
    <xf numFmtId="0" fontId="39" fillId="0" borderId="11" xfId="0" applyFont="1" applyBorder="1"/>
    <xf numFmtId="44" fontId="39" fillId="0" borderId="11" xfId="3" applyFont="1" applyBorder="1"/>
    <xf numFmtId="170" fontId="39" fillId="0" borderId="11" xfId="1" applyNumberFormat="1" applyFont="1" applyBorder="1"/>
    <xf numFmtId="43" fontId="39" fillId="0" borderId="11" xfId="1" applyFont="1" applyBorder="1"/>
    <xf numFmtId="43" fontId="39" fillId="0" borderId="34" xfId="1" applyFont="1" applyBorder="1"/>
    <xf numFmtId="43" fontId="39" fillId="0" borderId="4" xfId="1" applyFont="1" applyBorder="1"/>
    <xf numFmtId="43" fontId="31" fillId="10" borderId="21" xfId="1" applyFont="1" applyFill="1" applyBorder="1"/>
    <xf numFmtId="0" fontId="0" fillId="0" borderId="7" xfId="0" applyBorder="1"/>
    <xf numFmtId="0" fontId="31" fillId="0" borderId="35" xfId="0" applyFont="1" applyBorder="1" applyAlignment="1">
      <alignment horizontal="left" vertical="center" wrapText="1"/>
    </xf>
    <xf numFmtId="0" fontId="39" fillId="0" borderId="25" xfId="0" applyFont="1" applyBorder="1"/>
    <xf numFmtId="44" fontId="39" fillId="0" borderId="25" xfId="3" applyFont="1" applyBorder="1"/>
    <xf numFmtId="170" fontId="39" fillId="0" borderId="25" xfId="1" applyNumberFormat="1" applyFont="1" applyBorder="1"/>
    <xf numFmtId="43" fontId="39" fillId="0" borderId="36" xfId="1" applyFont="1" applyBorder="1"/>
    <xf numFmtId="43" fontId="39" fillId="0" borderId="24" xfId="1" applyFont="1" applyBorder="1"/>
    <xf numFmtId="43" fontId="31" fillId="10" borderId="37" xfId="1" applyFont="1" applyFill="1" applyBorder="1"/>
    <xf numFmtId="44" fontId="39" fillId="0" borderId="25" xfId="3" applyFont="1" applyFill="1" applyBorder="1"/>
    <xf numFmtId="0" fontId="31" fillId="4" borderId="35" xfId="0" applyFont="1" applyFill="1" applyBorder="1" applyAlignment="1">
      <alignment horizontal="left" vertical="center" wrapText="1"/>
    </xf>
    <xf numFmtId="44" fontId="31" fillId="4" borderId="25" xfId="3" applyFont="1" applyFill="1" applyBorder="1" applyAlignment="1">
      <alignment horizontal="center" vertical="center"/>
    </xf>
    <xf numFmtId="168" fontId="31" fillId="4" borderId="25" xfId="1" applyNumberFormat="1" applyFont="1" applyFill="1" applyBorder="1" applyAlignment="1">
      <alignment vertical="center"/>
    </xf>
    <xf numFmtId="168" fontId="31" fillId="4" borderId="11" xfId="1" applyNumberFormat="1" applyFont="1" applyFill="1" applyBorder="1" applyAlignment="1">
      <alignment vertical="center"/>
    </xf>
    <xf numFmtId="168" fontId="31" fillId="4" borderId="36" xfId="1" applyNumberFormat="1" applyFont="1" applyFill="1" applyBorder="1" applyAlignment="1">
      <alignment vertical="center"/>
    </xf>
    <xf numFmtId="168" fontId="31" fillId="4" borderId="37" xfId="1" applyNumberFormat="1" applyFont="1" applyFill="1" applyBorder="1" applyAlignment="1">
      <alignment vertical="center"/>
    </xf>
    <xf numFmtId="168" fontId="0" fillId="0" borderId="7" xfId="1" applyNumberFormat="1" applyFont="1" applyBorder="1"/>
    <xf numFmtId="0" fontId="0" fillId="0" borderId="2" xfId="0" applyBorder="1"/>
    <xf numFmtId="0" fontId="0" fillId="0" borderId="38" xfId="0" applyBorder="1"/>
    <xf numFmtId="168" fontId="0" fillId="0" borderId="9" xfId="1" applyNumberFormat="1" applyFont="1" applyBorder="1"/>
    <xf numFmtId="168" fontId="0" fillId="0" borderId="2" xfId="1" applyNumberFormat="1" applyFont="1" applyBorder="1"/>
    <xf numFmtId="0" fontId="18" fillId="5" borderId="0" xfId="0" applyFont="1" applyFill="1"/>
    <xf numFmtId="0" fontId="31" fillId="4" borderId="0" xfId="0" applyFont="1" applyFill="1" applyAlignment="1">
      <alignment horizontal="left"/>
    </xf>
    <xf numFmtId="0" fontId="33" fillId="4" borderId="0" xfId="0" applyFont="1" applyFill="1"/>
    <xf numFmtId="0" fontId="41" fillId="4" borderId="0" xfId="0" applyFont="1" applyFill="1"/>
    <xf numFmtId="10" fontId="31" fillId="4" borderId="0" xfId="0" applyNumberFormat="1" applyFont="1" applyFill="1"/>
    <xf numFmtId="8" fontId="31" fillId="4" borderId="0" xfId="0" applyNumberFormat="1" applyFont="1" applyFill="1"/>
    <xf numFmtId="0" fontId="31" fillId="4" borderId="0" xfId="0" quotePrefix="1" applyFont="1" applyFill="1"/>
    <xf numFmtId="168" fontId="22" fillId="0" borderId="0" xfId="1" applyNumberFormat="1" applyFont="1"/>
    <xf numFmtId="0" fontId="33" fillId="4" borderId="0" xfId="0" applyFont="1" applyFill="1" applyAlignment="1">
      <alignment horizontal="left"/>
    </xf>
    <xf numFmtId="10" fontId="31" fillId="4" borderId="0" xfId="2" applyNumberFormat="1" applyFont="1" applyFill="1" applyAlignment="1">
      <alignment horizontal="right"/>
    </xf>
    <xf numFmtId="0" fontId="31" fillId="4" borderId="0" xfId="0" applyFont="1" applyFill="1" applyAlignment="1">
      <alignment horizontal="right"/>
    </xf>
    <xf numFmtId="44" fontId="31" fillId="2" borderId="6" xfId="3" applyFont="1" applyFill="1" applyBorder="1"/>
    <xf numFmtId="0" fontId="33" fillId="4" borderId="0" xfId="0" applyFont="1" applyFill="1" applyAlignment="1">
      <alignment horizontal="center"/>
    </xf>
    <xf numFmtId="0" fontId="39" fillId="4" borderId="0" xfId="0" applyFont="1" applyFill="1"/>
    <xf numFmtId="10" fontId="0" fillId="0" borderId="0" xfId="2" applyNumberFormat="1" applyFont="1"/>
    <xf numFmtId="10" fontId="0" fillId="0" borderId="0" xfId="0" applyNumberFormat="1"/>
    <xf numFmtId="8" fontId="39" fillId="4" borderId="0" xfId="0" applyNumberFormat="1" applyFont="1" applyFill="1"/>
    <xf numFmtId="10" fontId="39" fillId="4" borderId="0" xfId="0" applyNumberFormat="1" applyFont="1" applyFill="1"/>
    <xf numFmtId="44" fontId="39" fillId="4" borderId="0" xfId="3" applyFont="1" applyFill="1" applyBorder="1"/>
    <xf numFmtId="10" fontId="31" fillId="4" borderId="0" xfId="2" applyNumberFormat="1" applyFont="1" applyFill="1" applyBorder="1"/>
    <xf numFmtId="0" fontId="39" fillId="4" borderId="0" xfId="0" applyFont="1" applyFill="1" applyAlignment="1">
      <alignment horizontal="center"/>
    </xf>
    <xf numFmtId="0" fontId="42" fillId="4" borderId="0" xfId="0" applyFont="1" applyFill="1" applyAlignment="1">
      <alignment horizontal="left"/>
    </xf>
    <xf numFmtId="0" fontId="5" fillId="4" borderId="0" xfId="0" applyFont="1" applyFill="1"/>
    <xf numFmtId="0" fontId="0" fillId="4" borderId="0" xfId="0" applyFill="1" applyAlignment="1">
      <alignment horizontal="center"/>
    </xf>
    <xf numFmtId="0" fontId="33" fillId="11" borderId="0" xfId="0" applyFont="1" applyFill="1" applyAlignment="1">
      <alignment horizontal="center" vertical="center"/>
    </xf>
    <xf numFmtId="0" fontId="43" fillId="6" borderId="29" xfId="0" applyFont="1" applyFill="1" applyBorder="1" applyAlignment="1">
      <alignment vertical="center"/>
    </xf>
    <xf numFmtId="0" fontId="43" fillId="6" borderId="30" xfId="0" applyFont="1" applyFill="1" applyBorder="1" applyAlignment="1">
      <alignment horizontal="center" vertical="center"/>
    </xf>
    <xf numFmtId="14" fontId="43" fillId="6" borderId="30" xfId="0" applyNumberFormat="1" applyFont="1" applyFill="1" applyBorder="1" applyAlignment="1">
      <alignment horizontal="center" vertical="center" wrapText="1"/>
    </xf>
    <xf numFmtId="0" fontId="43" fillId="6" borderId="30" xfId="0" applyFont="1" applyFill="1" applyBorder="1" applyAlignment="1">
      <alignment horizontal="center" vertical="center" wrapText="1"/>
    </xf>
    <xf numFmtId="0" fontId="43" fillId="6" borderId="31" xfId="0" applyFont="1" applyFill="1" applyBorder="1" applyAlignment="1">
      <alignment horizontal="center" vertical="center" wrapText="1"/>
    </xf>
    <xf numFmtId="0" fontId="43" fillId="6" borderId="32" xfId="0" applyFont="1" applyFill="1" applyBorder="1" applyAlignment="1">
      <alignment horizontal="center" vertical="center" wrapText="1"/>
    </xf>
    <xf numFmtId="0" fontId="43" fillId="6" borderId="6" xfId="0" applyFont="1" applyFill="1" applyBorder="1" applyAlignment="1">
      <alignment horizontal="center" vertical="center" wrapText="1"/>
    </xf>
    <xf numFmtId="0" fontId="33" fillId="6" borderId="25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43" fillId="4" borderId="33" xfId="0" applyFont="1" applyFill="1" applyBorder="1" applyAlignment="1">
      <alignment horizontal="left" vertical="center" wrapText="1"/>
    </xf>
    <xf numFmtId="0" fontId="43" fillId="4" borderId="11" xfId="0" applyFont="1" applyFill="1" applyBorder="1" applyAlignment="1">
      <alignment horizontal="center"/>
    </xf>
    <xf numFmtId="44" fontId="43" fillId="4" borderId="11" xfId="3" applyFont="1" applyFill="1" applyBorder="1"/>
    <xf numFmtId="168" fontId="43" fillId="4" borderId="11" xfId="1" applyNumberFormat="1" applyFont="1" applyFill="1" applyBorder="1"/>
    <xf numFmtId="168" fontId="43" fillId="4" borderId="34" xfId="1" applyNumberFormat="1" applyFont="1" applyFill="1" applyBorder="1"/>
    <xf numFmtId="168" fontId="43" fillId="4" borderId="39" xfId="1" applyNumberFormat="1" applyFont="1" applyFill="1" applyBorder="1"/>
    <xf numFmtId="168" fontId="43" fillId="4" borderId="21" xfId="1" applyNumberFormat="1" applyFont="1" applyFill="1" applyBorder="1"/>
    <xf numFmtId="171" fontId="43" fillId="4" borderId="21" xfId="1" applyNumberFormat="1" applyFont="1" applyFill="1" applyBorder="1" applyAlignment="1">
      <alignment horizontal="center"/>
    </xf>
    <xf numFmtId="171" fontId="43" fillId="4" borderId="39" xfId="1" applyNumberFormat="1" applyFont="1" applyFill="1" applyBorder="1" applyAlignment="1">
      <alignment horizontal="center"/>
    </xf>
    <xf numFmtId="165" fontId="0" fillId="0" borderId="25" xfId="2" applyNumberFormat="1" applyFont="1" applyBorder="1" applyAlignment="1">
      <alignment horizontal="center"/>
    </xf>
    <xf numFmtId="168" fontId="44" fillId="0" borderId="21" xfId="1" applyNumberFormat="1" applyFont="1" applyBorder="1"/>
    <xf numFmtId="0" fontId="43" fillId="4" borderId="35" xfId="0" applyFont="1" applyFill="1" applyBorder="1" applyAlignment="1">
      <alignment horizontal="left" vertical="center" wrapText="1"/>
    </xf>
    <xf numFmtId="0" fontId="43" fillId="4" borderId="25" xfId="0" applyFont="1" applyFill="1" applyBorder="1" applyAlignment="1">
      <alignment horizontal="center"/>
    </xf>
    <xf numFmtId="44" fontId="43" fillId="4" borderId="25" xfId="3" applyFont="1" applyFill="1" applyBorder="1"/>
    <xf numFmtId="168" fontId="43" fillId="4" borderId="25" xfId="1" applyNumberFormat="1" applyFont="1" applyFill="1" applyBorder="1"/>
    <xf numFmtId="168" fontId="43" fillId="4" borderId="36" xfId="1" applyNumberFormat="1" applyFont="1" applyFill="1" applyBorder="1"/>
    <xf numFmtId="168" fontId="43" fillId="4" borderId="40" xfId="1" applyNumberFormat="1" applyFont="1" applyFill="1" applyBorder="1"/>
    <xf numFmtId="171" fontId="43" fillId="4" borderId="40" xfId="1" applyNumberFormat="1" applyFont="1" applyFill="1" applyBorder="1" applyAlignment="1">
      <alignment horizontal="center"/>
    </xf>
    <xf numFmtId="168" fontId="44" fillId="0" borderId="37" xfId="1" applyNumberFormat="1" applyFont="1" applyBorder="1"/>
    <xf numFmtId="44" fontId="43" fillId="4" borderId="25" xfId="3" applyFont="1" applyFill="1" applyBorder="1" applyAlignment="1">
      <alignment horizontal="center"/>
    </xf>
    <xf numFmtId="0" fontId="45" fillId="0" borderId="0" xfId="0" applyFont="1"/>
    <xf numFmtId="0" fontId="45" fillId="0" borderId="0" xfId="0" applyFont="1" applyAlignment="1">
      <alignment horizontal="center"/>
    </xf>
    <xf numFmtId="171" fontId="45" fillId="0" borderId="0" xfId="0" applyNumberFormat="1" applyFont="1" applyAlignment="1">
      <alignment horizontal="center"/>
    </xf>
    <xf numFmtId="0" fontId="43" fillId="11" borderId="29" xfId="0" applyFont="1" applyFill="1" applyBorder="1" applyAlignment="1">
      <alignment horizontal="left" vertical="center" wrapText="1"/>
    </xf>
    <xf numFmtId="44" fontId="43" fillId="11" borderId="30" xfId="3" applyFont="1" applyFill="1" applyBorder="1" applyAlignment="1">
      <alignment horizontal="center"/>
    </xf>
    <xf numFmtId="44" fontId="43" fillId="11" borderId="30" xfId="3" applyFont="1" applyFill="1" applyBorder="1" applyAlignment="1">
      <alignment horizontal="right"/>
    </xf>
    <xf numFmtId="168" fontId="43" fillId="11" borderId="30" xfId="1" applyNumberFormat="1" applyFont="1" applyFill="1" applyBorder="1"/>
    <xf numFmtId="168" fontId="43" fillId="11" borderId="31" xfId="1" applyNumberFormat="1" applyFont="1" applyFill="1" applyBorder="1"/>
    <xf numFmtId="168" fontId="43" fillId="11" borderId="32" xfId="1" applyNumberFormat="1" applyFont="1" applyFill="1" applyBorder="1"/>
    <xf numFmtId="168" fontId="43" fillId="11" borderId="6" xfId="1" applyNumberFormat="1" applyFont="1" applyFill="1" applyBorder="1"/>
    <xf numFmtId="171" fontId="43" fillId="11" borderId="6" xfId="1" applyNumberFormat="1" applyFont="1" applyFill="1" applyBorder="1" applyAlignment="1">
      <alignment horizontal="center"/>
    </xf>
    <xf numFmtId="171" fontId="46" fillId="11" borderId="32" xfId="1" applyNumberFormat="1" applyFont="1" applyFill="1" applyBorder="1" applyAlignment="1">
      <alignment horizontal="center"/>
    </xf>
    <xf numFmtId="0" fontId="43" fillId="4" borderId="0" xfId="0" applyFont="1" applyFill="1"/>
    <xf numFmtId="0" fontId="45" fillId="4" borderId="0" xfId="0" applyFont="1" applyFill="1"/>
    <xf numFmtId="168" fontId="45" fillId="4" borderId="0" xfId="1" applyNumberFormat="1" applyFont="1" applyFill="1"/>
    <xf numFmtId="171" fontId="47" fillId="4" borderId="0" xfId="0" applyNumberFormat="1" applyFont="1" applyFill="1" applyAlignment="1">
      <alignment horizontal="center"/>
    </xf>
    <xf numFmtId="168" fontId="45" fillId="4" borderId="0" xfId="0" applyNumberFormat="1" applyFont="1" applyFill="1"/>
    <xf numFmtId="171" fontId="43" fillId="4" borderId="0" xfId="0" applyNumberFormat="1" applyFont="1" applyFill="1" applyAlignment="1">
      <alignment horizontal="center"/>
    </xf>
    <xf numFmtId="0" fontId="46" fillId="4" borderId="0" xfId="0" applyFont="1" applyFill="1"/>
    <xf numFmtId="171" fontId="48" fillId="0" borderId="0" xfId="0" applyNumberFormat="1" applyFont="1"/>
    <xf numFmtId="171" fontId="43" fillId="4" borderId="0" xfId="0" applyNumberFormat="1" applyFont="1" applyFill="1"/>
    <xf numFmtId="0" fontId="43" fillId="4" borderId="14" xfId="0" applyFont="1" applyFill="1" applyBorder="1" applyAlignment="1">
      <alignment horizontal="left" vertical="center" wrapText="1"/>
    </xf>
    <xf numFmtId="168" fontId="43" fillId="4" borderId="16" xfId="0" applyNumberFormat="1" applyFont="1" applyFill="1" applyBorder="1"/>
    <xf numFmtId="0" fontId="46" fillId="4" borderId="0" xfId="0" applyFont="1" applyFill="1" applyAlignment="1">
      <alignment horizontal="right"/>
    </xf>
    <xf numFmtId="44" fontId="46" fillId="2" borderId="6" xfId="0" applyNumberFormat="1" applyFont="1" applyFill="1" applyBorder="1"/>
    <xf numFmtId="0" fontId="47" fillId="4" borderId="0" xfId="0" applyFont="1" applyFill="1"/>
    <xf numFmtId="0" fontId="38" fillId="5" borderId="0" xfId="0" applyFont="1" applyFill="1"/>
    <xf numFmtId="0" fontId="0" fillId="5" borderId="0" xfId="0" applyFill="1"/>
    <xf numFmtId="0" fontId="0" fillId="4" borderId="0" xfId="0" applyFill="1" applyAlignment="1">
      <alignment horizontal="left"/>
    </xf>
    <xf numFmtId="0" fontId="5" fillId="6" borderId="14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0" fillId="6" borderId="32" xfId="0" applyFill="1" applyBorder="1" applyAlignment="1">
      <alignment vertical="center"/>
    </xf>
    <xf numFmtId="0" fontId="5" fillId="6" borderId="46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49" fillId="4" borderId="33" xfId="0" applyFont="1" applyFill="1" applyBorder="1" applyAlignment="1">
      <alignment horizontal="left" vertical="center" wrapText="1"/>
    </xf>
    <xf numFmtId="0" fontId="49" fillId="4" borderId="11" xfId="0" applyFont="1" applyFill="1" applyBorder="1" applyAlignment="1">
      <alignment horizontal="left" wrapText="1"/>
    </xf>
    <xf numFmtId="0" fontId="0" fillId="4" borderId="11" xfId="0" applyFill="1" applyBorder="1"/>
    <xf numFmtId="44" fontId="49" fillId="4" borderId="11" xfId="3" applyFont="1" applyFill="1" applyBorder="1" applyAlignment="1">
      <alignment vertical="center"/>
    </xf>
    <xf numFmtId="168" fontId="49" fillId="4" borderId="11" xfId="1" applyNumberFormat="1" applyFont="1" applyFill="1" applyBorder="1" applyAlignment="1">
      <alignment vertical="center"/>
    </xf>
    <xf numFmtId="172" fontId="49" fillId="4" borderId="11" xfId="0" applyNumberFormat="1" applyFont="1" applyFill="1" applyBorder="1" applyAlignment="1">
      <alignment vertical="center"/>
    </xf>
    <xf numFmtId="172" fontId="49" fillId="4" borderId="11" xfId="3" applyNumberFormat="1" applyFont="1" applyFill="1" applyBorder="1" applyAlignment="1">
      <alignment vertical="center"/>
    </xf>
    <xf numFmtId="171" fontId="49" fillId="4" borderId="39" xfId="0" applyNumberFormat="1" applyFont="1" applyFill="1" applyBorder="1" applyAlignment="1">
      <alignment vertical="center"/>
    </xf>
    <xf numFmtId="0" fontId="49" fillId="0" borderId="0" xfId="0" applyFont="1"/>
    <xf numFmtId="171" fontId="49" fillId="0" borderId="0" xfId="0" applyNumberFormat="1" applyFont="1"/>
    <xf numFmtId="0" fontId="49" fillId="4" borderId="41" xfId="0" applyFont="1" applyFill="1" applyBorder="1"/>
    <xf numFmtId="0" fontId="49" fillId="4" borderId="42" xfId="0" applyFont="1" applyFill="1" applyBorder="1"/>
    <xf numFmtId="0" fontId="0" fillId="4" borderId="42" xfId="0" applyFill="1" applyBorder="1"/>
    <xf numFmtId="44" fontId="49" fillId="4" borderId="42" xfId="3" applyFont="1" applyFill="1" applyBorder="1"/>
    <xf numFmtId="168" fontId="49" fillId="4" borderId="42" xfId="1" applyNumberFormat="1" applyFont="1" applyFill="1" applyBorder="1"/>
    <xf numFmtId="172" fontId="49" fillId="4" borderId="42" xfId="0" applyNumberFormat="1" applyFont="1" applyFill="1" applyBorder="1"/>
    <xf numFmtId="172" fontId="49" fillId="4" borderId="42" xfId="3" applyNumberFormat="1" applyFont="1" applyFill="1" applyBorder="1"/>
    <xf numFmtId="172" fontId="49" fillId="4" borderId="42" xfId="0" applyNumberFormat="1" applyFont="1" applyFill="1" applyBorder="1" applyAlignment="1">
      <alignment vertical="center"/>
    </xf>
    <xf numFmtId="171" fontId="49" fillId="4" borderId="44" xfId="0" applyNumberFormat="1" applyFont="1" applyFill="1" applyBorder="1"/>
    <xf numFmtId="0" fontId="5" fillId="4" borderId="11" xfId="0" applyFont="1" applyFill="1" applyBorder="1"/>
    <xf numFmtId="171" fontId="48" fillId="4" borderId="11" xfId="0" applyNumberFormat="1" applyFont="1" applyFill="1" applyBorder="1"/>
    <xf numFmtId="0" fontId="37" fillId="4" borderId="14" xfId="0" applyFont="1" applyFill="1" applyBorder="1" applyAlignment="1">
      <alignment horizontal="left" vertical="center" wrapText="1"/>
    </xf>
    <xf numFmtId="168" fontId="5" fillId="4" borderId="16" xfId="0" applyNumberFormat="1" applyFont="1" applyFill="1" applyBorder="1"/>
    <xf numFmtId="0" fontId="33" fillId="4" borderId="0" xfId="0" applyFont="1" applyFill="1" applyAlignment="1">
      <alignment horizontal="right"/>
    </xf>
    <xf numFmtId="44" fontId="33" fillId="2" borderId="6" xfId="0" applyNumberFormat="1" applyFont="1" applyFill="1" applyBorder="1"/>
    <xf numFmtId="0" fontId="43" fillId="4" borderId="0" xfId="0" applyFont="1" applyFill="1" applyAlignment="1">
      <alignment horizontal="right"/>
    </xf>
    <xf numFmtId="168" fontId="43" fillId="4" borderId="0" xfId="0" applyNumberFormat="1" applyFont="1" applyFill="1"/>
    <xf numFmtId="171" fontId="0" fillId="4" borderId="0" xfId="0" applyNumberFormat="1" applyFill="1"/>
    <xf numFmtId="0" fontId="42" fillId="0" borderId="4" xfId="0" applyFont="1" applyBorder="1"/>
    <xf numFmtId="0" fontId="42" fillId="0" borderId="0" xfId="0" applyFont="1"/>
    <xf numFmtId="0" fontId="14" fillId="0" borderId="0" xfId="0" applyFont="1" applyAlignment="1">
      <alignment horizontal="right"/>
    </xf>
    <xf numFmtId="0" fontId="14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3" fillId="6" borderId="4" xfId="0" applyFont="1" applyFill="1" applyBorder="1"/>
    <xf numFmtId="0" fontId="33" fillId="6" borderId="43" xfId="0" applyFont="1" applyFill="1" applyBorder="1" applyAlignment="1">
      <alignment horizontal="center" vertical="center"/>
    </xf>
    <xf numFmtId="0" fontId="33" fillId="6" borderId="47" xfId="0" applyFont="1" applyFill="1" applyBorder="1" applyAlignment="1">
      <alignment horizontal="center" vertical="center"/>
    </xf>
    <xf numFmtId="0" fontId="33" fillId="6" borderId="4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0" fillId="6" borderId="0" xfId="0" applyFill="1"/>
    <xf numFmtId="0" fontId="0" fillId="6" borderId="49" xfId="0" applyFill="1" applyBorder="1"/>
    <xf numFmtId="14" fontId="5" fillId="6" borderId="14" xfId="0" quotePrefix="1" applyNumberFormat="1" applyFont="1" applyFill="1" applyBorder="1" applyAlignment="1">
      <alignment horizontal="center"/>
    </xf>
    <xf numFmtId="14" fontId="5" fillId="6" borderId="15" xfId="0" quotePrefix="1" applyNumberFormat="1" applyFont="1" applyFill="1" applyBorder="1" applyAlignment="1">
      <alignment horizontal="center"/>
    </xf>
    <xf numFmtId="14" fontId="5" fillId="6" borderId="15" xfId="0" applyNumberFormat="1" applyFont="1" applyFill="1" applyBorder="1" applyAlignment="1">
      <alignment horizontal="right"/>
    </xf>
    <xf numFmtId="14" fontId="5" fillId="3" borderId="30" xfId="0" applyNumberFormat="1" applyFont="1" applyFill="1" applyBorder="1" applyAlignment="1">
      <alignment horizontal="right"/>
    </xf>
    <xf numFmtId="14" fontId="5" fillId="6" borderId="16" xfId="0" applyNumberFormat="1" applyFont="1" applyFill="1" applyBorder="1" applyAlignment="1">
      <alignment horizontal="right"/>
    </xf>
    <xf numFmtId="168" fontId="0" fillId="4" borderId="0" xfId="1" applyNumberFormat="1" applyFont="1" applyFill="1" applyBorder="1"/>
    <xf numFmtId="168" fontId="0" fillId="4" borderId="50" xfId="1" applyNumberFormat="1" applyFont="1" applyFill="1" applyBorder="1"/>
    <xf numFmtId="168" fontId="0" fillId="3" borderId="7" xfId="1" applyNumberFormat="1" applyFont="1" applyFill="1" applyBorder="1"/>
    <xf numFmtId="165" fontId="49" fillId="4" borderId="0" xfId="2" applyNumberFormat="1" applyFont="1" applyFill="1" applyBorder="1"/>
    <xf numFmtId="165" fontId="49" fillId="4" borderId="50" xfId="2" applyNumberFormat="1" applyFont="1" applyFill="1" applyBorder="1"/>
    <xf numFmtId="165" fontId="49" fillId="3" borderId="7" xfId="2" applyNumberFormat="1" applyFont="1" applyFill="1" applyBorder="1"/>
    <xf numFmtId="0" fontId="3" fillId="0" borderId="0" xfId="0" quotePrefix="1" applyFont="1" applyAlignment="1">
      <alignment shrinkToFit="1"/>
    </xf>
    <xf numFmtId="168" fontId="0" fillId="4" borderId="4" xfId="1" applyNumberFormat="1" applyFont="1" applyFill="1" applyBorder="1"/>
    <xf numFmtId="168" fontId="0" fillId="4" borderId="51" xfId="1" applyNumberFormat="1" applyFont="1" applyFill="1" applyBorder="1"/>
    <xf numFmtId="168" fontId="0" fillId="3" borderId="11" xfId="1" applyNumberFormat="1" applyFont="1" applyFill="1" applyBorder="1"/>
    <xf numFmtId="168" fontId="3" fillId="4" borderId="0" xfId="1" applyNumberFormat="1" applyFont="1" applyFill="1" applyBorder="1"/>
    <xf numFmtId="10" fontId="22" fillId="4" borderId="6" xfId="0" applyNumberFormat="1" applyFont="1" applyFill="1" applyBorder="1" applyAlignment="1">
      <alignment horizontal="center"/>
    </xf>
    <xf numFmtId="168" fontId="5" fillId="4" borderId="2" xfId="1" applyNumberFormat="1" applyFont="1" applyFill="1" applyBorder="1"/>
    <xf numFmtId="168" fontId="5" fillId="3" borderId="9" xfId="1" applyNumberFormat="1" applyFont="1" applyFill="1" applyBorder="1"/>
    <xf numFmtId="168" fontId="5" fillId="4" borderId="52" xfId="1" applyNumberFormat="1" applyFont="1" applyFill="1" applyBorder="1"/>
    <xf numFmtId="0" fontId="0" fillId="4" borderId="4" xfId="0" applyFill="1" applyBorder="1"/>
    <xf numFmtId="0" fontId="0" fillId="4" borderId="5" xfId="0" applyFill="1" applyBorder="1"/>
    <xf numFmtId="168" fontId="5" fillId="4" borderId="5" xfId="0" applyNumberFormat="1" applyFont="1" applyFill="1" applyBorder="1"/>
    <xf numFmtId="168" fontId="5" fillId="3" borderId="10" xfId="0" applyNumberFormat="1" applyFont="1" applyFill="1" applyBorder="1"/>
    <xf numFmtId="168" fontId="5" fillId="4" borderId="0" xfId="0" applyNumberFormat="1" applyFont="1" applyFill="1"/>
    <xf numFmtId="0" fontId="5" fillId="4" borderId="4" xfId="0" applyFont="1" applyFill="1" applyBorder="1"/>
    <xf numFmtId="168" fontId="5" fillId="4" borderId="4" xfId="0" applyNumberFormat="1" applyFont="1" applyFill="1" applyBorder="1"/>
    <xf numFmtId="168" fontId="5" fillId="3" borderId="11" xfId="1" applyNumberFormat="1" applyFont="1" applyFill="1" applyBorder="1"/>
    <xf numFmtId="168" fontId="5" fillId="4" borderId="0" xfId="1" applyNumberFormat="1" applyFont="1" applyFill="1" applyBorder="1"/>
    <xf numFmtId="0" fontId="0" fillId="3" borderId="7" xfId="0" applyFill="1" applyBorder="1"/>
    <xf numFmtId="0" fontId="50" fillId="4" borderId="0" xfId="0" applyFont="1" applyFill="1"/>
    <xf numFmtId="0" fontId="5" fillId="4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center"/>
    </xf>
    <xf numFmtId="166" fontId="0" fillId="4" borderId="0" xfId="0" applyNumberFormat="1" applyFill="1"/>
    <xf numFmtId="0" fontId="0" fillId="4" borderId="0" xfId="0" quotePrefix="1" applyFill="1"/>
    <xf numFmtId="168" fontId="0" fillId="3" borderId="7" xfId="0" applyNumberFormat="1" applyFill="1" applyBorder="1"/>
    <xf numFmtId="10" fontId="51" fillId="4" borderId="0" xfId="0" applyNumberFormat="1" applyFont="1" applyFill="1"/>
    <xf numFmtId="10" fontId="22" fillId="4" borderId="0" xfId="0" applyNumberFormat="1" applyFont="1" applyFill="1"/>
    <xf numFmtId="0" fontId="49" fillId="4" borderId="0" xfId="0" quotePrefix="1" applyFont="1" applyFill="1" applyAlignment="1">
      <alignment horizontal="center" shrinkToFit="1"/>
    </xf>
    <xf numFmtId="168" fontId="0" fillId="3" borderId="10" xfId="1" applyNumberFormat="1" applyFont="1" applyFill="1" applyBorder="1"/>
    <xf numFmtId="168" fontId="0" fillId="3" borderId="9" xfId="0" applyNumberFormat="1" applyFill="1" applyBorder="1"/>
    <xf numFmtId="0" fontId="0" fillId="4" borderId="2" xfId="0" applyFill="1" applyBorder="1"/>
    <xf numFmtId="10" fontId="5" fillId="4" borderId="2" xfId="0" applyNumberFormat="1" applyFont="1" applyFill="1" applyBorder="1"/>
    <xf numFmtId="0" fontId="0" fillId="4" borderId="9" xfId="0" applyFill="1" applyBorder="1"/>
    <xf numFmtId="168" fontId="5" fillId="4" borderId="2" xfId="0" applyNumberFormat="1" applyFont="1" applyFill="1" applyBorder="1"/>
    <xf numFmtId="168" fontId="5" fillId="3" borderId="2" xfId="0" applyNumberFormat="1" applyFont="1" applyFill="1" applyBorder="1"/>
    <xf numFmtId="0" fontId="0" fillId="4" borderId="15" xfId="0" applyFill="1" applyBorder="1"/>
    <xf numFmtId="6" fontId="33" fillId="4" borderId="6" xfId="0" applyNumberFormat="1" applyFont="1" applyFill="1" applyBorder="1"/>
    <xf numFmtId="6" fontId="5" fillId="4" borderId="0" xfId="0" applyNumberFormat="1" applyFont="1" applyFill="1"/>
    <xf numFmtId="6" fontId="5" fillId="3" borderId="0" xfId="0" applyNumberFormat="1" applyFont="1" applyFill="1"/>
    <xf numFmtId="44" fontId="33" fillId="2" borderId="6" xfId="3" applyFont="1" applyFill="1" applyBorder="1"/>
    <xf numFmtId="0" fontId="37" fillId="6" borderId="14" xfId="0" applyFont="1" applyFill="1" applyBorder="1" applyAlignment="1">
      <alignment horizontal="left" vertical="center"/>
    </xf>
    <xf numFmtId="0" fontId="37" fillId="6" borderId="16" xfId="0" applyFont="1" applyFill="1" applyBorder="1" applyAlignment="1">
      <alignment horizontal="left" vertical="center"/>
    </xf>
    <xf numFmtId="0" fontId="37" fillId="6" borderId="15" xfId="0" applyFont="1" applyFill="1" applyBorder="1" applyAlignment="1">
      <alignment horizontal="center" vertical="center"/>
    </xf>
    <xf numFmtId="0" fontId="37" fillId="6" borderId="16" xfId="0" applyFont="1" applyFill="1" applyBorder="1" applyAlignment="1">
      <alignment horizontal="center" vertical="center"/>
    </xf>
    <xf numFmtId="0" fontId="5" fillId="4" borderId="26" xfId="0" applyFont="1" applyFill="1" applyBorder="1"/>
    <xf numFmtId="10" fontId="5" fillId="4" borderId="53" xfId="0" applyNumberFormat="1" applyFont="1" applyFill="1" applyBorder="1"/>
    <xf numFmtId="165" fontId="5" fillId="4" borderId="0" xfId="2" applyNumberFormat="1" applyFont="1" applyFill="1" applyBorder="1" applyAlignment="1">
      <alignment horizontal="center"/>
    </xf>
    <xf numFmtId="173" fontId="5" fillId="4" borderId="0" xfId="2" applyNumberFormat="1" applyFont="1" applyFill="1" applyBorder="1" applyAlignment="1">
      <alignment horizontal="center"/>
    </xf>
    <xf numFmtId="10" fontId="5" fillId="4" borderId="0" xfId="2" applyNumberFormat="1" applyFont="1" applyFill="1" applyBorder="1" applyAlignment="1">
      <alignment horizontal="center"/>
    </xf>
    <xf numFmtId="10" fontId="5" fillId="4" borderId="53" xfId="2" applyNumberFormat="1" applyFont="1" applyFill="1" applyBorder="1" applyAlignment="1">
      <alignment horizontal="center"/>
    </xf>
    <xf numFmtId="10" fontId="5" fillId="4" borderId="0" xfId="0" applyNumberFormat="1" applyFont="1" applyFill="1" applyAlignment="1">
      <alignment horizontal="center"/>
    </xf>
    <xf numFmtId="171" fontId="5" fillId="4" borderId="53" xfId="0" applyNumberFormat="1" applyFont="1" applyFill="1" applyBorder="1"/>
    <xf numFmtId="0" fontId="5" fillId="4" borderId="54" xfId="0" applyFont="1" applyFill="1" applyBorder="1"/>
    <xf numFmtId="168" fontId="5" fillId="4" borderId="47" xfId="0" applyNumberFormat="1" applyFont="1" applyFill="1" applyBorder="1"/>
    <xf numFmtId="165" fontId="5" fillId="4" borderId="47" xfId="2" applyNumberFormat="1" applyFont="1" applyFill="1" applyBorder="1" applyAlignment="1">
      <alignment horizontal="center"/>
    </xf>
    <xf numFmtId="173" fontId="5" fillId="4" borderId="47" xfId="2" applyNumberFormat="1" applyFont="1" applyFill="1" applyBorder="1" applyAlignment="1">
      <alignment horizontal="center"/>
    </xf>
    <xf numFmtId="10" fontId="5" fillId="4" borderId="47" xfId="0" applyNumberFormat="1" applyFont="1" applyFill="1" applyBorder="1" applyAlignment="1">
      <alignment horizontal="center"/>
    </xf>
    <xf numFmtId="10" fontId="5" fillId="4" borderId="55" xfId="0" applyNumberFormat="1" applyFont="1" applyFill="1" applyBorder="1" applyAlignment="1">
      <alignment horizontal="center"/>
    </xf>
    <xf numFmtId="10" fontId="5" fillId="4" borderId="6" xfId="2" applyNumberFormat="1" applyFont="1" applyFill="1" applyBorder="1"/>
    <xf numFmtId="6" fontId="5" fillId="0" borderId="0" xfId="0" applyNumberFormat="1" applyFont="1"/>
    <xf numFmtId="0" fontId="0" fillId="0" borderId="0" xfId="0" quotePrefix="1"/>
    <xf numFmtId="0" fontId="52" fillId="6" borderId="14" xfId="0" applyFont="1" applyFill="1" applyBorder="1" applyAlignment="1">
      <alignment horizontal="left" vertical="center"/>
    </xf>
    <xf numFmtId="168" fontId="5" fillId="4" borderId="17" xfId="1" applyNumberFormat="1" applyFont="1" applyFill="1" applyBorder="1"/>
    <xf numFmtId="168" fontId="5" fillId="4" borderId="56" xfId="1" applyNumberFormat="1" applyFont="1" applyFill="1" applyBorder="1"/>
    <xf numFmtId="168" fontId="5" fillId="4" borderId="26" xfId="1" applyNumberFormat="1" applyFont="1" applyFill="1" applyBorder="1"/>
    <xf numFmtId="168" fontId="5" fillId="4" borderId="53" xfId="1" applyNumberFormat="1" applyFont="1" applyFill="1" applyBorder="1"/>
    <xf numFmtId="168" fontId="5" fillId="4" borderId="54" xfId="1" applyNumberFormat="1" applyFont="1" applyFill="1" applyBorder="1"/>
    <xf numFmtId="171" fontId="53" fillId="4" borderId="0" xfId="0" applyNumberFormat="1" applyFont="1" applyFill="1"/>
    <xf numFmtId="10" fontId="53" fillId="4" borderId="0" xfId="0" applyNumberFormat="1" applyFont="1" applyFill="1"/>
    <xf numFmtId="44" fontId="0" fillId="4" borderId="21" xfId="3" applyFont="1" applyFill="1" applyBorder="1" applyAlignment="1">
      <alignment horizontal="center"/>
    </xf>
    <xf numFmtId="0" fontId="0" fillId="4" borderId="0" xfId="0" applyFill="1" applyBorder="1"/>
    <xf numFmtId="14" fontId="5" fillId="6" borderId="31" xfId="0" applyNumberFormat="1" applyFont="1" applyFill="1" applyBorder="1" applyAlignment="1">
      <alignment horizontal="right"/>
    </xf>
    <xf numFmtId="14" fontId="5" fillId="6" borderId="46" xfId="0" applyNumberFormat="1" applyFont="1" applyFill="1" applyBorder="1" applyAlignment="1">
      <alignment horizontal="right"/>
    </xf>
    <xf numFmtId="168" fontId="0" fillId="4" borderId="58" xfId="1" applyNumberFormat="1" applyFont="1" applyFill="1" applyBorder="1"/>
    <xf numFmtId="165" fontId="49" fillId="4" borderId="58" xfId="2" applyNumberFormat="1" applyFont="1" applyFill="1" applyBorder="1"/>
    <xf numFmtId="168" fontId="0" fillId="4" borderId="34" xfId="1" applyNumberFormat="1" applyFont="1" applyFill="1" applyBorder="1"/>
    <xf numFmtId="168" fontId="5" fillId="4" borderId="38" xfId="1" applyNumberFormat="1" applyFont="1" applyFill="1" applyBorder="1"/>
    <xf numFmtId="173" fontId="33" fillId="4" borderId="57" xfId="2" applyNumberFormat="1" applyFont="1" applyFill="1" applyBorder="1"/>
    <xf numFmtId="165" fontId="0" fillId="4" borderId="4" xfId="2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0" xfId="0" applyFont="1"/>
    <xf numFmtId="10" fontId="3" fillId="0" borderId="0" xfId="2" applyNumberFormat="1" applyFont="1" applyFill="1"/>
    <xf numFmtId="168" fontId="5" fillId="0" borderId="4" xfId="0" applyNumberFormat="1" applyFont="1" applyBorder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9" fillId="0" borderId="7" xfId="0" applyFont="1" applyBorder="1"/>
    <xf numFmtId="168" fontId="3" fillId="0" borderId="7" xfId="0" applyNumberFormat="1" applyFont="1" applyBorder="1"/>
    <xf numFmtId="0" fontId="3" fillId="0" borderId="7" xfId="0" applyFont="1" applyBorder="1"/>
    <xf numFmtId="168" fontId="49" fillId="0" borderId="7" xfId="1" applyNumberFormat="1" applyFont="1" applyFill="1" applyBorder="1" applyAlignment="1">
      <alignment horizontal="right" vertical="top"/>
    </xf>
    <xf numFmtId="168" fontId="3" fillId="0" borderId="47" xfId="1" applyNumberFormat="1" applyFont="1" applyFill="1" applyBorder="1"/>
    <xf numFmtId="168" fontId="3" fillId="0" borderId="0" xfId="0" applyNumberFormat="1" applyFont="1"/>
    <xf numFmtId="0" fontId="0" fillId="0" borderId="4" xfId="0" applyBorder="1"/>
    <xf numFmtId="168" fontId="0" fillId="0" borderId="0" xfId="1" applyNumberFormat="1" applyFont="1" applyBorder="1"/>
    <xf numFmtId="168" fontId="0" fillId="0" borderId="27" xfId="1" applyNumberFormat="1" applyFont="1" applyBorder="1"/>
    <xf numFmtId="168" fontId="0" fillId="0" borderId="53" xfId="1" applyNumberFormat="1" applyFont="1" applyBorder="1"/>
    <xf numFmtId="168" fontId="0" fillId="0" borderId="4" xfId="1" applyNumberFormat="1" applyFont="1" applyBorder="1"/>
    <xf numFmtId="168" fontId="0" fillId="0" borderId="21" xfId="1" applyNumberFormat="1" applyFont="1" applyBorder="1"/>
    <xf numFmtId="168" fontId="0" fillId="0" borderId="59" xfId="1" applyNumberFormat="1" applyFont="1" applyBorder="1"/>
    <xf numFmtId="168" fontId="5" fillId="0" borderId="2" xfId="1" applyNumberFormat="1" applyFont="1" applyBorder="1"/>
    <xf numFmtId="168" fontId="5" fillId="0" borderId="60" xfId="1" applyNumberFormat="1" applyFont="1" applyBorder="1"/>
    <xf numFmtId="168" fontId="5" fillId="0" borderId="61" xfId="1" applyNumberFormat="1" applyFont="1" applyBorder="1"/>
    <xf numFmtId="0" fontId="0" fillId="0" borderId="5" xfId="0" applyBorder="1"/>
    <xf numFmtId="168" fontId="5" fillId="0" borderId="5" xfId="0" applyNumberFormat="1" applyFont="1" applyBorder="1"/>
    <xf numFmtId="168" fontId="5" fillId="0" borderId="28" xfId="0" applyNumberFormat="1" applyFont="1" applyBorder="1"/>
    <xf numFmtId="168" fontId="5" fillId="0" borderId="62" xfId="0" applyNumberFormat="1" applyFont="1" applyBorder="1"/>
    <xf numFmtId="0" fontId="5" fillId="0" borderId="4" xfId="0" applyFont="1" applyBorder="1"/>
    <xf numFmtId="168" fontId="5" fillId="0" borderId="21" xfId="1" applyNumberFormat="1" applyFont="1" applyBorder="1"/>
    <xf numFmtId="168" fontId="5" fillId="0" borderId="59" xfId="1" applyNumberFormat="1" applyFont="1" applyBorder="1"/>
    <xf numFmtId="0" fontId="0" fillId="0" borderId="27" xfId="0" applyBorder="1"/>
    <xf numFmtId="0" fontId="50" fillId="0" borderId="0" xfId="0" applyFont="1"/>
    <xf numFmtId="0" fontId="5" fillId="0" borderId="1" xfId="0" applyFont="1" applyBorder="1" applyAlignment="1">
      <alignment horizontal="right"/>
    </xf>
    <xf numFmtId="168" fontId="0" fillId="0" borderId="27" xfId="0" applyNumberFormat="1" applyBorder="1"/>
    <xf numFmtId="168" fontId="0" fillId="0" borderId="28" xfId="1" applyNumberFormat="1" applyFont="1" applyBorder="1"/>
    <xf numFmtId="168" fontId="0" fillId="0" borderId="21" xfId="0" applyNumberFormat="1" applyBorder="1"/>
    <xf numFmtId="164" fontId="33" fillId="0" borderId="0" xfId="0" applyNumberFormat="1" applyFont="1"/>
    <xf numFmtId="1" fontId="39" fillId="0" borderId="0" xfId="0" applyNumberFormat="1" applyFont="1" applyAlignment="1">
      <alignment horizontal="center" vertical="center"/>
    </xf>
    <xf numFmtId="1" fontId="39" fillId="0" borderId="0" xfId="0" applyNumberFormat="1" applyFont="1" applyAlignment="1">
      <alignment vertical="center"/>
    </xf>
    <xf numFmtId="0" fontId="56" fillId="0" borderId="0" xfId="0" applyFont="1"/>
    <xf numFmtId="10" fontId="25" fillId="0" borderId="0" xfId="2" applyNumberFormat="1" applyFont="1" applyFill="1"/>
    <xf numFmtId="10" fontId="57" fillId="0" borderId="7" xfId="0" applyNumberFormat="1" applyFont="1" applyBorder="1"/>
    <xf numFmtId="168" fontId="3" fillId="0" borderId="9" xfId="0" applyNumberFormat="1" applyFont="1" applyBorder="1"/>
    <xf numFmtId="168" fontId="39" fillId="0" borderId="2" xfId="0" applyNumberFormat="1" applyFont="1" applyBorder="1"/>
    <xf numFmtId="173" fontId="3" fillId="0" borderId="0" xfId="0" applyNumberFormat="1" applyFont="1" applyAlignment="1">
      <alignment horizontal="center"/>
    </xf>
    <xf numFmtId="173" fontId="25" fillId="0" borderId="0" xfId="0" applyNumberFormat="1" applyFont="1" applyAlignment="1">
      <alignment horizontal="center"/>
    </xf>
    <xf numFmtId="1" fontId="5" fillId="6" borderId="9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1" fontId="55" fillId="6" borderId="9" xfId="0" quotePrefix="1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right" vertical="center"/>
    </xf>
    <xf numFmtId="0" fontId="0" fillId="0" borderId="0" xfId="0" applyBorder="1"/>
    <xf numFmtId="0" fontId="5" fillId="6" borderId="0" xfId="0" applyFont="1" applyFill="1" applyAlignment="1">
      <alignment horizontal="center"/>
    </xf>
    <xf numFmtId="0" fontId="5" fillId="6" borderId="21" xfId="0" applyFont="1" applyFill="1" applyBorder="1" applyAlignment="1">
      <alignment horizontal="center"/>
    </xf>
    <xf numFmtId="14" fontId="5" fillId="6" borderId="1" xfId="0" applyNumberFormat="1" applyFont="1" applyFill="1" applyBorder="1" applyAlignment="1">
      <alignment horizontal="right"/>
    </xf>
    <xf numFmtId="14" fontId="5" fillId="6" borderId="45" xfId="0" applyNumberFormat="1" applyFont="1" applyFill="1" applyBorder="1" applyAlignment="1">
      <alignment horizontal="right"/>
    </xf>
    <xf numFmtId="168" fontId="3" fillId="0" borderId="0" xfId="2" applyNumberFormat="1" applyFont="1" applyFill="1"/>
    <xf numFmtId="165" fontId="5" fillId="0" borderId="5" xfId="0" applyNumberFormat="1" applyFont="1" applyBorder="1"/>
    <xf numFmtId="0" fontId="5" fillId="0" borderId="0" xfId="0" applyFont="1" applyBorder="1" applyAlignment="1">
      <alignment horizontal="right"/>
    </xf>
    <xf numFmtId="174" fontId="5" fillId="0" borderId="0" xfId="1" applyNumberFormat="1" applyFont="1" applyBorder="1"/>
    <xf numFmtId="6" fontId="5" fillId="0" borderId="0" xfId="0" applyNumberFormat="1" applyFont="1" applyBorder="1"/>
    <xf numFmtId="0" fontId="0" fillId="0" borderId="0" xfId="0" quotePrefix="1" applyBorder="1"/>
    <xf numFmtId="0" fontId="16" fillId="0" borderId="0" xfId="0" applyFont="1" applyBorder="1" applyAlignment="1">
      <alignment horizontal="right"/>
    </xf>
    <xf numFmtId="6" fontId="16" fillId="0" borderId="0" xfId="0" applyNumberFormat="1" applyFont="1" applyBorder="1"/>
    <xf numFmtId="0" fontId="16" fillId="0" borderId="0" xfId="0" applyFont="1" applyBorder="1"/>
    <xf numFmtId="0" fontId="0" fillId="0" borderId="0" xfId="0" applyBorder="1" applyAlignment="1">
      <alignment horizontal="right"/>
    </xf>
    <xf numFmtId="168" fontId="5" fillId="0" borderId="0" xfId="0" applyNumberFormat="1" applyFont="1" applyBorder="1"/>
    <xf numFmtId="0" fontId="0" fillId="0" borderId="0" xfId="0" applyFill="1" applyBorder="1"/>
    <xf numFmtId="173" fontId="5" fillId="0" borderId="6" xfId="2" applyNumberFormat="1" applyFont="1" applyBorder="1"/>
    <xf numFmtId="173" fontId="32" fillId="0" borderId="6" xfId="2" applyNumberFormat="1" applyFont="1" applyBorder="1"/>
    <xf numFmtId="168" fontId="0" fillId="0" borderId="0" xfId="0" applyNumberFormat="1" applyBorder="1"/>
    <xf numFmtId="168" fontId="5" fillId="0" borderId="6" xfId="0" applyNumberFormat="1" applyFont="1" applyBorder="1"/>
    <xf numFmtId="171" fontId="33" fillId="0" borderId="0" xfId="0" applyNumberFormat="1" applyFont="1" applyAlignment="1">
      <alignment horizontal="center"/>
    </xf>
    <xf numFmtId="168" fontId="31" fillId="4" borderId="2" xfId="0" applyNumberFormat="1" applyFont="1" applyFill="1" applyBorder="1"/>
    <xf numFmtId="44" fontId="31" fillId="4" borderId="60" xfId="3" applyFont="1" applyFill="1" applyBorder="1" applyAlignment="1"/>
    <xf numFmtId="165" fontId="0" fillId="4" borderId="2" xfId="2" applyNumberFormat="1" applyFont="1" applyFill="1" applyBorder="1" applyAlignment="1">
      <alignment horizontal="center" vertical="center"/>
    </xf>
    <xf numFmtId="44" fontId="31" fillId="2" borderId="6" xfId="3" applyFont="1" applyFill="1" applyBorder="1" applyAlignment="1">
      <alignment horizontal="center"/>
    </xf>
    <xf numFmtId="168" fontId="0" fillId="0" borderId="28" xfId="0" applyNumberFormat="1" applyBorder="1"/>
    <xf numFmtId="10" fontId="33" fillId="0" borderId="0" xfId="2" applyNumberFormat="1" applyFont="1" applyAlignment="1">
      <alignment horizontal="center"/>
    </xf>
    <xf numFmtId="168" fontId="54" fillId="0" borderId="0" xfId="1" applyNumberFormat="1" applyFont="1" applyBorder="1"/>
    <xf numFmtId="165" fontId="54" fillId="0" borderId="0" xfId="2" applyNumberFormat="1" applyFont="1" applyBorder="1"/>
    <xf numFmtId="168" fontId="3" fillId="0" borderId="0" xfId="1" applyNumberFormat="1" applyFont="1" applyBorder="1"/>
    <xf numFmtId="168" fontId="0" fillId="0" borderId="5" xfId="1" applyNumberFormat="1" applyFont="1" applyBorder="1"/>
    <xf numFmtId="168" fontId="0" fillId="0" borderId="62" xfId="1" applyNumberFormat="1" applyFont="1" applyBorder="1"/>
    <xf numFmtId="173" fontId="32" fillId="0" borderId="0" xfId="2" applyNumberFormat="1" applyFont="1" applyBorder="1"/>
    <xf numFmtId="44" fontId="5" fillId="2" borderId="6" xfId="3" applyFont="1" applyFill="1" applyBorder="1"/>
  </cellXfs>
  <cellStyles count="5">
    <cellStyle name="Comma" xfId="1" builtinId="3"/>
    <cellStyle name="Currency" xfId="3" builtinId="4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461010</xdr:colOff>
      <xdr:row>90</xdr:row>
      <xdr:rowOff>83820</xdr:rowOff>
    </xdr:from>
    <xdr:to>
      <xdr:col>9</xdr:col>
      <xdr:colOff>461010</xdr:colOff>
      <xdr:row>93</xdr:row>
      <xdr:rowOff>110490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08DFE7B1-BFDF-4363-ACAC-7030D8B99D46}"/>
            </a:ext>
          </a:extLst>
        </xdr:cNvPr>
        <xdr:cNvSpPr>
          <a:spLocks noChangeShapeType="1"/>
        </xdr:cNvSpPr>
      </xdr:nvSpPr>
      <xdr:spPr bwMode="auto">
        <a:xfrm flipV="1">
          <a:off x="9801860" y="19679920"/>
          <a:ext cx="0" cy="4965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</xdr:colOff>
      <xdr:row>93</xdr:row>
      <xdr:rowOff>91440</xdr:rowOff>
    </xdr:from>
    <xdr:to>
      <xdr:col>9</xdr:col>
      <xdr:colOff>472440</xdr:colOff>
      <xdr:row>93</xdr:row>
      <xdr:rowOff>91440</xdr:rowOff>
    </xdr:to>
    <xdr:sp macro="" textlink="">
      <xdr:nvSpPr>
        <xdr:cNvPr id="3" name="Line 22">
          <a:extLst>
            <a:ext uri="{FF2B5EF4-FFF2-40B4-BE49-F238E27FC236}">
              <a16:creationId xmlns:a16="http://schemas.microsoft.com/office/drawing/2014/main" id="{8FFB198D-1EFD-4324-A92A-5884D0FF122D}"/>
            </a:ext>
          </a:extLst>
        </xdr:cNvPr>
        <xdr:cNvSpPr>
          <a:spLocks noChangeShapeType="1"/>
        </xdr:cNvSpPr>
      </xdr:nvSpPr>
      <xdr:spPr bwMode="auto">
        <a:xfrm>
          <a:off x="9352280" y="20157440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461010</xdr:colOff>
      <xdr:row>137</xdr:row>
      <xdr:rowOff>83820</xdr:rowOff>
    </xdr:from>
    <xdr:to>
      <xdr:col>9</xdr:col>
      <xdr:colOff>461010</xdr:colOff>
      <xdr:row>140</xdr:row>
      <xdr:rowOff>0</xdr:rowOff>
    </xdr:to>
    <xdr:sp macro="" textlink="">
      <xdr:nvSpPr>
        <xdr:cNvPr id="14" name="Line 21">
          <a:extLst>
            <a:ext uri="{FF2B5EF4-FFF2-40B4-BE49-F238E27FC236}">
              <a16:creationId xmlns:a16="http://schemas.microsoft.com/office/drawing/2014/main" id="{58E61173-7DC2-4DE7-8A24-7CDF32F4E256}"/>
            </a:ext>
          </a:extLst>
        </xdr:cNvPr>
        <xdr:cNvSpPr>
          <a:spLocks noChangeShapeType="1"/>
        </xdr:cNvSpPr>
      </xdr:nvSpPr>
      <xdr:spPr bwMode="auto">
        <a:xfrm flipV="1">
          <a:off x="10309860" y="4871720"/>
          <a:ext cx="0" cy="4965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%20Droussiotis\Dropbox\My%20PC%20(DESKTOP-6V51B9L)\Downloads\hyatt_analysis_financial_analysis_valuation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 Analysis"/>
      <sheetName val="Valuation Analysis"/>
      <sheetName val="Projections"/>
      <sheetName val="Technical Analysis"/>
      <sheetName val="S&amp;P ETF Yahoo"/>
      <sheetName val="Income Stat Yahoo Input"/>
      <sheetName val="Balance Sheet Yahoo Input"/>
      <sheetName val="Cash Flow Yahoo Input"/>
      <sheetName val="Stock Historical Yahoo"/>
      <sheetName val="Sheet1"/>
    </sheetNames>
    <sheetDataSet>
      <sheetData sheetId="0">
        <row r="7">
          <cell r="C7">
            <v>3028000</v>
          </cell>
          <cell r="D7">
            <v>2066000</v>
          </cell>
          <cell r="E7">
            <v>5020000</v>
          </cell>
          <cell r="F7">
            <v>4454000</v>
          </cell>
          <cell r="G7">
            <v>4685000</v>
          </cell>
        </row>
        <row r="8">
          <cell r="C8">
            <v>2603000</v>
          </cell>
          <cell r="D8">
            <v>2067000</v>
          </cell>
          <cell r="E8">
            <v>4077000</v>
          </cell>
          <cell r="F8">
            <v>3475000</v>
          </cell>
          <cell r="G8">
            <v>3638000</v>
          </cell>
        </row>
        <row r="10">
          <cell r="C10">
            <v>676000</v>
          </cell>
          <cell r="D10">
            <v>631000</v>
          </cell>
          <cell r="E10">
            <v>746000</v>
          </cell>
          <cell r="F10">
            <v>647000</v>
          </cell>
          <cell r="G10">
            <v>745000</v>
          </cell>
        </row>
        <row r="12">
          <cell r="C12">
            <v>163000</v>
          </cell>
          <cell r="D12">
            <v>128000</v>
          </cell>
          <cell r="E12">
            <v>75000</v>
          </cell>
          <cell r="F12">
            <v>76000</v>
          </cell>
          <cell r="G12">
            <v>80000</v>
          </cell>
        </row>
        <row r="14">
          <cell r="C14">
            <v>-458000</v>
          </cell>
          <cell r="D14">
            <v>200000</v>
          </cell>
          <cell r="E14">
            <v>-884000</v>
          </cell>
          <cell r="F14">
            <v>-695000</v>
          </cell>
          <cell r="G14">
            <v>-351000</v>
          </cell>
        </row>
        <row r="24">
          <cell r="C24">
            <v>960000</v>
          </cell>
          <cell r="D24">
            <v>1207000</v>
          </cell>
          <cell r="E24">
            <v>893000</v>
          </cell>
          <cell r="F24">
            <v>570000</v>
          </cell>
          <cell r="G24">
            <v>503000</v>
          </cell>
          <cell r="H24">
            <v>482000</v>
          </cell>
        </row>
        <row r="35">
          <cell r="D35">
            <v>980000</v>
          </cell>
          <cell r="E35">
            <v>843000</v>
          </cell>
          <cell r="F35">
            <v>735000</v>
          </cell>
          <cell r="G35">
            <v>211000</v>
          </cell>
          <cell r="H35">
            <v>186000</v>
          </cell>
        </row>
        <row r="40">
          <cell r="D40">
            <v>9129000</v>
          </cell>
          <cell r="E40">
            <v>8417000</v>
          </cell>
          <cell r="F40">
            <v>7643000</v>
          </cell>
          <cell r="G40">
            <v>7672000</v>
          </cell>
          <cell r="H40">
            <v>7749000</v>
          </cell>
        </row>
        <row r="47">
          <cell r="C47">
            <v>10000</v>
          </cell>
          <cell r="D47">
            <v>260000</v>
          </cell>
        </row>
        <row r="51">
          <cell r="C51">
            <v>3968000</v>
          </cell>
          <cell r="D51">
            <v>4224000</v>
          </cell>
        </row>
        <row r="55">
          <cell r="D55">
            <v>5915000</v>
          </cell>
          <cell r="E55">
            <v>4450000</v>
          </cell>
          <cell r="F55">
            <v>3966000</v>
          </cell>
          <cell r="G55">
            <v>4141000</v>
          </cell>
          <cell r="H55">
            <v>3841000</v>
          </cell>
        </row>
      </sheetData>
      <sheetData sheetId="1"/>
      <sheetData sheetId="2">
        <row r="46">
          <cell r="O46">
            <v>3779100</v>
          </cell>
          <cell r="P46">
            <v>3580200</v>
          </cell>
          <cell r="Q46">
            <v>3381300</v>
          </cell>
          <cell r="R46">
            <v>3182400</v>
          </cell>
          <cell r="S46">
            <v>2983500</v>
          </cell>
          <cell r="T46">
            <v>2784600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inance.yahoo.com/quote/FUN?p=FU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DBC5-E6C8-40C2-8C13-3227A2C3EF8C}">
  <sheetPr>
    <tabColor rgb="FFFF0000"/>
  </sheetPr>
  <dimension ref="B1:N169"/>
  <sheetViews>
    <sheetView showGridLines="0" workbookViewId="0">
      <selection activeCell="D86" sqref="D86"/>
    </sheetView>
  </sheetViews>
  <sheetFormatPr defaultColWidth="24.453125" defaultRowHeight="12.5"/>
  <cols>
    <col min="1" max="1" width="3.81640625" style="1" customWidth="1"/>
    <col min="2" max="2" width="31.26953125" style="13" customWidth="1"/>
    <col min="3" max="3" width="11.81640625" style="13" customWidth="1"/>
    <col min="4" max="4" width="9" style="13" bestFit="1" customWidth="1"/>
    <col min="5" max="8" width="9" style="3" bestFit="1" customWidth="1"/>
    <col min="9" max="9" width="9" style="4" bestFit="1" customWidth="1"/>
    <col min="10" max="11" width="9" style="1" bestFit="1" customWidth="1"/>
    <col min="12" max="12" width="9" style="43" bestFit="1" customWidth="1"/>
    <col min="13" max="258" width="24.453125" style="1"/>
    <col min="259" max="259" width="3.81640625" style="1" customWidth="1"/>
    <col min="260" max="260" width="32.26953125" style="1" customWidth="1"/>
    <col min="261" max="264" width="13.90625" style="1" customWidth="1"/>
    <col min="265" max="268" width="7.54296875" style="1" customWidth="1"/>
    <col min="269" max="514" width="24.453125" style="1"/>
    <col min="515" max="515" width="3.81640625" style="1" customWidth="1"/>
    <col min="516" max="516" width="32.26953125" style="1" customWidth="1"/>
    <col min="517" max="520" width="13.90625" style="1" customWidth="1"/>
    <col min="521" max="524" width="7.54296875" style="1" customWidth="1"/>
    <col min="525" max="770" width="24.453125" style="1"/>
    <col min="771" max="771" width="3.81640625" style="1" customWidth="1"/>
    <col min="772" max="772" width="32.26953125" style="1" customWidth="1"/>
    <col min="773" max="776" width="13.90625" style="1" customWidth="1"/>
    <col min="777" max="780" width="7.54296875" style="1" customWidth="1"/>
    <col min="781" max="1026" width="24.453125" style="1"/>
    <col min="1027" max="1027" width="3.81640625" style="1" customWidth="1"/>
    <col min="1028" max="1028" width="32.26953125" style="1" customWidth="1"/>
    <col min="1029" max="1032" width="13.90625" style="1" customWidth="1"/>
    <col min="1033" max="1036" width="7.54296875" style="1" customWidth="1"/>
    <col min="1037" max="1282" width="24.453125" style="1"/>
    <col min="1283" max="1283" width="3.81640625" style="1" customWidth="1"/>
    <col min="1284" max="1284" width="32.26953125" style="1" customWidth="1"/>
    <col min="1285" max="1288" width="13.90625" style="1" customWidth="1"/>
    <col min="1289" max="1292" width="7.54296875" style="1" customWidth="1"/>
    <col min="1293" max="1538" width="24.453125" style="1"/>
    <col min="1539" max="1539" width="3.81640625" style="1" customWidth="1"/>
    <col min="1540" max="1540" width="32.26953125" style="1" customWidth="1"/>
    <col min="1541" max="1544" width="13.90625" style="1" customWidth="1"/>
    <col min="1545" max="1548" width="7.54296875" style="1" customWidth="1"/>
    <col min="1549" max="1794" width="24.453125" style="1"/>
    <col min="1795" max="1795" width="3.81640625" style="1" customWidth="1"/>
    <col min="1796" max="1796" width="32.26953125" style="1" customWidth="1"/>
    <col min="1797" max="1800" width="13.90625" style="1" customWidth="1"/>
    <col min="1801" max="1804" width="7.54296875" style="1" customWidth="1"/>
    <col min="1805" max="2050" width="24.453125" style="1"/>
    <col min="2051" max="2051" width="3.81640625" style="1" customWidth="1"/>
    <col min="2052" max="2052" width="32.26953125" style="1" customWidth="1"/>
    <col min="2053" max="2056" width="13.90625" style="1" customWidth="1"/>
    <col min="2057" max="2060" width="7.54296875" style="1" customWidth="1"/>
    <col min="2061" max="2306" width="24.453125" style="1"/>
    <col min="2307" max="2307" width="3.81640625" style="1" customWidth="1"/>
    <col min="2308" max="2308" width="32.26953125" style="1" customWidth="1"/>
    <col min="2309" max="2312" width="13.90625" style="1" customWidth="1"/>
    <col min="2313" max="2316" width="7.54296875" style="1" customWidth="1"/>
    <col min="2317" max="2562" width="24.453125" style="1"/>
    <col min="2563" max="2563" width="3.81640625" style="1" customWidth="1"/>
    <col min="2564" max="2564" width="32.26953125" style="1" customWidth="1"/>
    <col min="2565" max="2568" width="13.90625" style="1" customWidth="1"/>
    <col min="2569" max="2572" width="7.54296875" style="1" customWidth="1"/>
    <col min="2573" max="2818" width="24.453125" style="1"/>
    <col min="2819" max="2819" width="3.81640625" style="1" customWidth="1"/>
    <col min="2820" max="2820" width="32.26953125" style="1" customWidth="1"/>
    <col min="2821" max="2824" width="13.90625" style="1" customWidth="1"/>
    <col min="2825" max="2828" width="7.54296875" style="1" customWidth="1"/>
    <col min="2829" max="3074" width="24.453125" style="1"/>
    <col min="3075" max="3075" width="3.81640625" style="1" customWidth="1"/>
    <col min="3076" max="3076" width="32.26953125" style="1" customWidth="1"/>
    <col min="3077" max="3080" width="13.90625" style="1" customWidth="1"/>
    <col min="3081" max="3084" width="7.54296875" style="1" customWidth="1"/>
    <col min="3085" max="3330" width="24.453125" style="1"/>
    <col min="3331" max="3331" width="3.81640625" style="1" customWidth="1"/>
    <col min="3332" max="3332" width="32.26953125" style="1" customWidth="1"/>
    <col min="3333" max="3336" width="13.90625" style="1" customWidth="1"/>
    <col min="3337" max="3340" width="7.54296875" style="1" customWidth="1"/>
    <col min="3341" max="3586" width="24.453125" style="1"/>
    <col min="3587" max="3587" width="3.81640625" style="1" customWidth="1"/>
    <col min="3588" max="3588" width="32.26953125" style="1" customWidth="1"/>
    <col min="3589" max="3592" width="13.90625" style="1" customWidth="1"/>
    <col min="3593" max="3596" width="7.54296875" style="1" customWidth="1"/>
    <col min="3597" max="3842" width="24.453125" style="1"/>
    <col min="3843" max="3843" width="3.81640625" style="1" customWidth="1"/>
    <col min="3844" max="3844" width="32.26953125" style="1" customWidth="1"/>
    <col min="3845" max="3848" width="13.90625" style="1" customWidth="1"/>
    <col min="3849" max="3852" width="7.54296875" style="1" customWidth="1"/>
    <col min="3853" max="4098" width="24.453125" style="1"/>
    <col min="4099" max="4099" width="3.81640625" style="1" customWidth="1"/>
    <col min="4100" max="4100" width="32.26953125" style="1" customWidth="1"/>
    <col min="4101" max="4104" width="13.90625" style="1" customWidth="1"/>
    <col min="4105" max="4108" width="7.54296875" style="1" customWidth="1"/>
    <col min="4109" max="4354" width="24.453125" style="1"/>
    <col min="4355" max="4355" width="3.81640625" style="1" customWidth="1"/>
    <col min="4356" max="4356" width="32.26953125" style="1" customWidth="1"/>
    <col min="4357" max="4360" width="13.90625" style="1" customWidth="1"/>
    <col min="4361" max="4364" width="7.54296875" style="1" customWidth="1"/>
    <col min="4365" max="4610" width="24.453125" style="1"/>
    <col min="4611" max="4611" width="3.81640625" style="1" customWidth="1"/>
    <col min="4612" max="4612" width="32.26953125" style="1" customWidth="1"/>
    <col min="4613" max="4616" width="13.90625" style="1" customWidth="1"/>
    <col min="4617" max="4620" width="7.54296875" style="1" customWidth="1"/>
    <col min="4621" max="4866" width="24.453125" style="1"/>
    <col min="4867" max="4867" width="3.81640625" style="1" customWidth="1"/>
    <col min="4868" max="4868" width="32.26953125" style="1" customWidth="1"/>
    <col min="4869" max="4872" width="13.90625" style="1" customWidth="1"/>
    <col min="4873" max="4876" width="7.54296875" style="1" customWidth="1"/>
    <col min="4877" max="5122" width="24.453125" style="1"/>
    <col min="5123" max="5123" width="3.81640625" style="1" customWidth="1"/>
    <col min="5124" max="5124" width="32.26953125" style="1" customWidth="1"/>
    <col min="5125" max="5128" width="13.90625" style="1" customWidth="1"/>
    <col min="5129" max="5132" width="7.54296875" style="1" customWidth="1"/>
    <col min="5133" max="5378" width="24.453125" style="1"/>
    <col min="5379" max="5379" width="3.81640625" style="1" customWidth="1"/>
    <col min="5380" max="5380" width="32.26953125" style="1" customWidth="1"/>
    <col min="5381" max="5384" width="13.90625" style="1" customWidth="1"/>
    <col min="5385" max="5388" width="7.54296875" style="1" customWidth="1"/>
    <col min="5389" max="5634" width="24.453125" style="1"/>
    <col min="5635" max="5635" width="3.81640625" style="1" customWidth="1"/>
    <col min="5636" max="5636" width="32.26953125" style="1" customWidth="1"/>
    <col min="5637" max="5640" width="13.90625" style="1" customWidth="1"/>
    <col min="5641" max="5644" width="7.54296875" style="1" customWidth="1"/>
    <col min="5645" max="5890" width="24.453125" style="1"/>
    <col min="5891" max="5891" width="3.81640625" style="1" customWidth="1"/>
    <col min="5892" max="5892" width="32.26953125" style="1" customWidth="1"/>
    <col min="5893" max="5896" width="13.90625" style="1" customWidth="1"/>
    <col min="5897" max="5900" width="7.54296875" style="1" customWidth="1"/>
    <col min="5901" max="6146" width="24.453125" style="1"/>
    <col min="6147" max="6147" width="3.81640625" style="1" customWidth="1"/>
    <col min="6148" max="6148" width="32.26953125" style="1" customWidth="1"/>
    <col min="6149" max="6152" width="13.90625" style="1" customWidth="1"/>
    <col min="6153" max="6156" width="7.54296875" style="1" customWidth="1"/>
    <col min="6157" max="6402" width="24.453125" style="1"/>
    <col min="6403" max="6403" width="3.81640625" style="1" customWidth="1"/>
    <col min="6404" max="6404" width="32.26953125" style="1" customWidth="1"/>
    <col min="6405" max="6408" width="13.90625" style="1" customWidth="1"/>
    <col min="6409" max="6412" width="7.54296875" style="1" customWidth="1"/>
    <col min="6413" max="6658" width="24.453125" style="1"/>
    <col min="6659" max="6659" width="3.81640625" style="1" customWidth="1"/>
    <col min="6660" max="6660" width="32.26953125" style="1" customWidth="1"/>
    <col min="6661" max="6664" width="13.90625" style="1" customWidth="1"/>
    <col min="6665" max="6668" width="7.54296875" style="1" customWidth="1"/>
    <col min="6669" max="6914" width="24.453125" style="1"/>
    <col min="6915" max="6915" width="3.81640625" style="1" customWidth="1"/>
    <col min="6916" max="6916" width="32.26953125" style="1" customWidth="1"/>
    <col min="6917" max="6920" width="13.90625" style="1" customWidth="1"/>
    <col min="6921" max="6924" width="7.54296875" style="1" customWidth="1"/>
    <col min="6925" max="7170" width="24.453125" style="1"/>
    <col min="7171" max="7171" width="3.81640625" style="1" customWidth="1"/>
    <col min="7172" max="7172" width="32.26953125" style="1" customWidth="1"/>
    <col min="7173" max="7176" width="13.90625" style="1" customWidth="1"/>
    <col min="7177" max="7180" width="7.54296875" style="1" customWidth="1"/>
    <col min="7181" max="7426" width="24.453125" style="1"/>
    <col min="7427" max="7427" width="3.81640625" style="1" customWidth="1"/>
    <col min="7428" max="7428" width="32.26953125" style="1" customWidth="1"/>
    <col min="7429" max="7432" width="13.90625" style="1" customWidth="1"/>
    <col min="7433" max="7436" width="7.54296875" style="1" customWidth="1"/>
    <col min="7437" max="7682" width="24.453125" style="1"/>
    <col min="7683" max="7683" width="3.81640625" style="1" customWidth="1"/>
    <col min="7684" max="7684" width="32.26953125" style="1" customWidth="1"/>
    <col min="7685" max="7688" width="13.90625" style="1" customWidth="1"/>
    <col min="7689" max="7692" width="7.54296875" style="1" customWidth="1"/>
    <col min="7693" max="7938" width="24.453125" style="1"/>
    <col min="7939" max="7939" width="3.81640625" style="1" customWidth="1"/>
    <col min="7940" max="7940" width="32.26953125" style="1" customWidth="1"/>
    <col min="7941" max="7944" width="13.90625" style="1" customWidth="1"/>
    <col min="7945" max="7948" width="7.54296875" style="1" customWidth="1"/>
    <col min="7949" max="8194" width="24.453125" style="1"/>
    <col min="8195" max="8195" width="3.81640625" style="1" customWidth="1"/>
    <col min="8196" max="8196" width="32.26953125" style="1" customWidth="1"/>
    <col min="8197" max="8200" width="13.90625" style="1" customWidth="1"/>
    <col min="8201" max="8204" width="7.54296875" style="1" customWidth="1"/>
    <col min="8205" max="8450" width="24.453125" style="1"/>
    <col min="8451" max="8451" width="3.81640625" style="1" customWidth="1"/>
    <col min="8452" max="8452" width="32.26953125" style="1" customWidth="1"/>
    <col min="8453" max="8456" width="13.90625" style="1" customWidth="1"/>
    <col min="8457" max="8460" width="7.54296875" style="1" customWidth="1"/>
    <col min="8461" max="8706" width="24.453125" style="1"/>
    <col min="8707" max="8707" width="3.81640625" style="1" customWidth="1"/>
    <col min="8708" max="8708" width="32.26953125" style="1" customWidth="1"/>
    <col min="8709" max="8712" width="13.90625" style="1" customWidth="1"/>
    <col min="8713" max="8716" width="7.54296875" style="1" customWidth="1"/>
    <col min="8717" max="8962" width="24.453125" style="1"/>
    <col min="8963" max="8963" width="3.81640625" style="1" customWidth="1"/>
    <col min="8964" max="8964" width="32.26953125" style="1" customWidth="1"/>
    <col min="8965" max="8968" width="13.90625" style="1" customWidth="1"/>
    <col min="8969" max="8972" width="7.54296875" style="1" customWidth="1"/>
    <col min="8973" max="9218" width="24.453125" style="1"/>
    <col min="9219" max="9219" width="3.81640625" style="1" customWidth="1"/>
    <col min="9220" max="9220" width="32.26953125" style="1" customWidth="1"/>
    <col min="9221" max="9224" width="13.90625" style="1" customWidth="1"/>
    <col min="9225" max="9228" width="7.54296875" style="1" customWidth="1"/>
    <col min="9229" max="9474" width="24.453125" style="1"/>
    <col min="9475" max="9475" width="3.81640625" style="1" customWidth="1"/>
    <col min="9476" max="9476" width="32.26953125" style="1" customWidth="1"/>
    <col min="9477" max="9480" width="13.90625" style="1" customWidth="1"/>
    <col min="9481" max="9484" width="7.54296875" style="1" customWidth="1"/>
    <col min="9485" max="9730" width="24.453125" style="1"/>
    <col min="9731" max="9731" width="3.81640625" style="1" customWidth="1"/>
    <col min="9732" max="9732" width="32.26953125" style="1" customWidth="1"/>
    <col min="9733" max="9736" width="13.90625" style="1" customWidth="1"/>
    <col min="9737" max="9740" width="7.54296875" style="1" customWidth="1"/>
    <col min="9741" max="9986" width="24.453125" style="1"/>
    <col min="9987" max="9987" width="3.81640625" style="1" customWidth="1"/>
    <col min="9988" max="9988" width="32.26953125" style="1" customWidth="1"/>
    <col min="9989" max="9992" width="13.90625" style="1" customWidth="1"/>
    <col min="9993" max="9996" width="7.54296875" style="1" customWidth="1"/>
    <col min="9997" max="10242" width="24.453125" style="1"/>
    <col min="10243" max="10243" width="3.81640625" style="1" customWidth="1"/>
    <col min="10244" max="10244" width="32.26953125" style="1" customWidth="1"/>
    <col min="10245" max="10248" width="13.90625" style="1" customWidth="1"/>
    <col min="10249" max="10252" width="7.54296875" style="1" customWidth="1"/>
    <col min="10253" max="10498" width="24.453125" style="1"/>
    <col min="10499" max="10499" width="3.81640625" style="1" customWidth="1"/>
    <col min="10500" max="10500" width="32.26953125" style="1" customWidth="1"/>
    <col min="10501" max="10504" width="13.90625" style="1" customWidth="1"/>
    <col min="10505" max="10508" width="7.54296875" style="1" customWidth="1"/>
    <col min="10509" max="10754" width="24.453125" style="1"/>
    <col min="10755" max="10755" width="3.81640625" style="1" customWidth="1"/>
    <col min="10756" max="10756" width="32.26953125" style="1" customWidth="1"/>
    <col min="10757" max="10760" width="13.90625" style="1" customWidth="1"/>
    <col min="10761" max="10764" width="7.54296875" style="1" customWidth="1"/>
    <col min="10765" max="11010" width="24.453125" style="1"/>
    <col min="11011" max="11011" width="3.81640625" style="1" customWidth="1"/>
    <col min="11012" max="11012" width="32.26953125" style="1" customWidth="1"/>
    <col min="11013" max="11016" width="13.90625" style="1" customWidth="1"/>
    <col min="11017" max="11020" width="7.54296875" style="1" customWidth="1"/>
    <col min="11021" max="11266" width="24.453125" style="1"/>
    <col min="11267" max="11267" width="3.81640625" style="1" customWidth="1"/>
    <col min="11268" max="11268" width="32.26953125" style="1" customWidth="1"/>
    <col min="11269" max="11272" width="13.90625" style="1" customWidth="1"/>
    <col min="11273" max="11276" width="7.54296875" style="1" customWidth="1"/>
    <col min="11277" max="11522" width="24.453125" style="1"/>
    <col min="11523" max="11523" width="3.81640625" style="1" customWidth="1"/>
    <col min="11524" max="11524" width="32.26953125" style="1" customWidth="1"/>
    <col min="11525" max="11528" width="13.90625" style="1" customWidth="1"/>
    <col min="11529" max="11532" width="7.54296875" style="1" customWidth="1"/>
    <col min="11533" max="11778" width="24.453125" style="1"/>
    <col min="11779" max="11779" width="3.81640625" style="1" customWidth="1"/>
    <col min="11780" max="11780" width="32.26953125" style="1" customWidth="1"/>
    <col min="11781" max="11784" width="13.90625" style="1" customWidth="1"/>
    <col min="11785" max="11788" width="7.54296875" style="1" customWidth="1"/>
    <col min="11789" max="12034" width="24.453125" style="1"/>
    <col min="12035" max="12035" width="3.81640625" style="1" customWidth="1"/>
    <col min="12036" max="12036" width="32.26953125" style="1" customWidth="1"/>
    <col min="12037" max="12040" width="13.90625" style="1" customWidth="1"/>
    <col min="12041" max="12044" width="7.54296875" style="1" customWidth="1"/>
    <col min="12045" max="12290" width="24.453125" style="1"/>
    <col min="12291" max="12291" width="3.81640625" style="1" customWidth="1"/>
    <col min="12292" max="12292" width="32.26953125" style="1" customWidth="1"/>
    <col min="12293" max="12296" width="13.90625" style="1" customWidth="1"/>
    <col min="12297" max="12300" width="7.54296875" style="1" customWidth="1"/>
    <col min="12301" max="12546" width="24.453125" style="1"/>
    <col min="12547" max="12547" width="3.81640625" style="1" customWidth="1"/>
    <col min="12548" max="12548" width="32.26953125" style="1" customWidth="1"/>
    <col min="12549" max="12552" width="13.90625" style="1" customWidth="1"/>
    <col min="12553" max="12556" width="7.54296875" style="1" customWidth="1"/>
    <col min="12557" max="12802" width="24.453125" style="1"/>
    <col min="12803" max="12803" width="3.81640625" style="1" customWidth="1"/>
    <col min="12804" max="12804" width="32.26953125" style="1" customWidth="1"/>
    <col min="12805" max="12808" width="13.90625" style="1" customWidth="1"/>
    <col min="12809" max="12812" width="7.54296875" style="1" customWidth="1"/>
    <col min="12813" max="13058" width="24.453125" style="1"/>
    <col min="13059" max="13059" width="3.81640625" style="1" customWidth="1"/>
    <col min="13060" max="13060" width="32.26953125" style="1" customWidth="1"/>
    <col min="13061" max="13064" width="13.90625" style="1" customWidth="1"/>
    <col min="13065" max="13068" width="7.54296875" style="1" customWidth="1"/>
    <col min="13069" max="13314" width="24.453125" style="1"/>
    <col min="13315" max="13315" width="3.81640625" style="1" customWidth="1"/>
    <col min="13316" max="13316" width="32.26953125" style="1" customWidth="1"/>
    <col min="13317" max="13320" width="13.90625" style="1" customWidth="1"/>
    <col min="13321" max="13324" width="7.54296875" style="1" customWidth="1"/>
    <col min="13325" max="13570" width="24.453125" style="1"/>
    <col min="13571" max="13571" width="3.81640625" style="1" customWidth="1"/>
    <col min="13572" max="13572" width="32.26953125" style="1" customWidth="1"/>
    <col min="13573" max="13576" width="13.90625" style="1" customWidth="1"/>
    <col min="13577" max="13580" width="7.54296875" style="1" customWidth="1"/>
    <col min="13581" max="13826" width="24.453125" style="1"/>
    <col min="13827" max="13827" width="3.81640625" style="1" customWidth="1"/>
    <col min="13828" max="13828" width="32.26953125" style="1" customWidth="1"/>
    <col min="13829" max="13832" width="13.90625" style="1" customWidth="1"/>
    <col min="13833" max="13836" width="7.54296875" style="1" customWidth="1"/>
    <col min="13837" max="14082" width="24.453125" style="1"/>
    <col min="14083" max="14083" width="3.81640625" style="1" customWidth="1"/>
    <col min="14084" max="14084" width="32.26953125" style="1" customWidth="1"/>
    <col min="14085" max="14088" width="13.90625" style="1" customWidth="1"/>
    <col min="14089" max="14092" width="7.54296875" style="1" customWidth="1"/>
    <col min="14093" max="14338" width="24.453125" style="1"/>
    <col min="14339" max="14339" width="3.81640625" style="1" customWidth="1"/>
    <col min="14340" max="14340" width="32.26953125" style="1" customWidth="1"/>
    <col min="14341" max="14344" width="13.90625" style="1" customWidth="1"/>
    <col min="14345" max="14348" width="7.54296875" style="1" customWidth="1"/>
    <col min="14349" max="14594" width="24.453125" style="1"/>
    <col min="14595" max="14595" width="3.81640625" style="1" customWidth="1"/>
    <col min="14596" max="14596" width="32.26953125" style="1" customWidth="1"/>
    <col min="14597" max="14600" width="13.90625" style="1" customWidth="1"/>
    <col min="14601" max="14604" width="7.54296875" style="1" customWidth="1"/>
    <col min="14605" max="14850" width="24.453125" style="1"/>
    <col min="14851" max="14851" width="3.81640625" style="1" customWidth="1"/>
    <col min="14852" max="14852" width="32.26953125" style="1" customWidth="1"/>
    <col min="14853" max="14856" width="13.90625" style="1" customWidth="1"/>
    <col min="14857" max="14860" width="7.54296875" style="1" customWidth="1"/>
    <col min="14861" max="15106" width="24.453125" style="1"/>
    <col min="15107" max="15107" width="3.81640625" style="1" customWidth="1"/>
    <col min="15108" max="15108" width="32.26953125" style="1" customWidth="1"/>
    <col min="15109" max="15112" width="13.90625" style="1" customWidth="1"/>
    <col min="15113" max="15116" width="7.54296875" style="1" customWidth="1"/>
    <col min="15117" max="15362" width="24.453125" style="1"/>
    <col min="15363" max="15363" width="3.81640625" style="1" customWidth="1"/>
    <col min="15364" max="15364" width="32.26953125" style="1" customWidth="1"/>
    <col min="15365" max="15368" width="13.90625" style="1" customWidth="1"/>
    <col min="15369" max="15372" width="7.54296875" style="1" customWidth="1"/>
    <col min="15373" max="15618" width="24.453125" style="1"/>
    <col min="15619" max="15619" width="3.81640625" style="1" customWidth="1"/>
    <col min="15620" max="15620" width="32.26953125" style="1" customWidth="1"/>
    <col min="15621" max="15624" width="13.90625" style="1" customWidth="1"/>
    <col min="15625" max="15628" width="7.54296875" style="1" customWidth="1"/>
    <col min="15629" max="15874" width="24.453125" style="1"/>
    <col min="15875" max="15875" width="3.81640625" style="1" customWidth="1"/>
    <col min="15876" max="15876" width="32.26953125" style="1" customWidth="1"/>
    <col min="15877" max="15880" width="13.90625" style="1" customWidth="1"/>
    <col min="15881" max="15884" width="7.54296875" style="1" customWidth="1"/>
    <col min="15885" max="16130" width="24.453125" style="1"/>
    <col min="16131" max="16131" width="3.81640625" style="1" customWidth="1"/>
    <col min="16132" max="16132" width="32.26953125" style="1" customWidth="1"/>
    <col min="16133" max="16136" width="13.90625" style="1" customWidth="1"/>
    <col min="16137" max="16140" width="7.54296875" style="1" customWidth="1"/>
    <col min="16141" max="16384" width="24.453125" style="1"/>
  </cols>
  <sheetData>
    <row r="1" spans="2:12" ht="19.399999999999999" customHeight="1">
      <c r="B1" s="2" t="s">
        <v>301</v>
      </c>
      <c r="C1" s="2"/>
      <c r="D1" s="2"/>
    </row>
    <row r="2" spans="2:12" ht="10.75" customHeight="1">
      <c r="B2" s="39" t="s">
        <v>83</v>
      </c>
      <c r="C2" s="39"/>
      <c r="D2" s="2"/>
    </row>
    <row r="3" spans="2:12" ht="10.75" customHeight="1">
      <c r="B3" s="39"/>
      <c r="C3" s="39"/>
      <c r="D3" s="2"/>
    </row>
    <row r="4" spans="2:12" ht="19.75" customHeight="1">
      <c r="B4" s="79" t="s">
        <v>74</v>
      </c>
      <c r="C4" s="116"/>
      <c r="D4" s="79"/>
      <c r="E4" s="80"/>
      <c r="F4" s="80"/>
      <c r="G4" s="80"/>
      <c r="H4" s="80"/>
      <c r="I4" s="81"/>
      <c r="J4" s="82"/>
      <c r="K4" s="82"/>
      <c r="L4" s="83"/>
    </row>
    <row r="5" spans="2:12" ht="19.75" customHeight="1">
      <c r="B5" s="74"/>
      <c r="C5" s="75" t="s">
        <v>82</v>
      </c>
      <c r="D5" s="75" t="s">
        <v>82</v>
      </c>
      <c r="E5" s="75" t="s">
        <v>82</v>
      </c>
      <c r="F5" s="75" t="s">
        <v>82</v>
      </c>
      <c r="G5" s="75" t="s">
        <v>82</v>
      </c>
      <c r="H5" s="75" t="s">
        <v>82</v>
      </c>
      <c r="I5" s="75" t="s">
        <v>82</v>
      </c>
      <c r="J5" s="75" t="s">
        <v>82</v>
      </c>
      <c r="K5" s="75" t="s">
        <v>82</v>
      </c>
      <c r="L5" s="75" t="s">
        <v>82</v>
      </c>
    </row>
    <row r="6" spans="2:12" s="6" customFormat="1" ht="15" customHeight="1" thickBot="1">
      <c r="B6" s="76" t="s">
        <v>0</v>
      </c>
      <c r="C6" s="77">
        <v>2021</v>
      </c>
      <c r="D6" s="77">
        <v>2020</v>
      </c>
      <c r="E6" s="77">
        <v>2019</v>
      </c>
      <c r="F6" s="77">
        <v>2018</v>
      </c>
      <c r="G6" s="77">
        <v>2017</v>
      </c>
      <c r="H6" s="77">
        <v>2016</v>
      </c>
      <c r="I6" s="77">
        <v>2015</v>
      </c>
      <c r="J6" s="77">
        <v>2014</v>
      </c>
      <c r="K6" s="77">
        <v>2013</v>
      </c>
      <c r="L6" s="77">
        <v>2012</v>
      </c>
    </row>
    <row r="7" spans="2:12" ht="11.5" customHeight="1">
      <c r="B7" s="7" t="s">
        <v>1</v>
      </c>
      <c r="C7" s="120">
        <f>'Income Stat Yahoo Input'!B2/1000</f>
        <v>1338219</v>
      </c>
      <c r="D7" s="120">
        <f>'Income Stat Yahoo Input'!C2/1000</f>
        <v>181555</v>
      </c>
      <c r="E7" s="120">
        <f>'Income Stat Yahoo Input'!D2/1000</f>
        <v>1474925</v>
      </c>
      <c r="F7" s="120">
        <f>'Income Stat Yahoo Input'!E2/1000</f>
        <v>1348530</v>
      </c>
      <c r="G7" s="120">
        <f>'Income Stat Yahoo Input'!F2/1000</f>
        <v>1321967</v>
      </c>
      <c r="H7" s="120">
        <f>'Income Stat Yahoo Input'!G2/1000</f>
        <v>1288721</v>
      </c>
      <c r="I7" s="120">
        <f>'Income Stat Yahoo Input'!H2/1000</f>
        <v>1235778</v>
      </c>
      <c r="J7" s="120">
        <f>'Income Stat Yahoo Input'!I2/1000</f>
        <v>1159605</v>
      </c>
      <c r="K7" s="120">
        <f>'Income Stat Yahoo Input'!J2/1000</f>
        <v>1134572</v>
      </c>
      <c r="L7" s="120">
        <f>'Income Stat Yahoo Input'!K2/1000</f>
        <v>1068454</v>
      </c>
    </row>
    <row r="8" spans="2:12" ht="11.5" customHeight="1">
      <c r="B8" s="8" t="s">
        <v>2</v>
      </c>
      <c r="C8" s="121">
        <f>'Income Stat Yahoo Input'!B4/1000</f>
        <v>112466</v>
      </c>
      <c r="D8" s="121">
        <f>'Income Stat Yahoo Input'!C4/1000</f>
        <v>27991</v>
      </c>
      <c r="E8" s="121">
        <f>'Income Stat Yahoo Input'!D4/1000</f>
        <v>126264</v>
      </c>
      <c r="F8" s="121">
        <f>'Income Stat Yahoo Input'!E4/1000</f>
        <v>114733</v>
      </c>
      <c r="G8" s="121">
        <f>'Income Stat Yahoo Input'!F4/1000</f>
        <v>110811</v>
      </c>
      <c r="H8" s="121">
        <f>'Income Stat Yahoo Input'!G4/1000</f>
        <v>106608</v>
      </c>
      <c r="I8" s="121">
        <f>'Income Stat Yahoo Input'!H4/1000</f>
        <v>104827</v>
      </c>
      <c r="J8" s="121">
        <f>'Income Stat Yahoo Input'!I4/1000</f>
        <v>95208</v>
      </c>
      <c r="K8" s="121">
        <f>'Income Stat Yahoo Input'!J4/1000</f>
        <v>91772</v>
      </c>
      <c r="L8" s="121">
        <f>'Income Stat Yahoo Input'!K4/1000</f>
        <v>95048</v>
      </c>
    </row>
    <row r="9" spans="2:12" ht="11.5" customHeight="1" thickBot="1">
      <c r="B9" s="8" t="s">
        <v>3</v>
      </c>
      <c r="C9" s="122">
        <f>+C7-C8</f>
        <v>1225753</v>
      </c>
      <c r="D9" s="122">
        <f>+D7-D8</f>
        <v>153564</v>
      </c>
      <c r="E9" s="122">
        <f t="shared" ref="E9:L9" si="0">+E7-E8</f>
        <v>1348661</v>
      </c>
      <c r="F9" s="122">
        <f t="shared" si="0"/>
        <v>1233797</v>
      </c>
      <c r="G9" s="122">
        <f t="shared" si="0"/>
        <v>1211156</v>
      </c>
      <c r="H9" s="122">
        <f t="shared" si="0"/>
        <v>1182113</v>
      </c>
      <c r="I9" s="122">
        <f t="shared" si="0"/>
        <v>1130951</v>
      </c>
      <c r="J9" s="122">
        <f t="shared" si="0"/>
        <v>1064397</v>
      </c>
      <c r="K9" s="122">
        <f t="shared" si="0"/>
        <v>1042800</v>
      </c>
      <c r="L9" s="122">
        <f t="shared" si="0"/>
        <v>973406</v>
      </c>
    </row>
    <row r="10" spans="2:12" ht="11.5" customHeight="1" thickTop="1">
      <c r="B10" s="7" t="s">
        <v>4</v>
      </c>
      <c r="C10" s="123">
        <f>'Income Stat Yahoo Input'!B6/1000</f>
        <v>1066803</v>
      </c>
      <c r="D10" s="123">
        <f>'Income Stat Yahoo Input'!C6/1000</f>
        <v>613449</v>
      </c>
      <c r="E10" s="123">
        <f>'Income Stat Yahoo Input'!D6/1000</f>
        <v>1034908</v>
      </c>
      <c r="F10" s="123">
        <f>'Income Stat Yahoo Input'!E6/1000</f>
        <v>933212</v>
      </c>
      <c r="G10" s="123">
        <f>'Income Stat Yahoo Input'!F6/1000</f>
        <v>905094</v>
      </c>
      <c r="H10" s="123">
        <f>'Income Stat Yahoo Input'!G6/1000</f>
        <v>852587</v>
      </c>
      <c r="I10" s="123">
        <f>'Income Stat Yahoo Input'!H6/1000</f>
        <v>814747</v>
      </c>
      <c r="J10" s="123">
        <f>'Income Stat Yahoo Input'!I6/1000</f>
        <v>777229</v>
      </c>
      <c r="K10" s="123">
        <f>'Income Stat Yahoo Input'!J6/1000</f>
        <v>747243</v>
      </c>
      <c r="L10" s="123">
        <f>'Income Stat Yahoo Input'!K6/1000</f>
        <v>717053</v>
      </c>
    </row>
    <row r="11" spans="2:12" ht="11.5" customHeight="1">
      <c r="B11" s="7" t="s">
        <v>5</v>
      </c>
      <c r="C11" s="121">
        <f>+C9-C10</f>
        <v>158950</v>
      </c>
      <c r="D11" s="121">
        <f>+D9-D10</f>
        <v>-459885</v>
      </c>
      <c r="E11" s="121">
        <f t="shared" ref="E11:L11" si="1">+E9-E10</f>
        <v>313753</v>
      </c>
      <c r="F11" s="121">
        <f t="shared" si="1"/>
        <v>300585</v>
      </c>
      <c r="G11" s="121">
        <f t="shared" si="1"/>
        <v>306062</v>
      </c>
      <c r="H11" s="121">
        <f t="shared" si="1"/>
        <v>329526</v>
      </c>
      <c r="I11" s="121">
        <f t="shared" si="1"/>
        <v>316204</v>
      </c>
      <c r="J11" s="121">
        <f t="shared" si="1"/>
        <v>287168</v>
      </c>
      <c r="K11" s="121">
        <f t="shared" si="1"/>
        <v>295557</v>
      </c>
      <c r="L11" s="121">
        <f t="shared" si="1"/>
        <v>256353</v>
      </c>
    </row>
    <row r="12" spans="2:12" ht="11.5" customHeight="1">
      <c r="B12" s="8" t="s">
        <v>6</v>
      </c>
      <c r="C12" s="11">
        <f>'Income Stat Yahoo Input'!B14/1000</f>
        <v>184032</v>
      </c>
      <c r="D12" s="11">
        <f>'Income Stat Yahoo Input'!C14/1000</f>
        <v>150669</v>
      </c>
      <c r="E12" s="11">
        <f>'Income Stat Yahoo Input'!D14/1000</f>
        <v>100364</v>
      </c>
      <c r="F12" s="11">
        <f>'Income Stat Yahoo Input'!E14/1000</f>
        <v>85687</v>
      </c>
      <c r="G12" s="11">
        <f>'Income Stat Yahoo Input'!F14/1000</f>
        <v>85603</v>
      </c>
      <c r="H12" s="11">
        <f>'Income Stat Yahoo Input'!G14/1000</f>
        <v>83863</v>
      </c>
      <c r="I12" s="11">
        <f>'Income Stat Yahoo Input'!H14/1000</f>
        <v>86849</v>
      </c>
      <c r="J12" s="11">
        <f>'Income Stat Yahoo Input'!I14/1000</f>
        <v>96286</v>
      </c>
      <c r="K12" s="11">
        <f>'Income Stat Yahoo Input'!J14/1000</f>
        <v>103071</v>
      </c>
      <c r="L12" s="11">
        <f>'Income Stat Yahoo Input'!K14/1000</f>
        <v>110619</v>
      </c>
    </row>
    <row r="13" spans="2:12" ht="11.5" customHeight="1">
      <c r="B13" s="8" t="s">
        <v>7</v>
      </c>
      <c r="C13" s="9">
        <f>+C11-C12</f>
        <v>-25082</v>
      </c>
      <c r="D13" s="9">
        <f>+D11-D12</f>
        <v>-610554</v>
      </c>
      <c r="E13" s="9">
        <f t="shared" ref="E13:L13" si="2">+E11-E12</f>
        <v>213389</v>
      </c>
      <c r="F13" s="9">
        <f t="shared" si="2"/>
        <v>214898</v>
      </c>
      <c r="G13" s="9">
        <f t="shared" si="2"/>
        <v>220459</v>
      </c>
      <c r="H13" s="9">
        <f t="shared" si="2"/>
        <v>245663</v>
      </c>
      <c r="I13" s="9">
        <f t="shared" si="2"/>
        <v>229355</v>
      </c>
      <c r="J13" s="9">
        <f t="shared" si="2"/>
        <v>190882</v>
      </c>
      <c r="K13" s="9">
        <f t="shared" si="2"/>
        <v>192486</v>
      </c>
      <c r="L13" s="9">
        <f t="shared" si="2"/>
        <v>145734</v>
      </c>
    </row>
    <row r="14" spans="2:12" ht="11.5" customHeight="1">
      <c r="B14" s="130" t="s">
        <v>8</v>
      </c>
      <c r="C14" s="131">
        <f>-(C15-C13)</f>
        <v>3401</v>
      </c>
      <c r="D14" s="131">
        <f>-(D15-D13)</f>
        <v>117604</v>
      </c>
      <c r="E14" s="131">
        <f t="shared" ref="E14:L14" si="3">-(E15-E13)</f>
        <v>-1765</v>
      </c>
      <c r="F14" s="131">
        <f t="shared" si="3"/>
        <v>53502</v>
      </c>
      <c r="G14" s="131">
        <f t="shared" si="3"/>
        <v>3871</v>
      </c>
      <c r="H14" s="131">
        <f t="shared" si="3"/>
        <v>-3443</v>
      </c>
      <c r="I14" s="131">
        <f t="shared" si="3"/>
        <v>94941</v>
      </c>
      <c r="J14" s="131">
        <f t="shared" si="3"/>
        <v>76782</v>
      </c>
      <c r="K14" s="131">
        <f t="shared" si="3"/>
        <v>64039</v>
      </c>
      <c r="L14" s="131">
        <f t="shared" si="3"/>
        <v>13153</v>
      </c>
    </row>
    <row r="15" spans="2:12" ht="11.5" customHeight="1">
      <c r="B15" s="8" t="s">
        <v>9</v>
      </c>
      <c r="C15" s="12">
        <f>'Income Stat Yahoo Input'!B22/1000</f>
        <v>-28483</v>
      </c>
      <c r="D15" s="12">
        <f>'Income Stat Yahoo Input'!C22/1000</f>
        <v>-728158</v>
      </c>
      <c r="E15" s="12">
        <f>'Income Stat Yahoo Input'!D22/1000</f>
        <v>215154</v>
      </c>
      <c r="F15" s="12">
        <f>'Income Stat Yahoo Input'!E22/1000</f>
        <v>161396</v>
      </c>
      <c r="G15" s="12">
        <f>'Income Stat Yahoo Input'!F22/1000</f>
        <v>216588</v>
      </c>
      <c r="H15" s="12">
        <f>'Income Stat Yahoo Input'!G22/1000</f>
        <v>249106</v>
      </c>
      <c r="I15" s="12">
        <f>'Income Stat Yahoo Input'!H22/1000</f>
        <v>134414</v>
      </c>
      <c r="J15" s="12">
        <f>'Income Stat Yahoo Input'!I22/1000</f>
        <v>114100</v>
      </c>
      <c r="K15" s="12">
        <f>'Income Stat Yahoo Input'!J22/1000</f>
        <v>128447</v>
      </c>
      <c r="L15" s="12">
        <f>'Income Stat Yahoo Input'!K22/1000</f>
        <v>132581</v>
      </c>
    </row>
    <row r="16" spans="2:12" ht="11.5" customHeight="1">
      <c r="B16" s="8" t="s">
        <v>10</v>
      </c>
      <c r="C16" s="9">
        <f>'Income Stat Yahoo Input'!B23/1000</f>
        <v>20035</v>
      </c>
      <c r="D16" s="9">
        <f>'Income Stat Yahoo Input'!C23/1000</f>
        <v>-137915</v>
      </c>
      <c r="E16" s="9">
        <f>'Income Stat Yahoo Input'!D23/1000</f>
        <v>42789</v>
      </c>
      <c r="F16" s="9">
        <f>'Income Stat Yahoo Input'!E23/1000</f>
        <v>34743</v>
      </c>
      <c r="G16" s="9">
        <f>'Income Stat Yahoo Input'!F23/1000</f>
        <v>1112</v>
      </c>
      <c r="H16" s="9">
        <f>'Income Stat Yahoo Input'!G23/1000</f>
        <v>71418</v>
      </c>
      <c r="I16" s="9">
        <f>'Income Stat Yahoo Input'!H23/1000</f>
        <v>22192</v>
      </c>
      <c r="J16" s="9">
        <f>'Income Stat Yahoo Input'!I23/1000</f>
        <v>9885</v>
      </c>
      <c r="K16" s="9">
        <f>'Income Stat Yahoo Input'!J23/1000</f>
        <v>20243</v>
      </c>
      <c r="L16" s="9">
        <f>'Income Stat Yahoo Input'!K23/1000</f>
        <v>31365</v>
      </c>
    </row>
    <row r="17" spans="2:14" ht="11.5" customHeight="1" thickBot="1">
      <c r="B17" s="7" t="s">
        <v>11</v>
      </c>
      <c r="C17" s="10">
        <f>+C15-C16</f>
        <v>-48518</v>
      </c>
      <c r="D17" s="10">
        <f>+D15-D16</f>
        <v>-590243</v>
      </c>
      <c r="E17" s="10">
        <f t="shared" ref="E17:L17" si="4">+E15-E16</f>
        <v>172365</v>
      </c>
      <c r="F17" s="10">
        <f t="shared" si="4"/>
        <v>126653</v>
      </c>
      <c r="G17" s="10">
        <f t="shared" si="4"/>
        <v>215476</v>
      </c>
      <c r="H17" s="10">
        <f t="shared" si="4"/>
        <v>177688</v>
      </c>
      <c r="I17" s="10">
        <f t="shared" si="4"/>
        <v>112222</v>
      </c>
      <c r="J17" s="10">
        <f t="shared" si="4"/>
        <v>104215</v>
      </c>
      <c r="K17" s="10">
        <f t="shared" si="4"/>
        <v>108204</v>
      </c>
      <c r="L17" s="10">
        <f t="shared" si="4"/>
        <v>101216</v>
      </c>
    </row>
    <row r="18" spans="2:14" ht="11.5" customHeight="1" thickTop="1"/>
    <row r="19" spans="2:14" ht="15" customHeight="1">
      <c r="B19" s="79" t="s">
        <v>84</v>
      </c>
      <c r="C19" s="79"/>
      <c r="D19" s="79"/>
      <c r="E19" s="80"/>
      <c r="F19" s="80"/>
      <c r="G19" s="80"/>
      <c r="H19" s="80"/>
      <c r="I19" s="81"/>
      <c r="J19" s="82"/>
      <c r="K19" s="82"/>
      <c r="L19" s="83"/>
    </row>
    <row r="20" spans="2:14" ht="19.75" customHeight="1">
      <c r="B20" s="74"/>
      <c r="C20" s="75" t="str">
        <f>+C5</f>
        <v>Dec 31</v>
      </c>
      <c r="D20" s="75" t="s">
        <v>82</v>
      </c>
      <c r="E20" s="75" t="s">
        <v>82</v>
      </c>
      <c r="F20" s="75" t="s">
        <v>82</v>
      </c>
      <c r="G20" s="75" t="s">
        <v>82</v>
      </c>
      <c r="H20" s="75" t="s">
        <v>82</v>
      </c>
      <c r="I20" s="75" t="s">
        <v>82</v>
      </c>
      <c r="J20" s="75" t="s">
        <v>82</v>
      </c>
      <c r="K20" s="75" t="s">
        <v>82</v>
      </c>
      <c r="L20" s="75" t="s">
        <v>82</v>
      </c>
    </row>
    <row r="21" spans="2:14" s="6" customFormat="1" ht="20.399999999999999" customHeight="1" thickBot="1">
      <c r="B21" s="76" t="s">
        <v>0</v>
      </c>
      <c r="C21" s="77">
        <f>C6</f>
        <v>2021</v>
      </c>
      <c r="D21" s="77">
        <f>D6</f>
        <v>2020</v>
      </c>
      <c r="E21" s="77">
        <f t="shared" ref="E21:H21" si="5">E6</f>
        <v>2019</v>
      </c>
      <c r="F21" s="77">
        <f t="shared" si="5"/>
        <v>2018</v>
      </c>
      <c r="G21" s="77">
        <f t="shared" si="5"/>
        <v>2017</v>
      </c>
      <c r="H21" s="77">
        <f t="shared" si="5"/>
        <v>2016</v>
      </c>
      <c r="I21" s="77">
        <v>2015</v>
      </c>
      <c r="J21" s="77">
        <v>2014</v>
      </c>
      <c r="K21" s="77">
        <v>2013</v>
      </c>
      <c r="L21" s="77">
        <v>2012</v>
      </c>
    </row>
    <row r="22" spans="2:14" ht="11.5" customHeight="1">
      <c r="B22" s="40" t="s">
        <v>12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2:14" ht="11.5" customHeight="1">
      <c r="B23" s="14" t="s">
        <v>13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2:14" ht="11.5" customHeight="1">
      <c r="B24" s="130" t="s">
        <v>14</v>
      </c>
      <c r="C24" s="72">
        <f>+'Balance Sheet Yahoo Input'!B5/1000</f>
        <v>61119</v>
      </c>
      <c r="D24" s="72">
        <f>+'Balance Sheet Yahoo Input'!C5/1000</f>
        <v>376736</v>
      </c>
      <c r="E24" s="72">
        <f>+'Balance Sheet Yahoo Input'!D5/1000</f>
        <v>182252</v>
      </c>
      <c r="F24" s="72">
        <f>+'Balance Sheet Yahoo Input'!E5/1000</f>
        <v>105349</v>
      </c>
      <c r="G24" s="72">
        <f>+'Balance Sheet Yahoo Input'!F5/1000</f>
        <v>166245</v>
      </c>
      <c r="H24" s="72">
        <f>+'Balance Sheet Yahoo Input'!G5/1000</f>
        <v>122716</v>
      </c>
      <c r="I24" s="72">
        <f>+'Balance Sheet Yahoo Input'!H5/1000</f>
        <v>119557</v>
      </c>
      <c r="J24" s="72">
        <f>+'Balance Sheet Yahoo Input'!I5/1000</f>
        <v>131840</v>
      </c>
      <c r="K24" s="72">
        <f>+'Balance Sheet Yahoo Input'!J5/1000</f>
        <v>118056</v>
      </c>
      <c r="L24" s="72">
        <f>+'Balance Sheet Yahoo Input'!K5/1000</f>
        <v>78830</v>
      </c>
      <c r="M24"/>
      <c r="N24" s="42"/>
    </row>
    <row r="25" spans="2:14" ht="11.5" customHeight="1">
      <c r="B25" s="8" t="s">
        <v>15</v>
      </c>
      <c r="C25" s="15">
        <f>+'Balance Sheet Yahoo Input'!B6/1000</f>
        <v>146160</v>
      </c>
      <c r="D25" s="15">
        <f>+'Balance Sheet Yahoo Input'!C6/1000</f>
        <v>103549</v>
      </c>
      <c r="E25" s="15">
        <f>+'Balance Sheet Yahoo Input'!D6/1000</f>
        <v>63106</v>
      </c>
      <c r="F25" s="15">
        <f>+'Balance Sheet Yahoo Input'!E6/1000</f>
        <v>51518</v>
      </c>
      <c r="G25" s="15">
        <f>+'Balance Sheet Yahoo Input'!F6/1000</f>
        <v>37722</v>
      </c>
      <c r="H25" s="15">
        <f>+'Balance Sheet Yahoo Input'!G6/1000</f>
        <v>35414</v>
      </c>
      <c r="I25" s="15">
        <f>+'Balance Sheet Yahoo Input'!H6/1000</f>
        <v>29494</v>
      </c>
      <c r="J25" s="15">
        <f>+'Balance Sheet Yahoo Input'!I6/1000</f>
        <v>27395</v>
      </c>
      <c r="K25" s="15">
        <f>+'Balance Sheet Yahoo Input'!J6/1000</f>
        <v>21333</v>
      </c>
      <c r="L25" s="15">
        <f>+'Balance Sheet Yahoo Input'!K6/1000</f>
        <v>18192</v>
      </c>
      <c r="M25"/>
      <c r="N25" s="36"/>
    </row>
    <row r="26" spans="2:14" ht="11.5" customHeight="1">
      <c r="B26" s="132" t="s">
        <v>16</v>
      </c>
      <c r="C26" s="119">
        <f>+C24+C25</f>
        <v>207279</v>
      </c>
      <c r="D26" s="119">
        <f>+D24+D25</f>
        <v>480285</v>
      </c>
      <c r="E26" s="119">
        <f t="shared" ref="E26:H26" si="6">+E24+E25</f>
        <v>245358</v>
      </c>
      <c r="F26" s="119">
        <f t="shared" si="6"/>
        <v>156867</v>
      </c>
      <c r="G26" s="119">
        <f t="shared" si="6"/>
        <v>203967</v>
      </c>
      <c r="H26" s="119">
        <f t="shared" si="6"/>
        <v>158130</v>
      </c>
      <c r="I26" s="119">
        <f t="shared" ref="I26" si="7">+I24+I25</f>
        <v>149051</v>
      </c>
      <c r="J26" s="119">
        <f t="shared" ref="J26" si="8">+J24+J25</f>
        <v>159235</v>
      </c>
      <c r="K26" s="119">
        <f t="shared" ref="K26" si="9">+K24+K25</f>
        <v>139389</v>
      </c>
      <c r="L26" s="119">
        <f t="shared" ref="L26" si="10">+L24+L25</f>
        <v>97022</v>
      </c>
      <c r="M26"/>
      <c r="N26" s="36"/>
    </row>
    <row r="27" spans="2:14" ht="11.5" customHeight="1">
      <c r="B27" s="8" t="s">
        <v>17</v>
      </c>
      <c r="C27" s="12">
        <f>+'Balance Sheet Yahoo Input'!B7/1000</f>
        <v>62109</v>
      </c>
      <c r="D27" s="12">
        <f>+'Balance Sheet Yahoo Input'!C7/1000</f>
        <v>34445</v>
      </c>
      <c r="E27" s="12">
        <f>+'Balance Sheet Yahoo Input'!D7/1000</f>
        <v>63106</v>
      </c>
      <c r="F27" s="12">
        <f>+'Balance Sheet Yahoo Input'!E7/1000</f>
        <v>51518</v>
      </c>
      <c r="G27" s="12">
        <f>+'Balance Sheet Yahoo Input'!F7/1000</f>
        <v>37722</v>
      </c>
      <c r="H27" s="12">
        <f>+'Balance Sheet Yahoo Input'!G7/1000</f>
        <v>35414</v>
      </c>
      <c r="I27" s="12">
        <f>+'Balance Sheet Yahoo Input'!H7/1000</f>
        <v>29494</v>
      </c>
      <c r="J27" s="12">
        <f>+'Balance Sheet Yahoo Input'!I7/1000</f>
        <v>27395</v>
      </c>
      <c r="K27" s="12">
        <f>+'Balance Sheet Yahoo Input'!J7/1000</f>
        <v>21333</v>
      </c>
      <c r="L27" s="12">
        <f>+'Balance Sheet Yahoo Input'!K7/1000</f>
        <v>18192</v>
      </c>
      <c r="M27"/>
      <c r="N27" s="36"/>
    </row>
    <row r="28" spans="2:14" ht="11.5" customHeight="1">
      <c r="B28" s="8" t="s">
        <v>18</v>
      </c>
      <c r="C28" s="15">
        <f>+'Balance Sheet Yahoo Input'!B11/1000</f>
        <v>0</v>
      </c>
      <c r="D28" s="15">
        <f>+'Balance Sheet Yahoo Input'!C11/1000</f>
        <v>0</v>
      </c>
      <c r="E28" s="15">
        <f>+'Balance Sheet Yahoo Input'!D11/1000</f>
        <v>0</v>
      </c>
      <c r="F28" s="15">
        <f>+'Balance Sheet Yahoo Input'!E11/1000</f>
        <v>0</v>
      </c>
      <c r="G28" s="15">
        <f>+'Balance Sheet Yahoo Input'!F11/1000</f>
        <v>0</v>
      </c>
      <c r="H28" s="15">
        <f>+'Balance Sheet Yahoo Input'!G11/1000</f>
        <v>0</v>
      </c>
      <c r="I28" s="15">
        <f>+'Balance Sheet Yahoo Input'!H11/1000</f>
        <v>12188</v>
      </c>
      <c r="J28" s="15">
        <f>+'Balance Sheet Yahoo Input'!I11/1000</f>
        <v>9265</v>
      </c>
      <c r="K28" s="15">
        <f>+'Balance Sheet Yahoo Input'!J11/1000</f>
        <v>9675</v>
      </c>
      <c r="L28" s="15">
        <f>+'Balance Sheet Yahoo Input'!K11/1000</f>
        <v>8184</v>
      </c>
      <c r="M28"/>
      <c r="N28" s="36"/>
    </row>
    <row r="29" spans="2:14" ht="11.5" customHeight="1">
      <c r="B29" s="8" t="s">
        <v>19</v>
      </c>
      <c r="C29" s="12">
        <f>SUM(C26:C28)</f>
        <v>269388</v>
      </c>
      <c r="D29" s="12">
        <f>SUM(D26:D28)</f>
        <v>514730</v>
      </c>
      <c r="E29" s="12">
        <f t="shared" ref="E29:H29" si="11">SUM(E26:E28)</f>
        <v>308464</v>
      </c>
      <c r="F29" s="12">
        <f t="shared" si="11"/>
        <v>208385</v>
      </c>
      <c r="G29" s="12">
        <f t="shared" si="11"/>
        <v>241689</v>
      </c>
      <c r="H29" s="12">
        <f t="shared" si="11"/>
        <v>193544</v>
      </c>
      <c r="I29" s="12">
        <f t="shared" ref="I29" si="12">SUM(I26:I28)</f>
        <v>190733</v>
      </c>
      <c r="J29" s="12">
        <f t="shared" ref="J29" si="13">SUM(J26:J28)</f>
        <v>195895</v>
      </c>
      <c r="K29" s="12">
        <f t="shared" ref="K29" si="14">SUM(K26:K28)</f>
        <v>170397</v>
      </c>
      <c r="L29" s="12">
        <f t="shared" ref="L29" si="15">SUM(L26:L28)</f>
        <v>123398</v>
      </c>
      <c r="M29"/>
      <c r="N29" s="36"/>
    </row>
    <row r="30" spans="2:14" ht="11.5" customHeight="1">
      <c r="B30" s="17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/>
      <c r="N30" s="36"/>
    </row>
    <row r="31" spans="2:14" ht="11.5" customHeight="1">
      <c r="B31" s="14" t="s">
        <v>20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/>
      <c r="N31" s="36"/>
    </row>
    <row r="32" spans="2:14" ht="11.5" customHeight="1">
      <c r="B32" s="8" t="s">
        <v>21</v>
      </c>
      <c r="C32" s="12">
        <f>+'Balance Sheet Yahoo Input'!B20/1000</f>
        <v>1986235</v>
      </c>
      <c r="D32" s="12">
        <f>+'Balance Sheet Yahoo Input'!C20/1000</f>
        <v>1962324</v>
      </c>
      <c r="E32" s="12">
        <f>+'Balance Sheet Yahoo Input'!D20/1000</f>
        <v>1907544</v>
      </c>
      <c r="F32" s="12">
        <f>+'Balance Sheet Yahoo Input'!E20/1000</f>
        <v>1813489</v>
      </c>
      <c r="G32" s="12">
        <f>+'Balance Sheet Yahoo Input'!F20/1000</f>
        <v>1740653</v>
      </c>
      <c r="H32" s="12">
        <f>+'Balance Sheet Yahoo Input'!G20/1000</f>
        <v>1643770</v>
      </c>
      <c r="I32" s="12">
        <f>+'Balance Sheet Yahoo Input'!H20/1000</f>
        <v>1561234</v>
      </c>
      <c r="J32" s="12">
        <f>+'Balance Sheet Yahoo Input'!I20/1000</f>
        <v>1535705</v>
      </c>
      <c r="K32" s="12">
        <f>+'Balance Sheet Yahoo Input'!J20/1000</f>
        <v>1494112</v>
      </c>
      <c r="L32" s="12">
        <f>+'Balance Sheet Yahoo Input'!K20/1000</f>
        <v>1450231</v>
      </c>
      <c r="M32"/>
      <c r="N32" s="36"/>
    </row>
    <row r="33" spans="2:14" ht="11.5" customHeight="1">
      <c r="B33" s="8" t="s">
        <v>22</v>
      </c>
      <c r="C33" s="12">
        <f>+C34-C32</f>
        <v>-1130938</v>
      </c>
      <c r="D33" s="12">
        <f>+D34-D32</f>
        <v>-1112920</v>
      </c>
      <c r="E33" s="12">
        <f t="shared" ref="E33:H33" si="16">+E34-E32</f>
        <v>-1090764</v>
      </c>
      <c r="F33" s="12">
        <f t="shared" si="16"/>
        <v>-1080823</v>
      </c>
      <c r="G33" s="12">
        <f t="shared" si="16"/>
        <v>-1046754</v>
      </c>
      <c r="H33" s="12">
        <f t="shared" si="16"/>
        <v>-979788</v>
      </c>
      <c r="I33" s="12">
        <f t="shared" ref="I33" si="17">+I34-I32</f>
        <v>-913720</v>
      </c>
      <c r="J33" s="12">
        <f t="shared" ref="J33" si="18">+J34-J32</f>
        <v>-935798</v>
      </c>
      <c r="K33" s="12">
        <f t="shared" ref="K33" si="19">+K34-K32</f>
        <v>-909453</v>
      </c>
      <c r="L33" s="12">
        <f t="shared" ref="L33" si="20">+L34-L32</f>
        <v>-865377</v>
      </c>
      <c r="M33"/>
      <c r="N33" s="36"/>
    </row>
    <row r="34" spans="2:14" ht="11.5" customHeight="1">
      <c r="B34" s="8" t="s">
        <v>23</v>
      </c>
      <c r="C34" s="18">
        <f>+'Balance Sheet Yahoo Input'!B19/1000</f>
        <v>855297</v>
      </c>
      <c r="D34" s="18">
        <f>+'Balance Sheet Yahoo Input'!C19/1000</f>
        <v>849404</v>
      </c>
      <c r="E34" s="18">
        <f>+'Balance Sheet Yahoo Input'!D19/1000</f>
        <v>816780</v>
      </c>
      <c r="F34" s="18">
        <f>+'Balance Sheet Yahoo Input'!E19/1000</f>
        <v>732666</v>
      </c>
      <c r="G34" s="18">
        <f>+'Balance Sheet Yahoo Input'!F19/1000</f>
        <v>693899</v>
      </c>
      <c r="H34" s="18">
        <f>+'Balance Sheet Yahoo Input'!G19/1000</f>
        <v>663982</v>
      </c>
      <c r="I34" s="18">
        <f>+'Balance Sheet Yahoo Input'!H19/1000</f>
        <v>647514</v>
      </c>
      <c r="J34" s="18">
        <f>+'Balance Sheet Yahoo Input'!I19/1000</f>
        <v>599907</v>
      </c>
      <c r="K34" s="18">
        <f>+'Balance Sheet Yahoo Input'!J19/1000</f>
        <v>584659</v>
      </c>
      <c r="L34" s="18">
        <f>+'Balance Sheet Yahoo Input'!K19/1000</f>
        <v>584854</v>
      </c>
      <c r="M34"/>
      <c r="N34"/>
    </row>
    <row r="35" spans="2:14" ht="11.5" customHeight="1">
      <c r="B35" s="8" t="s">
        <v>24</v>
      </c>
      <c r="C35" s="12">
        <f>+'Balance Sheet Yahoo Input'!B32/1000</f>
        <v>53912</v>
      </c>
      <c r="D35" s="12">
        <f>+'Balance Sheet Yahoo Input'!C32/1000</f>
        <v>14272</v>
      </c>
      <c r="E35" s="12">
        <f>+'Balance Sheet Yahoo Input'!D32/1000</f>
        <v>29344</v>
      </c>
      <c r="F35" s="12">
        <f>+'Balance Sheet Yahoo Input'!E32/1000</f>
        <v>23314</v>
      </c>
      <c r="G35" s="12">
        <f>+'Balance Sheet Yahoo Input'!F32/1000</f>
        <v>24621</v>
      </c>
      <c r="H35" s="12">
        <f>+'Balance Sheet Yahoo Input'!G32/1000</f>
        <v>20851</v>
      </c>
      <c r="I35" s="12">
        <f>+'Balance Sheet Yahoo Input'!H32/1000</f>
        <v>17122</v>
      </c>
      <c r="J35" s="12">
        <f>+'Balance Sheet Yahoo Input'!I32/1000</f>
        <v>23933</v>
      </c>
      <c r="K35" s="12">
        <f>+'Balance Sheet Yahoo Input'!J32/1000</f>
        <v>13222</v>
      </c>
      <c r="L35" s="12">
        <f>+'Balance Sheet Yahoo Input'!K32/1000</f>
        <v>10734</v>
      </c>
      <c r="M35"/>
      <c r="N35" s="36"/>
    </row>
    <row r="36" spans="2:14" ht="11.5" customHeight="1">
      <c r="B36" s="8" t="s">
        <v>25</v>
      </c>
      <c r="C36" s="12">
        <f>+'Balance Sheet Yahoo Input'!B30/1000</f>
        <v>169342</v>
      </c>
      <c r="D36" s="12">
        <f>+'Balance Sheet Yahoo Input'!C30/1000</f>
        <v>94305</v>
      </c>
      <c r="E36" s="12">
        <f>+'Balance Sheet Yahoo Input'!D30/1000</f>
        <v>140596</v>
      </c>
      <c r="F36" s="12">
        <f>+'Balance Sheet Yahoo Input'!E30/1000</f>
        <v>97999</v>
      </c>
      <c r="G36" s="12">
        <f>+'Balance Sheet Yahoo Input'!F30/1000</f>
        <v>114256</v>
      </c>
      <c r="H36" s="12">
        <f>+'Balance Sheet Yahoo Input'!G30/1000</f>
        <v>130080</v>
      </c>
      <c r="I36" s="12">
        <f>+'Balance Sheet Yahoo Input'!H30/1000</f>
        <v>102686</v>
      </c>
      <c r="J36" s="12">
        <f>+'Balance Sheet Yahoo Input'!I30/1000</f>
        <v>101890</v>
      </c>
      <c r="K36" s="12">
        <f>+'Balance Sheet Yahoo Input'!J30/1000</f>
        <v>90625</v>
      </c>
      <c r="L36" s="12">
        <f>+'Balance Sheet Yahoo Input'!K30/1000</f>
        <v>74811</v>
      </c>
      <c r="M36"/>
      <c r="N36" s="36"/>
    </row>
    <row r="37" spans="2:14" ht="11.5" customHeight="1">
      <c r="B37" s="8" t="s">
        <v>26</v>
      </c>
      <c r="C37" s="12">
        <f>+'Balance Sheet Yahoo Input'!B31/1000</f>
        <v>62987</v>
      </c>
      <c r="D37" s="12">
        <f>+'Balance Sheet Yahoo Input'!C31/1000</f>
        <v>25047</v>
      </c>
      <c r="E37" s="12">
        <f>+'Balance Sheet Yahoo Input'!D31/1000</f>
        <v>68581</v>
      </c>
      <c r="F37" s="12">
        <f>+'Balance Sheet Yahoo Input'!E31/1000</f>
        <v>52905</v>
      </c>
      <c r="G37" s="12">
        <f>+'Balance Sheet Yahoo Input'!F31/1000</f>
        <v>68596</v>
      </c>
      <c r="H37" s="12">
        <f>+'Balance Sheet Yahoo Input'!G31/1000</f>
        <v>79809</v>
      </c>
      <c r="I37" s="12">
        <f>+'Balance Sheet Yahoo Input'!H31/1000</f>
        <v>59059</v>
      </c>
      <c r="J37" s="12">
        <f>+'Balance Sheet Yahoo Input'!I31/1000</f>
        <v>45733</v>
      </c>
      <c r="K37" s="12">
        <f>+'Balance Sheet Yahoo Input'!J31/1000</f>
        <v>32703</v>
      </c>
      <c r="L37" s="12">
        <f>+'Balance Sheet Yahoo Input'!K31/1000</f>
        <v>28547</v>
      </c>
      <c r="M37"/>
      <c r="N37" s="36"/>
    </row>
    <row r="38" spans="2:14" ht="11.5" customHeight="1">
      <c r="B38" s="8" t="s">
        <v>27</v>
      </c>
      <c r="C38" s="15">
        <f>+C40-C37-C36-C35-C34-C29</f>
        <v>902094</v>
      </c>
      <c r="D38" s="15">
        <f>+D40-D37-D36-D35-D34-D29</f>
        <v>1195654</v>
      </c>
      <c r="E38" s="15">
        <f t="shared" ref="E38:H38" si="21">+E40-E37-E36-E35-E34-E29</f>
        <v>1217380</v>
      </c>
      <c r="F38" s="15">
        <f t="shared" si="21"/>
        <v>908914</v>
      </c>
      <c r="G38" s="15">
        <f t="shared" si="21"/>
        <v>921098</v>
      </c>
      <c r="H38" s="15">
        <f t="shared" si="21"/>
        <v>884915</v>
      </c>
      <c r="I38" s="15">
        <f t="shared" ref="I38" si="22">+I40-I37-I36-I35-I34-I29</f>
        <v>977793</v>
      </c>
      <c r="J38" s="15">
        <f t="shared" ref="J38" si="23">+J40-J37-J36-J35-J34-J29</f>
        <v>1070961</v>
      </c>
      <c r="K38" s="15">
        <f t="shared" ref="K38" si="24">+K40-K37-K36-K35-K34-K29</f>
        <v>1123021</v>
      </c>
      <c r="L38" s="15">
        <f t="shared" ref="L38" si="25">+L40-L37-L36-L35-L34-L29</f>
        <v>1205278</v>
      </c>
      <c r="M38"/>
      <c r="N38"/>
    </row>
    <row r="39" spans="2:14" ht="11.5" customHeight="1">
      <c r="B39" s="8" t="s">
        <v>28</v>
      </c>
      <c r="C39" s="12">
        <f>SUM(C34:C38)</f>
        <v>2043632</v>
      </c>
      <c r="D39" s="12">
        <f>SUM(D34:D38)</f>
        <v>2178682</v>
      </c>
      <c r="E39" s="12">
        <f t="shared" ref="E39:H39" si="26">SUM(E34:E38)</f>
        <v>2272681</v>
      </c>
      <c r="F39" s="12">
        <f t="shared" si="26"/>
        <v>1815798</v>
      </c>
      <c r="G39" s="12">
        <f t="shared" si="26"/>
        <v>1822470</v>
      </c>
      <c r="H39" s="12">
        <f t="shared" si="26"/>
        <v>1779637</v>
      </c>
      <c r="I39" s="12">
        <f t="shared" ref="I39" si="27">SUM(I34:I38)</f>
        <v>1804174</v>
      </c>
      <c r="J39" s="12">
        <f t="shared" ref="J39" si="28">SUM(J34:J38)</f>
        <v>1842424</v>
      </c>
      <c r="K39" s="12">
        <f t="shared" ref="K39" si="29">SUM(K34:K38)</f>
        <v>1844230</v>
      </c>
      <c r="L39" s="12">
        <f t="shared" ref="L39" si="30">SUM(L34:L38)</f>
        <v>1904224</v>
      </c>
      <c r="M39"/>
      <c r="N39"/>
    </row>
    <row r="40" spans="2:14" ht="11.5" customHeight="1" thickBot="1">
      <c r="B40" s="7" t="s">
        <v>29</v>
      </c>
      <c r="C40" s="19">
        <f>+'Balance Sheet Yahoo Input'!B2/1000</f>
        <v>2313020</v>
      </c>
      <c r="D40" s="19">
        <f>+'Balance Sheet Yahoo Input'!C2/1000</f>
        <v>2693412</v>
      </c>
      <c r="E40" s="19">
        <f>+'Balance Sheet Yahoo Input'!D2/1000</f>
        <v>2581145</v>
      </c>
      <c r="F40" s="19">
        <f>+'Balance Sheet Yahoo Input'!E2/1000</f>
        <v>2024183</v>
      </c>
      <c r="G40" s="19">
        <f>+'Balance Sheet Yahoo Input'!F2/1000</f>
        <v>2064159</v>
      </c>
      <c r="H40" s="19">
        <f>+'Balance Sheet Yahoo Input'!G2/1000</f>
        <v>1973181</v>
      </c>
      <c r="I40" s="19">
        <f>+'Balance Sheet Yahoo Input'!H2/1000</f>
        <v>1994907</v>
      </c>
      <c r="J40" s="19">
        <f>+'Balance Sheet Yahoo Input'!I2/1000</f>
        <v>2038319</v>
      </c>
      <c r="K40" s="19">
        <f>+'Balance Sheet Yahoo Input'!J2/1000</f>
        <v>2014627</v>
      </c>
      <c r="L40" s="19">
        <f>+'Balance Sheet Yahoo Input'!K2/1000</f>
        <v>2027622</v>
      </c>
      <c r="M40"/>
      <c r="N40"/>
    </row>
    <row r="41" spans="2:14" ht="11.5" customHeight="1" thickTop="1">
      <c r="B41" s="17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/>
      <c r="N41"/>
    </row>
    <row r="42" spans="2:14" ht="11.5" customHeight="1">
      <c r="B42" s="14" t="s">
        <v>30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/>
      <c r="N42" s="36"/>
    </row>
    <row r="43" spans="2:14" ht="11.5" customHeight="1">
      <c r="B43" s="8" t="s">
        <v>31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/>
      <c r="N43" s="36"/>
    </row>
    <row r="44" spans="2:14" ht="11.5" customHeight="1">
      <c r="B44" s="8" t="s">
        <v>32</v>
      </c>
      <c r="C44" s="12">
        <f>+'Balance Sheet Yahoo Input'!B32/1000</f>
        <v>53912</v>
      </c>
      <c r="D44" s="12">
        <f>+'Balance Sheet Yahoo Input'!C32/1000</f>
        <v>14272</v>
      </c>
      <c r="E44" s="12">
        <f>+'Balance Sheet Yahoo Input'!D32/1000</f>
        <v>29344</v>
      </c>
      <c r="F44" s="12">
        <f>+'Balance Sheet Yahoo Input'!E32/1000</f>
        <v>23314</v>
      </c>
      <c r="G44" s="12">
        <f>+'Balance Sheet Yahoo Input'!F32/1000</f>
        <v>24621</v>
      </c>
      <c r="H44" s="12">
        <f>+'Balance Sheet Yahoo Input'!G32/1000</f>
        <v>20851</v>
      </c>
      <c r="I44" s="12">
        <f>+'Balance Sheet Yahoo Input'!H32/1000</f>
        <v>17122</v>
      </c>
      <c r="J44" s="12">
        <f>+'Balance Sheet Yahoo Input'!I32/1000</f>
        <v>23933</v>
      </c>
      <c r="K44" s="12">
        <f>+'Balance Sheet Yahoo Input'!J32/1000</f>
        <v>13222</v>
      </c>
      <c r="L44" s="12">
        <f>+'Balance Sheet Yahoo Input'!K32/1000</f>
        <v>10734</v>
      </c>
      <c r="M44"/>
      <c r="N44" s="36"/>
    </row>
    <row r="45" spans="2:14" ht="11.5" customHeight="1">
      <c r="B45" s="8" t="s">
        <v>33</v>
      </c>
      <c r="C45" s="12">
        <f>'Balance Sheet Yahoo Input'!B34/1000</f>
        <v>106355</v>
      </c>
      <c r="D45" s="12">
        <f>'Balance Sheet Yahoo Input'!C34/1000</f>
        <v>69258</v>
      </c>
      <c r="E45" s="12">
        <f>'Balance Sheet Yahoo Input'!D34/1000</f>
        <v>72015</v>
      </c>
      <c r="F45" s="12">
        <f>'Balance Sheet Yahoo Input'!E34/1000</f>
        <v>45094</v>
      </c>
      <c r="G45" s="12">
        <f>'Balance Sheet Yahoo Input'!F34/1000</f>
        <v>45660</v>
      </c>
      <c r="H45" s="12">
        <f>'Balance Sheet Yahoo Input'!G34/1000</f>
        <v>50271</v>
      </c>
      <c r="I45" s="12">
        <f>'Balance Sheet Yahoo Input'!H34/1000</f>
        <v>43627</v>
      </c>
      <c r="J45" s="12">
        <f>'Balance Sheet Yahoo Input'!I34/1000</f>
        <v>56157</v>
      </c>
      <c r="K45" s="12">
        <f>'Balance Sheet Yahoo Input'!J34/1000</f>
        <v>57922</v>
      </c>
      <c r="L45" s="12">
        <f>'Balance Sheet Yahoo Input'!K34/1000</f>
        <v>46264</v>
      </c>
      <c r="M45"/>
      <c r="N45"/>
    </row>
    <row r="46" spans="2:14" ht="11.5" customHeight="1">
      <c r="B46" s="8" t="s">
        <v>302</v>
      </c>
      <c r="C46" s="12">
        <f>'Balance Sheet Yahoo Input'!B29/1000-'Historical Analysis'!C44-'Historical Analysis'!C45-'Historical Analysis'!C47</f>
        <v>221247</v>
      </c>
      <c r="D46" s="12">
        <f>'Balance Sheet Yahoo Input'!C29/1000-'Historical Analysis'!D44-'Historical Analysis'!D45-'Historical Analysis'!D47</f>
        <v>216451</v>
      </c>
      <c r="E46" s="12">
        <f>'Balance Sheet Yahoo Input'!D29/1000-'Historical Analysis'!E44-'Historical Analysis'!E45-'Historical Analysis'!E47</f>
        <v>215279</v>
      </c>
      <c r="F46" s="12">
        <f>'Balance Sheet Yahoo Input'!E29/1000-'Historical Analysis'!F44-'Historical Analysis'!F45-'Historical Analysis'!F47</f>
        <v>160686</v>
      </c>
      <c r="G46" s="12">
        <f>'Balance Sheet Yahoo Input'!F29/1000-'Historical Analysis'!G44-'Historical Analysis'!G45-'Historical Analysis'!G47</f>
        <v>155213</v>
      </c>
      <c r="H46" s="12">
        <f>'Balance Sheet Yahoo Input'!G29/1000-'Historical Analysis'!H44-'Historical Analysis'!H45-'Historical Analysis'!H47</f>
        <v>168786</v>
      </c>
      <c r="I46" s="12">
        <f>'Balance Sheet Yahoo Input'!H29/1000-'Historical Analysis'!I44-'Historical Analysis'!I45-'Historical Analysis'!I47</f>
        <v>135447</v>
      </c>
      <c r="J46" s="12">
        <f>'Balance Sheet Yahoo Input'!I29/1000-'Historical Analysis'!J44-'Historical Analysis'!J45-'Historical Analysis'!J47</f>
        <v>118129</v>
      </c>
      <c r="K46" s="12">
        <f>'Balance Sheet Yahoo Input'!J29/1000-'Historical Analysis'!K44-'Historical Analysis'!K45-'Historical Analysis'!K47</f>
        <v>87655</v>
      </c>
      <c r="L46" s="12">
        <f>'Balance Sheet Yahoo Input'!K29/1000-'Historical Analysis'!L44-'Historical Analysis'!L45-'Historical Analysis'!L47</f>
        <v>81204</v>
      </c>
      <c r="M46"/>
      <c r="N46"/>
    </row>
    <row r="47" spans="2:14" ht="11.5" customHeight="1">
      <c r="B47" s="132" t="s">
        <v>35</v>
      </c>
      <c r="C47" s="119">
        <f>'Balance Sheet Yahoo Input'!B39/1000</f>
        <v>0</v>
      </c>
      <c r="D47" s="119">
        <f>'Balance Sheet Yahoo Input'!C39/1000</f>
        <v>0</v>
      </c>
      <c r="E47" s="119">
        <f>'Balance Sheet Yahoo Input'!D39/1000</f>
        <v>7500</v>
      </c>
      <c r="F47" s="119">
        <f>'Balance Sheet Yahoo Input'!E39/1000</f>
        <v>5625</v>
      </c>
      <c r="G47" s="119">
        <f>'Balance Sheet Yahoo Input'!F39/1000</f>
        <v>0</v>
      </c>
      <c r="H47" s="119">
        <f>'Balance Sheet Yahoo Input'!G39/1000</f>
        <v>2775</v>
      </c>
      <c r="I47" s="119">
        <f>'Balance Sheet Yahoo Input'!H39/1000</f>
        <v>2475</v>
      </c>
      <c r="J47" s="119">
        <f>'Balance Sheet Yahoo Input'!I39/1000</f>
        <v>0</v>
      </c>
      <c r="K47" s="119">
        <f>'Balance Sheet Yahoo Input'!J39/1000</f>
        <v>0</v>
      </c>
      <c r="L47" s="119">
        <f>'Balance Sheet Yahoo Input'!K39/1000</f>
        <v>0</v>
      </c>
      <c r="M47"/>
      <c r="N47"/>
    </row>
    <row r="48" spans="2:14" ht="11.5" customHeight="1">
      <c r="B48" s="8" t="s">
        <v>36</v>
      </c>
      <c r="C48" s="18">
        <f>SUM(C44:C47)</f>
        <v>381514</v>
      </c>
      <c r="D48" s="18">
        <f t="shared" ref="D48:L48" si="31">SUM(D44:D47)</f>
        <v>299981</v>
      </c>
      <c r="E48" s="18">
        <f t="shared" si="31"/>
        <v>324138</v>
      </c>
      <c r="F48" s="18">
        <f t="shared" si="31"/>
        <v>234719</v>
      </c>
      <c r="G48" s="18">
        <f t="shared" si="31"/>
        <v>225494</v>
      </c>
      <c r="H48" s="18">
        <f t="shared" si="31"/>
        <v>242683</v>
      </c>
      <c r="I48" s="18">
        <f t="shared" si="31"/>
        <v>198671</v>
      </c>
      <c r="J48" s="18">
        <f t="shared" si="31"/>
        <v>198219</v>
      </c>
      <c r="K48" s="18">
        <f t="shared" si="31"/>
        <v>158799</v>
      </c>
      <c r="L48" s="18">
        <f t="shared" si="31"/>
        <v>138202</v>
      </c>
      <c r="M48"/>
      <c r="N48"/>
    </row>
    <row r="49" spans="2:14" ht="11.5" customHeight="1">
      <c r="B49" s="20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/>
      <c r="N49" s="36"/>
    </row>
    <row r="50" spans="2:14" ht="11.5" customHeight="1">
      <c r="B50" s="14" t="s">
        <v>37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/>
      <c r="N50"/>
    </row>
    <row r="51" spans="2:14" ht="11.5" customHeight="1">
      <c r="B51" s="132" t="s">
        <v>38</v>
      </c>
      <c r="C51" s="119">
        <f>'Balance Sheet Yahoo Input'!B46/1000</f>
        <v>2518936</v>
      </c>
      <c r="D51" s="119">
        <f>'Balance Sheet Yahoo Input'!C46/1000</f>
        <v>2954244</v>
      </c>
      <c r="E51" s="119">
        <f>'Balance Sheet Yahoo Input'!D46/1000</f>
        <v>2145883</v>
      </c>
      <c r="F51" s="119">
        <f>'Balance Sheet Yahoo Input'!E46/1000</f>
        <v>1657568</v>
      </c>
      <c r="G51" s="119">
        <f>'Balance Sheet Yahoo Input'!F46/1000</f>
        <v>1660515</v>
      </c>
      <c r="H51" s="119">
        <f>'Balance Sheet Yahoo Input'!G46/1000</f>
        <v>1534211</v>
      </c>
      <c r="I51" s="119">
        <f>'Balance Sheet Yahoo Input'!H46/1000</f>
        <v>1556375</v>
      </c>
      <c r="J51" s="119">
        <f>'Balance Sheet Yahoo Input'!I46/1000</f>
        <v>1558850</v>
      </c>
      <c r="K51" s="119">
        <f>'Balance Sheet Yahoo Input'!J46/1000</f>
        <v>1520632</v>
      </c>
      <c r="L51" s="119">
        <f>'Balance Sheet Yahoo Input'!K46/1000</f>
        <v>1532180</v>
      </c>
      <c r="M51"/>
      <c r="N51"/>
    </row>
    <row r="52" spans="2:14" ht="11.5" customHeight="1">
      <c r="B52" s="130" t="s">
        <v>39</v>
      </c>
      <c r="C52" s="72">
        <f>105340-7627</f>
        <v>97713</v>
      </c>
      <c r="D52" s="72">
        <v>95141</v>
      </c>
      <c r="E52" s="72">
        <v>110490</v>
      </c>
      <c r="F52" s="72">
        <v>99480</v>
      </c>
      <c r="G52" s="72">
        <v>95204</v>
      </c>
      <c r="H52" s="72">
        <v>135768</v>
      </c>
      <c r="I52" s="72">
        <v>182852</v>
      </c>
      <c r="J52" s="72">
        <v>185033</v>
      </c>
      <c r="K52" s="72">
        <v>196065</v>
      </c>
      <c r="L52" s="72">
        <v>197980</v>
      </c>
      <c r="M52"/>
      <c r="N52"/>
    </row>
    <row r="53" spans="2:14" ht="11.5" customHeight="1">
      <c r="B53" s="8" t="s">
        <v>34</v>
      </c>
      <c r="C53" s="15">
        <f>+'Balance Sheet Yahoo Input'!B65/1000</f>
        <v>13345</v>
      </c>
      <c r="D53" s="15">
        <f>+'Balance Sheet Yahoo Input'!C65/1000</f>
        <v>10483</v>
      </c>
      <c r="E53" s="15">
        <f>+'Balance Sheet Yahoo Input'!D65/1000</f>
        <v>10600</v>
      </c>
      <c r="F53" s="15">
        <f>+'Balance Sheet Yahoo Input'!E65/1000</f>
        <v>0</v>
      </c>
      <c r="G53" s="15">
        <f>+'Balance Sheet Yahoo Input'!F65/1000</f>
        <v>0</v>
      </c>
      <c r="H53" s="15">
        <f>+'Balance Sheet Yahoo Input'!G65/1000</f>
        <v>0</v>
      </c>
      <c r="I53" s="15">
        <f>+'Balance Sheet Yahoo Input'!H65/1000</f>
        <v>0</v>
      </c>
      <c r="J53" s="15">
        <f>+'Balance Sheet Yahoo Input'!I65/1000</f>
        <v>0</v>
      </c>
      <c r="K53" s="15">
        <f>+'Balance Sheet Yahoo Input'!J65/1000</f>
        <v>0</v>
      </c>
      <c r="L53" s="15">
        <f>+'Balance Sheet Yahoo Input'!K65/1000</f>
        <v>0</v>
      </c>
      <c r="M53"/>
      <c r="N53" s="36"/>
    </row>
    <row r="54" spans="2:14" ht="11.5" customHeight="1">
      <c r="B54" s="8" t="s">
        <v>40</v>
      </c>
      <c r="C54" s="12">
        <f>SUM(C51:C53)</f>
        <v>2629994</v>
      </c>
      <c r="D54" s="12">
        <f t="shared" ref="D54:L54" si="32">SUM(D51:D53)</f>
        <v>3059868</v>
      </c>
      <c r="E54" s="12">
        <f t="shared" si="32"/>
        <v>2266973</v>
      </c>
      <c r="F54" s="12">
        <f t="shared" si="32"/>
        <v>1757048</v>
      </c>
      <c r="G54" s="12">
        <f t="shared" si="32"/>
        <v>1755719</v>
      </c>
      <c r="H54" s="12">
        <f t="shared" si="32"/>
        <v>1669979</v>
      </c>
      <c r="I54" s="12">
        <f t="shared" si="32"/>
        <v>1739227</v>
      </c>
      <c r="J54" s="12">
        <f t="shared" si="32"/>
        <v>1743883</v>
      </c>
      <c r="K54" s="12">
        <f t="shared" si="32"/>
        <v>1716697</v>
      </c>
      <c r="L54" s="12">
        <f t="shared" si="32"/>
        <v>1730160</v>
      </c>
      <c r="M54"/>
      <c r="N54" s="36"/>
    </row>
    <row r="55" spans="2:14" ht="11.5" customHeight="1">
      <c r="B55" s="8" t="s">
        <v>41</v>
      </c>
      <c r="C55" s="18">
        <f>+C54+C48</f>
        <v>3011508</v>
      </c>
      <c r="D55" s="18">
        <f>+D54+D48</f>
        <v>3359849</v>
      </c>
      <c r="E55" s="18">
        <f t="shared" ref="E55:H55" si="33">+E54+E48</f>
        <v>2591111</v>
      </c>
      <c r="F55" s="18">
        <f t="shared" si="33"/>
        <v>1991767</v>
      </c>
      <c r="G55" s="18">
        <f t="shared" si="33"/>
        <v>1981213</v>
      </c>
      <c r="H55" s="18">
        <f t="shared" si="33"/>
        <v>1912662</v>
      </c>
      <c r="I55" s="18">
        <f t="shared" ref="I55" si="34">+I54+I48</f>
        <v>1937898</v>
      </c>
      <c r="J55" s="18">
        <f t="shared" ref="J55" si="35">+J54+J48</f>
        <v>1942102</v>
      </c>
      <c r="K55" s="18">
        <f t="shared" ref="K55" si="36">+K54+K48</f>
        <v>1875496</v>
      </c>
      <c r="L55" s="18">
        <f t="shared" ref="L55" si="37">+L54+L48</f>
        <v>1868362</v>
      </c>
      <c r="M55"/>
      <c r="N55" s="36"/>
    </row>
    <row r="56" spans="2:14" ht="11.5" customHeight="1">
      <c r="B56" s="17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/>
      <c r="N56" s="36"/>
    </row>
    <row r="57" spans="2:14" ht="11.5" customHeight="1">
      <c r="B57" s="14" t="s">
        <v>42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/>
      <c r="N57" s="36"/>
    </row>
    <row r="58" spans="2:14" ht="11.5" customHeight="1">
      <c r="B58" s="8" t="s">
        <v>43</v>
      </c>
      <c r="C58" s="12">
        <v>1000</v>
      </c>
      <c r="D58" s="12">
        <v>1000</v>
      </c>
      <c r="E58" s="12">
        <v>1000</v>
      </c>
      <c r="F58" s="12">
        <v>1000</v>
      </c>
      <c r="G58" s="12">
        <v>1000</v>
      </c>
      <c r="H58" s="12">
        <v>1000</v>
      </c>
      <c r="I58" s="12">
        <v>1000</v>
      </c>
      <c r="J58" s="12">
        <v>1000</v>
      </c>
      <c r="K58" s="12">
        <v>1000</v>
      </c>
      <c r="L58" s="12">
        <v>1000</v>
      </c>
      <c r="M58"/>
      <c r="N58" s="36"/>
    </row>
    <row r="59" spans="2:14" ht="11.5" customHeight="1">
      <c r="B59" s="8" t="s">
        <v>44</v>
      </c>
      <c r="C59" s="12">
        <f>+'Balance Sheet Yahoo Input'!B64/1000-1000</f>
        <v>-699488</v>
      </c>
      <c r="D59" s="12">
        <f>+'Balance Sheet Yahoo Input'!C64/1000-1000</f>
        <v>-667437</v>
      </c>
      <c r="E59" s="12">
        <f>+'Balance Sheet Yahoo Input'!D64/1000-1000</f>
        <v>-10966</v>
      </c>
      <c r="F59" s="12">
        <f>+'Balance Sheet Yahoo Input'!E64/1000-1000</f>
        <v>31416</v>
      </c>
      <c r="G59" s="12">
        <f>+'Balance Sheet Yahoo Input'!F64/1000-1000</f>
        <v>81946</v>
      </c>
      <c r="H59" s="12">
        <f>+'Balance Sheet Yahoo Input'!G64/1000-1000</f>
        <v>59519</v>
      </c>
      <c r="I59" s="12">
        <f>+'Balance Sheet Yahoo Input'!H64/1000-1000</f>
        <v>56009</v>
      </c>
      <c r="J59" s="12">
        <f>+'Balance Sheet Yahoo Input'!I64/1000-1000</f>
        <v>95217</v>
      </c>
      <c r="K59" s="12">
        <f>+'Balance Sheet Yahoo Input'!J64/1000-1000</f>
        <v>138131</v>
      </c>
      <c r="L59" s="12">
        <f>+'Balance Sheet Yahoo Input'!K64/1000-1000</f>
        <v>158260</v>
      </c>
      <c r="M59"/>
      <c r="N59" s="36"/>
    </row>
    <row r="60" spans="2:14" ht="11.5" customHeight="1">
      <c r="B60" s="8" t="s">
        <v>45</v>
      </c>
      <c r="C60" s="18">
        <f>+C59+C58</f>
        <v>-698488</v>
      </c>
      <c r="D60" s="18">
        <f>+D59+D58</f>
        <v>-666437</v>
      </c>
      <c r="E60" s="18">
        <f t="shared" ref="E60:H60" si="38">+E59+E58</f>
        <v>-9966</v>
      </c>
      <c r="F60" s="18">
        <f t="shared" si="38"/>
        <v>32416</v>
      </c>
      <c r="G60" s="18">
        <f t="shared" si="38"/>
        <v>82946</v>
      </c>
      <c r="H60" s="18">
        <f t="shared" si="38"/>
        <v>60519</v>
      </c>
      <c r="I60" s="18">
        <f t="shared" ref="I60" si="39">+I59+I58</f>
        <v>57009</v>
      </c>
      <c r="J60" s="18">
        <f t="shared" ref="J60" si="40">+J59+J58</f>
        <v>96217</v>
      </c>
      <c r="K60" s="18">
        <f t="shared" ref="K60" si="41">+K59+K58</f>
        <v>139131</v>
      </c>
      <c r="L60" s="18">
        <f t="shared" ref="L60" si="42">+L59+L58</f>
        <v>159260</v>
      </c>
      <c r="M60"/>
      <c r="N60" s="36"/>
    </row>
    <row r="61" spans="2:14" ht="11.5" customHeight="1">
      <c r="B61" s="20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/>
      <c r="N61" s="36"/>
    </row>
    <row r="62" spans="2:14" ht="11.5" customHeight="1" thickBot="1">
      <c r="B62" s="21" t="s">
        <v>46</v>
      </c>
      <c r="C62" s="19">
        <f>+C60+C55</f>
        <v>2313020</v>
      </c>
      <c r="D62" s="19">
        <f>+D60+D55</f>
        <v>2693412</v>
      </c>
      <c r="E62" s="19">
        <f t="shared" ref="E62:H62" si="43">+E60+E55</f>
        <v>2581145</v>
      </c>
      <c r="F62" s="19">
        <f t="shared" si="43"/>
        <v>2024183</v>
      </c>
      <c r="G62" s="19">
        <f t="shared" si="43"/>
        <v>2064159</v>
      </c>
      <c r="H62" s="19">
        <f t="shared" si="43"/>
        <v>1973181</v>
      </c>
      <c r="I62" s="19">
        <f t="shared" ref="I62:L62" si="44">+I60+I55</f>
        <v>1994907</v>
      </c>
      <c r="J62" s="19">
        <f t="shared" si="44"/>
        <v>2038319</v>
      </c>
      <c r="K62" s="19">
        <f t="shared" si="44"/>
        <v>2014627</v>
      </c>
      <c r="L62" s="19">
        <f t="shared" si="44"/>
        <v>2027622</v>
      </c>
      <c r="M62"/>
      <c r="N62"/>
    </row>
    <row r="63" spans="2:14" ht="11.5" customHeight="1" thickTop="1">
      <c r="B63" s="22" t="s">
        <v>47</v>
      </c>
      <c r="C63" s="23">
        <f>+C40-C62</f>
        <v>0</v>
      </c>
      <c r="D63" s="23">
        <f>+D40-D62</f>
        <v>0</v>
      </c>
      <c r="E63" s="23">
        <f t="shared" ref="E63:H63" si="45">+E40-E62</f>
        <v>0</v>
      </c>
      <c r="F63" s="23">
        <f t="shared" si="45"/>
        <v>0</v>
      </c>
      <c r="G63" s="23">
        <f t="shared" si="45"/>
        <v>0</v>
      </c>
      <c r="H63" s="23">
        <f t="shared" si="45"/>
        <v>0</v>
      </c>
      <c r="I63" s="23">
        <f t="shared" ref="I63" si="46">+I40-I62</f>
        <v>0</v>
      </c>
      <c r="J63" s="23">
        <f t="shared" ref="J63" si="47">+J40-J62</f>
        <v>0</v>
      </c>
      <c r="K63" s="23">
        <f t="shared" ref="K63" si="48">+K40-K62</f>
        <v>0</v>
      </c>
      <c r="L63" s="23">
        <f t="shared" ref="L63" si="49">+L40-L62</f>
        <v>0</v>
      </c>
      <c r="M63"/>
      <c r="N63" s="36"/>
    </row>
    <row r="64" spans="2:14" ht="17" customHeight="1">
      <c r="M64"/>
      <c r="N64" s="36"/>
    </row>
    <row r="65" spans="2:14" ht="17" customHeight="1">
      <c r="B65" s="79" t="s">
        <v>273</v>
      </c>
      <c r="C65" s="116" t="s">
        <v>75</v>
      </c>
      <c r="D65" s="79"/>
      <c r="E65" s="80"/>
      <c r="F65" s="80"/>
      <c r="G65" s="80"/>
      <c r="H65" s="80"/>
      <c r="I65" s="81"/>
      <c r="J65" s="82"/>
      <c r="K65" s="82"/>
      <c r="L65" s="83"/>
      <c r="M65"/>
      <c r="N65" s="36"/>
    </row>
    <row r="66" spans="2:14" ht="19.75" customHeight="1">
      <c r="B66" s="74"/>
      <c r="C66" s="75" t="str">
        <f>+C20</f>
        <v>Dec 31</v>
      </c>
      <c r="D66" s="75" t="s">
        <v>82</v>
      </c>
      <c r="E66" s="78" t="str">
        <f t="shared" ref="E66:L66" si="50">+E5</f>
        <v>Dec 31</v>
      </c>
      <c r="F66" s="78" t="str">
        <f t="shared" si="50"/>
        <v>Dec 31</v>
      </c>
      <c r="G66" s="78" t="str">
        <f t="shared" si="50"/>
        <v>Dec 31</v>
      </c>
      <c r="H66" s="78" t="str">
        <f t="shared" si="50"/>
        <v>Dec 31</v>
      </c>
      <c r="I66" s="78" t="str">
        <f t="shared" si="50"/>
        <v>Dec 31</v>
      </c>
      <c r="J66" s="78" t="str">
        <f t="shared" si="50"/>
        <v>Dec 31</v>
      </c>
      <c r="K66" s="78" t="str">
        <f t="shared" si="50"/>
        <v>Dec 31</v>
      </c>
      <c r="L66" s="78" t="str">
        <f t="shared" si="50"/>
        <v>Dec 31</v>
      </c>
      <c r="M66"/>
      <c r="N66" s="36"/>
    </row>
    <row r="67" spans="2:14" ht="17" customHeight="1" thickBot="1">
      <c r="B67" s="76" t="s">
        <v>0</v>
      </c>
      <c r="C67" s="77">
        <f>+C21</f>
        <v>2021</v>
      </c>
      <c r="D67" s="77">
        <v>2020</v>
      </c>
      <c r="E67" s="77">
        <v>2019</v>
      </c>
      <c r="F67" s="77">
        <v>2018</v>
      </c>
      <c r="G67" s="77">
        <v>2017</v>
      </c>
      <c r="H67" s="77">
        <v>2016</v>
      </c>
      <c r="I67" s="77">
        <v>2015</v>
      </c>
      <c r="J67" s="77">
        <v>2014</v>
      </c>
      <c r="K67" s="77">
        <v>2013</v>
      </c>
      <c r="L67" s="77">
        <v>2012</v>
      </c>
      <c r="M67"/>
      <c r="N67" s="36"/>
    </row>
    <row r="68" spans="2:14" ht="13.75" customHeight="1">
      <c r="B68" s="124" t="s">
        <v>270</v>
      </c>
      <c r="C68" s="125">
        <f>+'Income Stat Yahoo Input'!B8/1000</f>
        <v>148803</v>
      </c>
      <c r="D68" s="125">
        <f>+'Income Stat Yahoo Input'!C8/1000</f>
        <v>157549</v>
      </c>
      <c r="E68" s="125">
        <f>+'Income Stat Yahoo Input'!D8/1000</f>
        <v>170456</v>
      </c>
      <c r="F68" s="125">
        <f>+'Income Stat Yahoo Input'!E8/1000</f>
        <v>155529</v>
      </c>
      <c r="G68" s="125">
        <f>+'Income Stat Yahoo Input'!F8/1000</f>
        <v>153222</v>
      </c>
      <c r="H68" s="125">
        <f>+'Income Stat Yahoo Input'!G8/1000</f>
        <v>131876</v>
      </c>
      <c r="I68" s="125">
        <f>+'Income Stat Yahoo Input'!H8/1000</f>
        <v>125631</v>
      </c>
      <c r="J68" s="125">
        <f>+'Income Stat Yahoo Input'!I8/1000</f>
        <v>124286</v>
      </c>
      <c r="K68" s="125">
        <f>+'Income Stat Yahoo Input'!J8/1000</f>
        <v>122487</v>
      </c>
      <c r="L68" s="125">
        <f>+'Income Stat Yahoo Input'!K8/1000</f>
        <v>127339</v>
      </c>
      <c r="M68"/>
      <c r="N68"/>
    </row>
    <row r="69" spans="2:14" ht="13.75" customHeight="1">
      <c r="B69" s="21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/>
      <c r="N69"/>
    </row>
    <row r="70" spans="2:14" ht="11.5" customHeight="1">
      <c r="B70" s="126" t="s">
        <v>274</v>
      </c>
      <c r="C70" s="125">
        <f>+'Cash Flow Yahoo Input'!B17/1000</f>
        <v>44722</v>
      </c>
      <c r="D70" s="125">
        <f>+'Cash Flow Yahoo Input'!C17/1000</f>
        <v>-69014</v>
      </c>
      <c r="E70" s="125">
        <f>+'Cash Flow Yahoo Input'!D17/1000</f>
        <v>50263</v>
      </c>
      <c r="F70" s="125">
        <f>+'Cash Flow Yahoo Input'!E17/1000</f>
        <v>-8887</v>
      </c>
      <c r="G70" s="125">
        <f>+'Cash Flow Yahoo Input'!F17/1000</f>
        <v>-20908</v>
      </c>
      <c r="H70" s="125">
        <f>+'Cash Flow Yahoo Input'!G17/1000</f>
        <v>27714</v>
      </c>
      <c r="I70" s="125">
        <f>+'Cash Flow Yahoo Input'!H17/1000</f>
        <v>16226</v>
      </c>
      <c r="J70" s="125">
        <f>+'Cash Flow Yahoo Input'!I17/1000</f>
        <v>22310</v>
      </c>
      <c r="K70" s="125">
        <f>+'Cash Flow Yahoo Input'!J17/1000</f>
        <v>15714</v>
      </c>
      <c r="L70" s="125">
        <f>+'Cash Flow Yahoo Input'!K17/1000</f>
        <v>3122</v>
      </c>
      <c r="M70"/>
      <c r="N70" s="36"/>
    </row>
    <row r="71" spans="2:14" ht="11.5" customHeight="1">
      <c r="B71" s="20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/>
      <c r="N71"/>
    </row>
    <row r="72" spans="2:14" ht="11.5" customHeight="1">
      <c r="B72" s="26" t="s">
        <v>49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/>
      <c r="N72" s="36"/>
    </row>
    <row r="73" spans="2:14" ht="11.5" customHeight="1">
      <c r="B73" s="127" t="s">
        <v>50</v>
      </c>
      <c r="C73" s="125">
        <f>'Cash Flow Yahoo Input'!B33/1000</f>
        <v>-59183</v>
      </c>
      <c r="D73" s="125">
        <f>'Cash Flow Yahoo Input'!C33/1000</f>
        <v>-129087</v>
      </c>
      <c r="E73" s="125">
        <f>'Cash Flow Yahoo Input'!D33/1000</f>
        <v>-330662</v>
      </c>
      <c r="F73" s="125">
        <f>'Cash Flow Yahoo Input'!E33/1000</f>
        <v>-189775</v>
      </c>
      <c r="G73" s="125">
        <f>'Cash Flow Yahoo Input'!F33/1000</f>
        <v>-188084</v>
      </c>
      <c r="H73" s="125">
        <f>'Cash Flow Yahoo Input'!G33/1000</f>
        <v>-160656</v>
      </c>
      <c r="I73" s="125">
        <f>'Cash Flow Yahoo Input'!H33/1000</f>
        <v>-175865</v>
      </c>
      <c r="J73" s="125">
        <f>'Cash Flow Yahoo Input'!I33/1000</f>
        <v>-166719</v>
      </c>
      <c r="K73" s="125">
        <f>'Cash Flow Yahoo Input'!J33/1000</f>
        <v>-120448</v>
      </c>
      <c r="L73" s="125">
        <f>'Cash Flow Yahoo Input'!K33/1000</f>
        <v>-96232</v>
      </c>
      <c r="M73"/>
      <c r="N73" s="36"/>
    </row>
    <row r="74" spans="2:14" ht="11.5" customHeight="1">
      <c r="B74" s="20"/>
      <c r="C74" s="12"/>
      <c r="D74" s="12"/>
      <c r="E74" s="12"/>
      <c r="F74" s="12"/>
      <c r="G74" s="12"/>
      <c r="H74" s="12"/>
      <c r="M74"/>
      <c r="N74" s="36"/>
    </row>
    <row r="75" spans="2:14" ht="11.5" customHeight="1">
      <c r="B75" s="26" t="s">
        <v>51</v>
      </c>
      <c r="C75" s="12"/>
      <c r="D75" s="12"/>
      <c r="E75" s="12"/>
      <c r="F75" s="12"/>
      <c r="G75" s="12"/>
      <c r="H75" s="12"/>
      <c r="M75"/>
      <c r="N75"/>
    </row>
    <row r="76" spans="2:14" ht="11.5" customHeight="1">
      <c r="B76" s="24" t="s">
        <v>52</v>
      </c>
      <c r="C76" s="12">
        <f t="shared" ref="C76" si="51">+C47-D47</f>
        <v>0</v>
      </c>
      <c r="D76" s="12">
        <f t="shared" ref="D76:L76" si="52">+D47-E47</f>
        <v>-7500</v>
      </c>
      <c r="E76" s="12">
        <f t="shared" si="52"/>
        <v>1875</v>
      </c>
      <c r="F76" s="12">
        <f t="shared" si="52"/>
        <v>5625</v>
      </c>
      <c r="G76" s="12">
        <f t="shared" si="52"/>
        <v>-2775</v>
      </c>
      <c r="H76" s="12">
        <f t="shared" si="52"/>
        <v>300</v>
      </c>
      <c r="I76" s="12">
        <f t="shared" si="52"/>
        <v>2475</v>
      </c>
      <c r="J76" s="12">
        <f t="shared" si="52"/>
        <v>0</v>
      </c>
      <c r="K76" s="12">
        <f t="shared" si="52"/>
        <v>0</v>
      </c>
      <c r="L76" s="12">
        <f t="shared" si="52"/>
        <v>0</v>
      </c>
      <c r="M76"/>
      <c r="N76" s="36"/>
    </row>
    <row r="77" spans="2:14" ht="11.5" customHeight="1">
      <c r="B77" s="24" t="s">
        <v>53</v>
      </c>
      <c r="C77" s="12">
        <f t="shared" ref="C77" si="53">+C51-D51</f>
        <v>-435308</v>
      </c>
      <c r="D77" s="12">
        <f t="shared" ref="D77:L77" si="54">+D51-E51</f>
        <v>808361</v>
      </c>
      <c r="E77" s="12">
        <f t="shared" si="54"/>
        <v>488315</v>
      </c>
      <c r="F77" s="12">
        <f t="shared" si="54"/>
        <v>-2947</v>
      </c>
      <c r="G77" s="12">
        <f t="shared" si="54"/>
        <v>126304</v>
      </c>
      <c r="H77" s="12">
        <f t="shared" si="54"/>
        <v>-22164</v>
      </c>
      <c r="I77" s="12">
        <f t="shared" si="54"/>
        <v>-2475</v>
      </c>
      <c r="J77" s="12">
        <f t="shared" si="54"/>
        <v>38218</v>
      </c>
      <c r="K77" s="12">
        <f t="shared" si="54"/>
        <v>-11548</v>
      </c>
      <c r="L77" s="12">
        <f t="shared" si="54"/>
        <v>1532180</v>
      </c>
      <c r="M77"/>
      <c r="N77" s="36"/>
    </row>
    <row r="78" spans="2:14" ht="11.5" customHeight="1">
      <c r="B78" s="24" t="s">
        <v>54</v>
      </c>
      <c r="C78" s="12">
        <f t="shared" ref="C78" si="55">+C53-D53</f>
        <v>2862</v>
      </c>
      <c r="D78" s="12">
        <f t="shared" ref="D78:L78" si="56">+D53-E53</f>
        <v>-117</v>
      </c>
      <c r="E78" s="12">
        <f t="shared" si="56"/>
        <v>10600</v>
      </c>
      <c r="F78" s="12">
        <f t="shared" si="56"/>
        <v>0</v>
      </c>
      <c r="G78" s="12">
        <f t="shared" si="56"/>
        <v>0</v>
      </c>
      <c r="H78" s="12">
        <f t="shared" si="56"/>
        <v>0</v>
      </c>
      <c r="I78" s="12">
        <f t="shared" si="56"/>
        <v>0</v>
      </c>
      <c r="J78" s="12">
        <f t="shared" si="56"/>
        <v>0</v>
      </c>
      <c r="K78" s="12">
        <f t="shared" si="56"/>
        <v>0</v>
      </c>
      <c r="L78" s="12">
        <f t="shared" si="56"/>
        <v>0</v>
      </c>
      <c r="M78"/>
      <c r="N78" s="36"/>
    </row>
    <row r="79" spans="2:14" ht="11.5" customHeight="1">
      <c r="B79" s="24" t="s">
        <v>55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1</v>
      </c>
      <c r="I79" s="15">
        <v>2</v>
      </c>
      <c r="J79" s="15">
        <v>3</v>
      </c>
      <c r="K79" s="15">
        <v>4</v>
      </c>
      <c r="L79" s="15">
        <v>5</v>
      </c>
      <c r="M79"/>
      <c r="N79" s="36"/>
    </row>
    <row r="80" spans="2:14" ht="11.5" customHeight="1">
      <c r="B80" s="21" t="s">
        <v>56</v>
      </c>
      <c r="C80" s="27">
        <f>SUM(C76:C79)</f>
        <v>-432446</v>
      </c>
      <c r="D80" s="27">
        <f>SUM(D76:D79)</f>
        <v>800744</v>
      </c>
      <c r="E80" s="27">
        <f>SUM(E76:E79)</f>
        <v>500790</v>
      </c>
      <c r="F80" s="27">
        <f>SUM(F76:F79)</f>
        <v>2678</v>
      </c>
      <c r="G80" s="27">
        <f>SUM(G76:G79)</f>
        <v>123529</v>
      </c>
      <c r="H80" s="27">
        <f t="shared" ref="H80:L80" si="57">SUM(H76:H79)</f>
        <v>-21863</v>
      </c>
      <c r="I80" s="27">
        <f t="shared" si="57"/>
        <v>2</v>
      </c>
      <c r="J80" s="27">
        <f t="shared" si="57"/>
        <v>38221</v>
      </c>
      <c r="K80" s="27">
        <f t="shared" si="57"/>
        <v>-11544</v>
      </c>
      <c r="L80" s="27">
        <f t="shared" si="57"/>
        <v>1532185</v>
      </c>
      <c r="M80"/>
      <c r="N80"/>
    </row>
    <row r="81" spans="2:14" ht="11.5" customHeight="1">
      <c r="B81" s="20"/>
      <c r="C81" s="20"/>
      <c r="D81" s="12"/>
      <c r="E81" s="12"/>
      <c r="F81" s="12"/>
      <c r="G81" s="12"/>
      <c r="H81" s="12"/>
      <c r="I81" s="12"/>
      <c r="J81" s="12"/>
      <c r="K81" s="12"/>
      <c r="L81" s="12"/>
      <c r="M81"/>
      <c r="N81" s="36"/>
    </row>
    <row r="82" spans="2:14" ht="11.5" customHeight="1">
      <c r="B82" s="24"/>
      <c r="C82" s="24"/>
      <c r="D82" s="12"/>
      <c r="E82" s="12"/>
      <c r="F82" s="12"/>
      <c r="G82" s="12"/>
      <c r="H82" s="12"/>
      <c r="I82" s="12"/>
      <c r="J82" s="12"/>
      <c r="K82" s="12"/>
      <c r="L82" s="12"/>
      <c r="M82"/>
      <c r="N82" s="36"/>
    </row>
    <row r="83" spans="2:14" ht="11.5" customHeight="1">
      <c r="B83" s="79" t="s">
        <v>57</v>
      </c>
      <c r="C83" s="79"/>
      <c r="D83" s="79"/>
      <c r="E83" s="80"/>
      <c r="F83" s="80"/>
      <c r="G83" s="80"/>
      <c r="H83" s="80"/>
      <c r="I83" s="81"/>
      <c r="J83" s="82"/>
      <c r="K83" s="82"/>
      <c r="L83" s="83"/>
      <c r="M83"/>
      <c r="N83" s="36"/>
    </row>
    <row r="84" spans="2:14" ht="19.75" customHeight="1">
      <c r="B84" s="5"/>
      <c r="C84" s="75" t="str">
        <f>+C66</f>
        <v>Dec 31</v>
      </c>
      <c r="D84" s="75" t="str">
        <f>+D66</f>
        <v>Dec 31</v>
      </c>
      <c r="E84" s="78" t="s">
        <v>82</v>
      </c>
      <c r="F84" s="78" t="s">
        <v>82</v>
      </c>
      <c r="G84" s="78" t="s">
        <v>82</v>
      </c>
      <c r="H84" s="78" t="s">
        <v>82</v>
      </c>
      <c r="I84" s="78" t="s">
        <v>82</v>
      </c>
      <c r="J84" s="78" t="s">
        <v>82</v>
      </c>
      <c r="K84" s="78" t="s">
        <v>82</v>
      </c>
      <c r="L84" s="78" t="s">
        <v>82</v>
      </c>
      <c r="M84"/>
      <c r="N84" s="36"/>
    </row>
    <row r="85" spans="2:14" ht="20" customHeight="1" thickBot="1">
      <c r="B85" s="29"/>
      <c r="C85" s="77">
        <v>2021</v>
      </c>
      <c r="D85" s="77">
        <v>2020</v>
      </c>
      <c r="E85" s="77">
        <v>2019</v>
      </c>
      <c r="F85" s="77">
        <v>2018</v>
      </c>
      <c r="G85" s="77">
        <v>2017</v>
      </c>
      <c r="H85" s="77">
        <f>+H67</f>
        <v>2016</v>
      </c>
      <c r="I85" s="77">
        <f>+I67</f>
        <v>2015</v>
      </c>
      <c r="J85" s="77">
        <f>+J67</f>
        <v>2014</v>
      </c>
      <c r="K85" s="77">
        <f>+K67</f>
        <v>2013</v>
      </c>
      <c r="L85" s="77">
        <f>+L67</f>
        <v>2012</v>
      </c>
      <c r="M85"/>
      <c r="N85" s="36"/>
    </row>
    <row r="86" spans="2:14" ht="11.5" customHeight="1">
      <c r="B86" s="30" t="s">
        <v>58</v>
      </c>
      <c r="C86" s="27">
        <f>+Projections!L34</f>
        <v>307753</v>
      </c>
      <c r="D86" s="68">
        <f>+Projections!K34</f>
        <v>-302336</v>
      </c>
      <c r="E86" s="27">
        <f>+Projections!J34</f>
        <v>484209</v>
      </c>
      <c r="F86" s="27">
        <f>+Projections!I34</f>
        <v>456114</v>
      </c>
      <c r="G86" s="27">
        <f>+Projections!H34</f>
        <v>459284</v>
      </c>
      <c r="H86" s="27">
        <f>+Projections!G34</f>
        <v>461402</v>
      </c>
      <c r="I86" s="27">
        <f>+Projections!F34</f>
        <v>441835</v>
      </c>
      <c r="J86" s="27">
        <f>+Projections!E34</f>
        <v>411454</v>
      </c>
      <c r="K86" s="27">
        <f>+Projections!D34</f>
        <v>418044</v>
      </c>
      <c r="L86" s="27">
        <f>+Projections!C34</f>
        <v>383692</v>
      </c>
      <c r="M86"/>
      <c r="N86" s="36"/>
    </row>
    <row r="87" spans="2:14" ht="11.5" customHeight="1">
      <c r="B87" s="20"/>
      <c r="C87" s="69"/>
      <c r="D87" s="69" t="s">
        <v>271</v>
      </c>
      <c r="E87" s="1"/>
      <c r="F87" s="1"/>
      <c r="G87" s="1"/>
      <c r="H87" s="1"/>
      <c r="M87"/>
      <c r="N87"/>
    </row>
    <row r="88" spans="2:14" ht="11.5" customHeight="1">
      <c r="B88" s="31" t="s">
        <v>59</v>
      </c>
      <c r="C88" s="31"/>
      <c r="D88" s="31"/>
      <c r="E88" s="29"/>
      <c r="F88" s="29"/>
      <c r="G88" s="29"/>
      <c r="H88" s="29"/>
    </row>
    <row r="89" spans="2:14" ht="11.5" customHeight="1">
      <c r="B89" s="24" t="s">
        <v>60</v>
      </c>
      <c r="C89" s="32">
        <f t="shared" ref="C89:K89" si="58">+C7/D7-1</f>
        <v>6.370873839883231</v>
      </c>
      <c r="D89" s="32">
        <f t="shared" si="58"/>
        <v>-0.87690560536976458</v>
      </c>
      <c r="E89" s="32">
        <f t="shared" si="58"/>
        <v>9.3727985287683557E-2</v>
      </c>
      <c r="F89" s="32">
        <f t="shared" si="58"/>
        <v>2.0093542425794197E-2</v>
      </c>
      <c r="G89" s="32">
        <f t="shared" si="58"/>
        <v>2.5797670713831877E-2</v>
      </c>
      <c r="H89" s="32">
        <f t="shared" si="58"/>
        <v>4.284183728792712E-2</v>
      </c>
      <c r="I89" s="32">
        <f t="shared" si="58"/>
        <v>6.5688747461420061E-2</v>
      </c>
      <c r="J89" s="32">
        <f t="shared" si="58"/>
        <v>2.2063826711746781E-2</v>
      </c>
      <c r="K89" s="32">
        <f t="shared" si="58"/>
        <v>6.1881934084200063E-2</v>
      </c>
      <c r="L89" s="32"/>
    </row>
    <row r="90" spans="2:14" ht="11.5" customHeight="1">
      <c r="B90" s="20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2:14" ht="11.5" customHeight="1">
      <c r="B91" s="26" t="s">
        <v>61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2:14" ht="11.5" customHeight="1">
      <c r="B92" s="24" t="s">
        <v>62</v>
      </c>
      <c r="C92" s="33">
        <f t="shared" ref="C92" si="59">+C29/C48</f>
        <v>0.70610252834758358</v>
      </c>
      <c r="D92" s="33">
        <f t="shared" ref="D92:L92" si="60">+D29/D48</f>
        <v>1.7158753387714556</v>
      </c>
      <c r="E92" s="33">
        <f t="shared" si="60"/>
        <v>0.95164405284169085</v>
      </c>
      <c r="F92" s="33">
        <f t="shared" si="60"/>
        <v>0.88780627047661242</v>
      </c>
      <c r="G92" s="33">
        <f t="shared" si="60"/>
        <v>1.0718200927740871</v>
      </c>
      <c r="H92" s="33">
        <f t="shared" si="60"/>
        <v>0.79751774949213583</v>
      </c>
      <c r="I92" s="33">
        <f t="shared" si="60"/>
        <v>0.96004449567375205</v>
      </c>
      <c r="J92" s="33">
        <f t="shared" si="60"/>
        <v>0.98827559416604871</v>
      </c>
      <c r="K92" s="33">
        <f t="shared" si="60"/>
        <v>1.0730357244063249</v>
      </c>
      <c r="L92" s="33">
        <f t="shared" si="60"/>
        <v>0.89288143442207779</v>
      </c>
    </row>
    <row r="93" spans="2:14" ht="11.5" customHeight="1">
      <c r="B93" s="24" t="s">
        <v>63</v>
      </c>
      <c r="C93" s="33">
        <f t="shared" ref="C93" si="61">+(C26+C27)/C48</f>
        <v>0.70610252834758358</v>
      </c>
      <c r="D93" s="33">
        <f t="shared" ref="D93:L93" si="62">+(D26+D27)/D48</f>
        <v>1.7158753387714556</v>
      </c>
      <c r="E93" s="33">
        <f t="shared" si="62"/>
        <v>0.95164405284169085</v>
      </c>
      <c r="F93" s="33">
        <f t="shared" si="62"/>
        <v>0.88780627047661242</v>
      </c>
      <c r="G93" s="33">
        <f t="shared" si="62"/>
        <v>1.0718200927740871</v>
      </c>
      <c r="H93" s="33">
        <f t="shared" si="62"/>
        <v>0.79751774949213583</v>
      </c>
      <c r="I93" s="33">
        <f t="shared" si="62"/>
        <v>0.89869684050515675</v>
      </c>
      <c r="J93" s="33">
        <f t="shared" si="62"/>
        <v>0.94153436350703013</v>
      </c>
      <c r="K93" s="33">
        <f t="shared" si="62"/>
        <v>1.0121096480456426</v>
      </c>
      <c r="L93" s="33">
        <f t="shared" si="62"/>
        <v>0.83366376752868987</v>
      </c>
    </row>
    <row r="94" spans="2:14" ht="11.5" customHeight="1">
      <c r="B94" s="24" t="s">
        <v>64</v>
      </c>
      <c r="C94" s="33">
        <f t="shared" ref="C94:L94" si="63">+C7/((C27+D27)/2)</f>
        <v>27.719597323777368</v>
      </c>
      <c r="D94" s="33">
        <f t="shared" si="63"/>
        <v>3.7222581008908162</v>
      </c>
      <c r="E94" s="33">
        <f t="shared" si="63"/>
        <v>25.735011864879954</v>
      </c>
      <c r="F94" s="33">
        <f t="shared" si="63"/>
        <v>30.222545943523084</v>
      </c>
      <c r="G94" s="33">
        <f t="shared" si="63"/>
        <v>36.150924305403635</v>
      </c>
      <c r="H94" s="33">
        <f t="shared" si="63"/>
        <v>39.709157576878042</v>
      </c>
      <c r="I94" s="33">
        <f t="shared" si="63"/>
        <v>43.445235458524493</v>
      </c>
      <c r="J94" s="33">
        <f t="shared" si="63"/>
        <v>47.595017238548678</v>
      </c>
      <c r="K94" s="33">
        <f t="shared" si="63"/>
        <v>57.410347881087922</v>
      </c>
      <c r="L94" s="33">
        <f t="shared" si="63"/>
        <v>117.46416007036059</v>
      </c>
    </row>
    <row r="95" spans="2:14" ht="11.5" customHeight="1">
      <c r="B95" s="24" t="s">
        <v>65</v>
      </c>
      <c r="C95" s="34">
        <f>365/C94</f>
        <v>13.167579447011288</v>
      </c>
      <c r="D95" s="34">
        <f>365/D94</f>
        <v>98.058756299743877</v>
      </c>
      <c r="E95" s="34">
        <f>365/E94</f>
        <v>14.183012695560791</v>
      </c>
      <c r="F95" s="34">
        <f>365/F94</f>
        <v>12.077076520359206</v>
      </c>
      <c r="G95" s="34">
        <f>365/G94</f>
        <v>10.096560655447526</v>
      </c>
      <c r="H95" s="34">
        <f t="shared" ref="H95:L95" si="64">365/H94</f>
        <v>9.1918343846340669</v>
      </c>
      <c r="I95" s="34">
        <f t="shared" si="64"/>
        <v>8.4013815588236724</v>
      </c>
      <c r="J95" s="34">
        <f t="shared" si="64"/>
        <v>7.6688700031476236</v>
      </c>
      <c r="K95" s="34">
        <f t="shared" si="64"/>
        <v>6.3577388654047517</v>
      </c>
      <c r="L95" s="34">
        <f t="shared" si="64"/>
        <v>3.1073307788636666</v>
      </c>
    </row>
    <row r="96" spans="2:14" ht="11.5" customHeight="1">
      <c r="B96" s="20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2:12" ht="11.5" customHeight="1">
      <c r="B97" s="26" t="s">
        <v>66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2:12" ht="11.5" customHeight="1">
      <c r="B98" s="24" t="s">
        <v>67</v>
      </c>
      <c r="C98" s="32">
        <f t="shared" ref="C98" si="65">+(C47+C51)/(C47+C51+C60)</f>
        <v>1.3836901685738896</v>
      </c>
      <c r="D98" s="32">
        <f t="shared" ref="D98:L98" si="66">+(D47+D51)/(D47+D51+D60)</f>
        <v>1.2912994846156167</v>
      </c>
      <c r="E98" s="32">
        <f t="shared" si="66"/>
        <v>1.0046495852183686</v>
      </c>
      <c r="F98" s="32">
        <f t="shared" si="66"/>
        <v>0.98088238503098302</v>
      </c>
      <c r="G98" s="32">
        <f t="shared" si="66"/>
        <v>0.95242451652202142</v>
      </c>
      <c r="H98" s="32">
        <f t="shared" si="66"/>
        <v>0.96211655049592959</v>
      </c>
      <c r="I98" s="32">
        <f t="shared" si="66"/>
        <v>0.96471907511732147</v>
      </c>
      <c r="J98" s="32">
        <f t="shared" si="66"/>
        <v>0.94186519337283625</v>
      </c>
      <c r="K98" s="32">
        <f t="shared" si="66"/>
        <v>0.91617417667462164</v>
      </c>
      <c r="L98" s="32">
        <f t="shared" si="66"/>
        <v>0.90584354159769187</v>
      </c>
    </row>
    <row r="99" spans="2:12" ht="11.5" customHeight="1">
      <c r="B99" s="24" t="s">
        <v>68</v>
      </c>
      <c r="C99" s="33">
        <f t="shared" ref="C99" si="67">+C86/C12</f>
        <v>1.6722798209007128</v>
      </c>
      <c r="D99" s="33">
        <f t="shared" ref="D99:L99" si="68">+D86/D12</f>
        <v>-2.006623791224472</v>
      </c>
      <c r="E99" s="33">
        <f t="shared" si="68"/>
        <v>4.8245287154756689</v>
      </c>
      <c r="F99" s="33">
        <f t="shared" si="68"/>
        <v>5.3230244961312687</v>
      </c>
      <c r="G99" s="33">
        <f t="shared" si="68"/>
        <v>5.3652792542317442</v>
      </c>
      <c r="H99" s="33">
        <f t="shared" si="68"/>
        <v>5.5018542146119263</v>
      </c>
      <c r="I99" s="33">
        <f t="shared" si="68"/>
        <v>5.0873930615205705</v>
      </c>
      <c r="J99" s="33">
        <f t="shared" si="68"/>
        <v>4.2732484473339838</v>
      </c>
      <c r="K99" s="33">
        <f t="shared" si="68"/>
        <v>4.0558838082486828</v>
      </c>
      <c r="L99" s="33">
        <f t="shared" si="68"/>
        <v>3.4685903868232399</v>
      </c>
    </row>
    <row r="100" spans="2:12" ht="11.5" customHeight="1">
      <c r="B100" s="24" t="s">
        <v>69</v>
      </c>
      <c r="C100" s="33">
        <f t="shared" ref="C100" si="69">+C86/(C51+C47)</f>
        <v>0.1221757916834727</v>
      </c>
      <c r="D100" s="33">
        <f t="shared" ref="D100:L100" si="70">+D86/(D51+D47)</f>
        <v>-0.10233954947526339</v>
      </c>
      <c r="E100" s="33">
        <f t="shared" si="70"/>
        <v>0.22485967428924628</v>
      </c>
      <c r="F100" s="33">
        <f t="shared" si="70"/>
        <v>0.27423997094744867</v>
      </c>
      <c r="G100" s="33">
        <f t="shared" si="70"/>
        <v>0.27659129848269964</v>
      </c>
      <c r="H100" s="33">
        <f t="shared" si="70"/>
        <v>0.30019922107293107</v>
      </c>
      <c r="I100" s="33">
        <f t="shared" si="70"/>
        <v>0.283436507681945</v>
      </c>
      <c r="J100" s="33">
        <f t="shared" si="70"/>
        <v>0.26394714052025531</v>
      </c>
      <c r="K100" s="33">
        <f t="shared" si="70"/>
        <v>0.27491464075463362</v>
      </c>
      <c r="L100" s="33">
        <f t="shared" si="70"/>
        <v>0.25042227414533541</v>
      </c>
    </row>
    <row r="101" spans="2:12" ht="11.5" customHeight="1">
      <c r="B101" s="20"/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2:12" ht="11.5" customHeight="1">
      <c r="B102" s="26" t="s">
        <v>70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2:12" ht="11.5" customHeight="1">
      <c r="B103" s="24" t="s">
        <v>3</v>
      </c>
      <c r="C103" s="32">
        <f t="shared" ref="C103" si="71">+C9/C7</f>
        <v>0.91595844925232717</v>
      </c>
      <c r="D103" s="32">
        <f t="shared" ref="D103:L103" si="72">+D9/D7</f>
        <v>0.84582633361791193</v>
      </c>
      <c r="E103" s="32">
        <f t="shared" si="72"/>
        <v>0.9143929352339949</v>
      </c>
      <c r="F103" s="32">
        <f t="shared" si="72"/>
        <v>0.9149199498713414</v>
      </c>
      <c r="G103" s="32">
        <f t="shared" si="72"/>
        <v>0.91617718142737303</v>
      </c>
      <c r="H103" s="32">
        <f t="shared" si="72"/>
        <v>0.91727612105335443</v>
      </c>
      <c r="I103" s="32">
        <f t="shared" si="72"/>
        <v>0.91517327545886074</v>
      </c>
      <c r="J103" s="32">
        <f t="shared" si="72"/>
        <v>0.91789618016479746</v>
      </c>
      <c r="K103" s="32">
        <f t="shared" si="72"/>
        <v>0.91911311049453015</v>
      </c>
      <c r="L103" s="32">
        <f t="shared" si="72"/>
        <v>0.91104156098437561</v>
      </c>
    </row>
    <row r="104" spans="2:12" ht="11.5" customHeight="1">
      <c r="B104" s="24" t="s">
        <v>71</v>
      </c>
      <c r="C104" s="32">
        <f t="shared" ref="C104" si="73">+C86/C7</f>
        <v>0.22997207482482315</v>
      </c>
      <c r="D104" s="32">
        <f t="shared" ref="D104:L104" si="74">+D86/D7</f>
        <v>-1.6652584616231996</v>
      </c>
      <c r="E104" s="32">
        <f t="shared" si="74"/>
        <v>0.32829398104988389</v>
      </c>
      <c r="F104" s="32">
        <f t="shared" si="74"/>
        <v>0.33823051767480145</v>
      </c>
      <c r="G104" s="32">
        <f t="shared" si="74"/>
        <v>0.34742470878622539</v>
      </c>
      <c r="H104" s="32">
        <f t="shared" si="74"/>
        <v>0.3580309469621431</v>
      </c>
      <c r="I104" s="32">
        <f t="shared" si="74"/>
        <v>0.35753590046108608</v>
      </c>
      <c r="J104" s="32">
        <f t="shared" si="74"/>
        <v>0.35482254733292801</v>
      </c>
      <c r="K104" s="32">
        <f t="shared" si="74"/>
        <v>0.36845964821976923</v>
      </c>
      <c r="L104" s="32">
        <f t="shared" si="74"/>
        <v>0.35910951711538353</v>
      </c>
    </row>
    <row r="105" spans="2:12" ht="11.5" customHeight="1">
      <c r="B105" s="24" t="s">
        <v>72</v>
      </c>
      <c r="C105" s="32">
        <f>+C17/((C40+D40)/2)</f>
        <v>-1.9382266652178636E-2</v>
      </c>
      <c r="D105" s="32">
        <f>+D17/((D40+E40)/2)</f>
        <v>-0.22380761076238251</v>
      </c>
      <c r="E105" s="32">
        <f>+E17/((E40+F40)/2)</f>
        <v>7.4854603190044222E-2</v>
      </c>
      <c r="F105" s="32">
        <f>+F17/((F40+G40)/2)</f>
        <v>6.1958123855587424E-2</v>
      </c>
      <c r="G105" s="32">
        <f>+G17/((G40+H40)/2)</f>
        <v>0.10674156746768912</v>
      </c>
      <c r="H105" s="32">
        <f t="shared" ref="H105:L105" si="75">+H17/((H40+I40)/2)</f>
        <v>8.9558497694607581E-2</v>
      </c>
      <c r="I105" s="32">
        <f t="shared" si="75"/>
        <v>5.5648753627989107E-2</v>
      </c>
      <c r="J105" s="32">
        <f t="shared" si="75"/>
        <v>5.1426789303385734E-2</v>
      </c>
      <c r="K105" s="32">
        <f t="shared" si="75"/>
        <v>5.3536533746436701E-2</v>
      </c>
      <c r="L105" s="32">
        <f t="shared" si="75"/>
        <v>9.9837149133319716E-2</v>
      </c>
    </row>
    <row r="106" spans="2:12" ht="11.5" customHeight="1">
      <c r="B106" s="24" t="s">
        <v>73</v>
      </c>
      <c r="C106" s="32">
        <f>+C17/((C60+D60)/2)</f>
        <v>7.1092550872758578E-2</v>
      </c>
      <c r="D106" s="32">
        <f>+D17/((D60+E60)/2)</f>
        <v>1.7452406331728274</v>
      </c>
      <c r="E106" s="32">
        <f t="shared" ref="E106:L106" si="76">+E17/((E60+F60)/2)</f>
        <v>15.355456570155901</v>
      </c>
      <c r="F106" s="32">
        <f t="shared" si="76"/>
        <v>2.1957490334772283</v>
      </c>
      <c r="G106" s="32">
        <f t="shared" si="76"/>
        <v>3.0038824800473982</v>
      </c>
      <c r="H106" s="32">
        <f t="shared" si="76"/>
        <v>3.0237560411136069</v>
      </c>
      <c r="I106" s="32">
        <f t="shared" si="76"/>
        <v>1.4647905707908579</v>
      </c>
      <c r="J106" s="32">
        <f t="shared" si="76"/>
        <v>0.8856246919455445</v>
      </c>
      <c r="K106" s="32">
        <f t="shared" si="76"/>
        <v>0.72524975619237841</v>
      </c>
      <c r="L106" s="32">
        <f t="shared" si="76"/>
        <v>1.2710787391686551</v>
      </c>
    </row>
    <row r="107" spans="2:12" ht="11.5" customHeight="1">
      <c r="B107" s="28"/>
      <c r="C107" s="28"/>
      <c r="D107" s="28"/>
      <c r="E107" s="12"/>
      <c r="F107" s="12"/>
      <c r="G107" s="12"/>
      <c r="H107" s="12"/>
    </row>
    <row r="108" spans="2:12" ht="11.5" customHeight="1">
      <c r="B108" s="28"/>
      <c r="C108" s="28"/>
      <c r="D108" s="28"/>
      <c r="E108" s="12"/>
      <c r="F108" s="12"/>
      <c r="G108" s="12"/>
      <c r="H108" s="12"/>
    </row>
    <row r="109" spans="2:12" ht="11.5" customHeight="1">
      <c r="B109" s="28"/>
      <c r="C109" s="28"/>
      <c r="D109" s="28"/>
      <c r="E109" s="12"/>
      <c r="F109" s="12"/>
      <c r="G109" s="12"/>
      <c r="H109" s="12"/>
    </row>
    <row r="110" spans="2:12" ht="11.5" customHeight="1">
      <c r="B110" s="28"/>
      <c r="C110" s="28"/>
      <c r="D110" s="28"/>
      <c r="E110" s="12"/>
      <c r="F110" s="12"/>
      <c r="G110" s="12"/>
      <c r="H110" s="12"/>
    </row>
    <row r="111" spans="2:12" ht="11.5" customHeight="1">
      <c r="B111" s="28"/>
      <c r="C111" s="28"/>
      <c r="D111" s="28"/>
      <c r="E111" s="12"/>
      <c r="F111" s="12"/>
      <c r="G111" s="12"/>
      <c r="H111" s="12"/>
    </row>
    <row r="112" spans="2:12" ht="11.5" customHeight="1">
      <c r="B112" s="28"/>
      <c r="C112" s="28"/>
      <c r="D112" s="28"/>
      <c r="E112" s="12"/>
      <c r="F112" s="12"/>
      <c r="G112" s="12"/>
      <c r="H112" s="12"/>
    </row>
    <row r="113" spans="2:10" ht="11.5" customHeight="1">
      <c r="B113" s="28"/>
      <c r="C113" s="28"/>
      <c r="D113" s="28"/>
      <c r="E113" s="12"/>
      <c r="F113" s="12"/>
      <c r="G113" s="12"/>
      <c r="H113" s="12"/>
    </row>
    <row r="114" spans="2:10" ht="11.5" customHeight="1">
      <c r="B114" s="28"/>
      <c r="C114" s="28"/>
      <c r="D114" s="28"/>
      <c r="E114" s="12"/>
      <c r="F114" s="12"/>
      <c r="G114" s="12"/>
      <c r="H114" s="12"/>
    </row>
    <row r="115" spans="2:10" ht="11.5" customHeight="1">
      <c r="B115" s="28"/>
      <c r="C115" s="28"/>
      <c r="D115" s="28"/>
      <c r="E115" s="12"/>
      <c r="F115" s="12"/>
      <c r="G115" s="12"/>
      <c r="H115" s="12"/>
    </row>
    <row r="116" spans="2:10" ht="11.5" customHeight="1">
      <c r="B116" s="28"/>
      <c r="C116" s="28"/>
      <c r="D116" s="28"/>
      <c r="E116" s="12"/>
      <c r="F116" s="12"/>
      <c r="G116" s="12"/>
      <c r="H116" s="12"/>
    </row>
    <row r="117" spans="2:10" ht="11.5" customHeight="1">
      <c r="B117" s="28"/>
      <c r="C117" s="28"/>
      <c r="D117" s="28"/>
      <c r="E117" s="12"/>
      <c r="F117" s="12"/>
      <c r="G117" s="12"/>
      <c r="H117" s="12"/>
    </row>
    <row r="118" spans="2:10" ht="11.5" customHeight="1">
      <c r="B118" s="28"/>
      <c r="C118" s="28"/>
      <c r="D118" s="28"/>
      <c r="E118" s="12"/>
      <c r="F118" s="12"/>
      <c r="G118" s="12"/>
      <c r="H118" s="12"/>
      <c r="I118" s="25"/>
      <c r="J118" s="16"/>
    </row>
    <row r="119" spans="2:10" ht="11.5" customHeight="1">
      <c r="B119" s="28"/>
      <c r="C119" s="28"/>
      <c r="D119" s="28"/>
      <c r="E119" s="12"/>
      <c r="F119" s="12"/>
      <c r="G119" s="12"/>
      <c r="H119" s="12"/>
      <c r="I119" s="25"/>
      <c r="J119" s="16"/>
    </row>
    <row r="120" spans="2:10" ht="11.5" customHeight="1">
      <c r="B120" s="28"/>
      <c r="C120" s="28"/>
      <c r="D120" s="28"/>
      <c r="E120" s="12"/>
      <c r="F120" s="12"/>
      <c r="G120" s="12"/>
      <c r="H120" s="12"/>
      <c r="I120" s="25"/>
      <c r="J120" s="16"/>
    </row>
    <row r="121" spans="2:10" ht="11.5" customHeight="1">
      <c r="B121" s="28"/>
      <c r="C121" s="28"/>
      <c r="D121" s="28"/>
      <c r="E121" s="12"/>
      <c r="F121" s="12"/>
      <c r="G121" s="12"/>
      <c r="H121" s="12"/>
      <c r="I121" s="25"/>
      <c r="J121" s="16"/>
    </row>
    <row r="122" spans="2:10" ht="11.5" customHeight="1">
      <c r="B122" s="28"/>
      <c r="C122" s="28"/>
      <c r="D122" s="28"/>
      <c r="E122" s="12"/>
      <c r="F122" s="12"/>
      <c r="G122" s="12"/>
      <c r="H122" s="12"/>
      <c r="I122" s="25"/>
      <c r="J122" s="16"/>
    </row>
    <row r="123" spans="2:10" ht="11.5" customHeight="1">
      <c r="B123" s="28"/>
      <c r="C123" s="28"/>
      <c r="D123" s="28"/>
      <c r="E123" s="12"/>
      <c r="F123" s="12"/>
      <c r="G123" s="12"/>
      <c r="H123" s="12"/>
      <c r="I123" s="25"/>
      <c r="J123" s="16"/>
    </row>
    <row r="124" spans="2:10" ht="11.5" customHeight="1">
      <c r="B124" s="28"/>
      <c r="C124" s="28"/>
      <c r="D124" s="28"/>
      <c r="E124" s="12"/>
      <c r="F124" s="12"/>
      <c r="G124" s="12"/>
      <c r="H124" s="12"/>
      <c r="I124" s="25"/>
      <c r="J124" s="16"/>
    </row>
    <row r="125" spans="2:10" ht="11.5" customHeight="1">
      <c r="B125" s="28"/>
      <c r="C125" s="28"/>
      <c r="D125" s="28"/>
      <c r="E125" s="12"/>
      <c r="F125" s="12"/>
      <c r="G125" s="12"/>
      <c r="H125" s="12"/>
      <c r="I125" s="25"/>
      <c r="J125" s="16"/>
    </row>
    <row r="126" spans="2:10" ht="11.5" customHeight="1">
      <c r="B126" s="28"/>
      <c r="C126" s="28"/>
      <c r="D126" s="28"/>
      <c r="E126" s="12"/>
      <c r="F126" s="12"/>
      <c r="G126" s="12"/>
      <c r="H126" s="12"/>
      <c r="I126" s="25"/>
      <c r="J126" s="16"/>
    </row>
    <row r="127" spans="2:10" ht="11.5" customHeight="1">
      <c r="B127" s="28"/>
      <c r="C127" s="28"/>
      <c r="D127" s="28"/>
      <c r="E127" s="12"/>
      <c r="F127" s="12"/>
      <c r="G127" s="12"/>
      <c r="H127" s="12"/>
      <c r="I127" s="25"/>
      <c r="J127" s="16"/>
    </row>
    <row r="128" spans="2:10" ht="11.5" customHeight="1">
      <c r="B128" s="28"/>
      <c r="C128" s="28"/>
      <c r="D128" s="28"/>
      <c r="E128" s="12"/>
      <c r="F128" s="12"/>
      <c r="G128" s="12"/>
      <c r="H128" s="12"/>
      <c r="I128" s="25"/>
      <c r="J128" s="16"/>
    </row>
    <row r="129" spans="2:10" ht="11.5" customHeight="1">
      <c r="B129" s="28"/>
      <c r="C129" s="28"/>
      <c r="D129" s="28"/>
      <c r="E129" s="12"/>
      <c r="F129" s="12"/>
      <c r="G129" s="12"/>
      <c r="H129" s="12"/>
      <c r="I129" s="25"/>
      <c r="J129" s="16"/>
    </row>
    <row r="130" spans="2:10" ht="11.5" customHeight="1">
      <c r="B130" s="28"/>
      <c r="C130" s="28"/>
      <c r="D130" s="28"/>
      <c r="E130" s="12"/>
      <c r="F130" s="12"/>
      <c r="G130" s="12"/>
      <c r="H130" s="12"/>
      <c r="I130" s="25"/>
      <c r="J130" s="16"/>
    </row>
    <row r="131" spans="2:10" ht="11.5" customHeight="1">
      <c r="B131" s="28"/>
      <c r="C131" s="28"/>
      <c r="D131" s="28"/>
      <c r="E131" s="12"/>
      <c r="F131" s="12"/>
      <c r="G131" s="12"/>
      <c r="H131" s="12"/>
      <c r="I131" s="25"/>
      <c r="J131" s="16"/>
    </row>
    <row r="132" spans="2:10" ht="11.5" customHeight="1">
      <c r="B132" s="28"/>
      <c r="C132" s="28"/>
      <c r="D132" s="28"/>
      <c r="E132" s="12"/>
      <c r="F132" s="12"/>
      <c r="G132" s="12"/>
      <c r="H132" s="12"/>
      <c r="I132" s="25"/>
      <c r="J132" s="16"/>
    </row>
    <row r="133" spans="2:10" ht="11.5" customHeight="1">
      <c r="B133" s="28"/>
      <c r="C133" s="28"/>
      <c r="D133" s="28"/>
      <c r="E133" s="12"/>
      <c r="F133" s="12"/>
      <c r="G133" s="12"/>
      <c r="H133" s="12"/>
      <c r="I133" s="25"/>
      <c r="J133" s="16"/>
    </row>
    <row r="134" spans="2:10" ht="11.5" customHeight="1">
      <c r="B134" s="28"/>
      <c r="C134" s="28"/>
      <c r="D134" s="28"/>
      <c r="E134" s="12"/>
      <c r="F134" s="12"/>
      <c r="G134" s="12"/>
      <c r="H134" s="12"/>
      <c r="I134" s="25"/>
      <c r="J134" s="16"/>
    </row>
    <row r="135" spans="2:10" ht="11.5" customHeight="1">
      <c r="B135" s="28"/>
      <c r="C135" s="28"/>
      <c r="D135" s="28"/>
      <c r="E135" s="12"/>
      <c r="F135" s="12"/>
      <c r="G135" s="12"/>
      <c r="H135" s="12"/>
      <c r="I135" s="25"/>
      <c r="J135" s="16"/>
    </row>
    <row r="136" spans="2:10" ht="11.5" customHeight="1">
      <c r="B136" s="28"/>
      <c r="C136" s="28"/>
      <c r="D136" s="28"/>
      <c r="E136" s="12"/>
      <c r="F136" s="12"/>
      <c r="G136" s="12"/>
      <c r="H136" s="12"/>
      <c r="I136" s="25"/>
      <c r="J136" s="16"/>
    </row>
    <row r="137" spans="2:10" ht="11.5" customHeight="1">
      <c r="B137" s="28"/>
      <c r="C137" s="28"/>
      <c r="D137" s="28"/>
      <c r="E137" s="12"/>
      <c r="F137" s="12"/>
      <c r="G137" s="12"/>
      <c r="H137" s="12"/>
      <c r="I137" s="25"/>
      <c r="J137" s="16"/>
    </row>
    <row r="138" spans="2:10" ht="11.5" customHeight="1">
      <c r="B138" s="28"/>
      <c r="C138" s="28"/>
      <c r="D138" s="28"/>
      <c r="E138" s="12"/>
      <c r="F138" s="12"/>
      <c r="G138" s="12"/>
      <c r="H138" s="12"/>
      <c r="I138" s="25"/>
      <c r="J138" s="16"/>
    </row>
    <row r="139" spans="2:10" ht="11.5" customHeight="1">
      <c r="B139" s="28"/>
      <c r="C139" s="28"/>
      <c r="D139" s="28"/>
      <c r="E139" s="12"/>
      <c r="F139" s="12"/>
      <c r="G139" s="12"/>
      <c r="H139" s="12"/>
      <c r="I139" s="25"/>
      <c r="J139" s="16"/>
    </row>
    <row r="140" spans="2:10" ht="11.5" customHeight="1">
      <c r="B140" s="28"/>
      <c r="C140" s="28"/>
      <c r="D140" s="28"/>
      <c r="E140" s="12"/>
      <c r="F140" s="12"/>
      <c r="G140" s="12"/>
      <c r="H140" s="12"/>
      <c r="I140" s="25"/>
      <c r="J140" s="16"/>
    </row>
    <row r="141" spans="2:10" ht="11.5" customHeight="1">
      <c r="B141" s="28"/>
      <c r="C141" s="28"/>
      <c r="D141" s="28"/>
      <c r="E141" s="12"/>
      <c r="F141" s="12"/>
      <c r="G141" s="12"/>
      <c r="H141" s="12"/>
      <c r="I141" s="25"/>
      <c r="J141" s="16"/>
    </row>
    <row r="142" spans="2:10" ht="11.5" customHeight="1">
      <c r="B142" s="28"/>
      <c r="C142" s="28"/>
      <c r="D142" s="28"/>
      <c r="E142" s="12"/>
      <c r="F142" s="12"/>
      <c r="G142" s="12"/>
      <c r="H142" s="12"/>
      <c r="I142" s="25"/>
      <c r="J142" s="16"/>
    </row>
    <row r="143" spans="2:10" ht="11.5" customHeight="1">
      <c r="B143" s="28"/>
      <c r="C143" s="28"/>
      <c r="D143" s="28"/>
      <c r="E143" s="12"/>
      <c r="F143" s="12"/>
      <c r="G143" s="12"/>
      <c r="H143" s="12"/>
      <c r="I143" s="25"/>
      <c r="J143" s="16"/>
    </row>
    <row r="144" spans="2:10" ht="11.5" customHeight="1">
      <c r="B144" s="28"/>
      <c r="C144" s="28"/>
      <c r="D144" s="28"/>
      <c r="E144" s="12"/>
      <c r="F144" s="12"/>
      <c r="G144" s="12"/>
      <c r="H144" s="12"/>
      <c r="I144" s="25"/>
      <c r="J144" s="16"/>
    </row>
    <row r="145" spans="2:10" ht="11.5" customHeight="1">
      <c r="B145" s="28"/>
      <c r="C145" s="28"/>
      <c r="D145" s="28"/>
      <c r="E145" s="12"/>
      <c r="F145" s="12"/>
      <c r="G145" s="12"/>
      <c r="H145" s="12"/>
      <c r="I145" s="25"/>
      <c r="J145" s="16"/>
    </row>
    <row r="146" spans="2:10" ht="11.5" customHeight="1">
      <c r="B146" s="28"/>
      <c r="C146" s="28"/>
      <c r="D146" s="28"/>
      <c r="E146" s="12"/>
      <c r="F146" s="12"/>
      <c r="G146" s="12"/>
      <c r="H146" s="12"/>
      <c r="I146" s="25"/>
      <c r="J146" s="16"/>
    </row>
    <row r="147" spans="2:10" ht="11.5" customHeight="1">
      <c r="B147" s="28"/>
      <c r="C147" s="28"/>
      <c r="D147" s="28"/>
      <c r="E147" s="12"/>
      <c r="F147" s="12"/>
      <c r="G147" s="12"/>
      <c r="H147" s="12"/>
      <c r="I147" s="25"/>
      <c r="J147" s="16"/>
    </row>
    <row r="148" spans="2:10" ht="11.5" customHeight="1">
      <c r="B148" s="28"/>
      <c r="C148" s="28"/>
      <c r="D148" s="28"/>
      <c r="E148" s="12"/>
      <c r="F148" s="12"/>
      <c r="G148" s="12"/>
      <c r="H148" s="12"/>
      <c r="I148" s="25"/>
      <c r="J148" s="16"/>
    </row>
    <row r="149" spans="2:10" ht="11.5" customHeight="1">
      <c r="B149" s="28"/>
      <c r="C149" s="28"/>
      <c r="D149" s="28"/>
      <c r="E149" s="12"/>
      <c r="F149" s="12"/>
      <c r="G149" s="12"/>
      <c r="H149" s="12"/>
      <c r="I149" s="25"/>
      <c r="J149" s="16"/>
    </row>
    <row r="150" spans="2:10" ht="11.5" customHeight="1">
      <c r="B150" s="28"/>
      <c r="C150" s="28"/>
      <c r="D150" s="28"/>
      <c r="E150" s="12"/>
      <c r="F150" s="12"/>
      <c r="G150" s="12"/>
      <c r="H150" s="12"/>
      <c r="I150" s="25"/>
      <c r="J150" s="16"/>
    </row>
    <row r="151" spans="2:10" ht="11.5" customHeight="1">
      <c r="B151" s="28"/>
      <c r="C151" s="28"/>
      <c r="D151" s="28"/>
      <c r="E151" s="12"/>
      <c r="F151" s="12"/>
      <c r="G151" s="12"/>
      <c r="H151" s="12"/>
      <c r="I151" s="25"/>
      <c r="J151" s="16"/>
    </row>
    <row r="152" spans="2:10" ht="11.5" customHeight="1">
      <c r="B152" s="28"/>
      <c r="C152" s="28"/>
      <c r="D152" s="28"/>
      <c r="E152" s="12"/>
      <c r="F152" s="12"/>
      <c r="G152" s="12"/>
      <c r="H152" s="12"/>
      <c r="I152" s="25"/>
      <c r="J152" s="16"/>
    </row>
    <row r="153" spans="2:10" ht="11.5" customHeight="1">
      <c r="B153" s="28"/>
      <c r="C153" s="28"/>
      <c r="D153" s="28"/>
      <c r="E153" s="12"/>
      <c r="F153" s="12"/>
      <c r="G153" s="12"/>
      <c r="H153" s="12"/>
      <c r="I153" s="25"/>
      <c r="J153" s="16"/>
    </row>
    <row r="154" spans="2:10" ht="11.5" customHeight="1">
      <c r="B154" s="28"/>
      <c r="C154" s="28"/>
      <c r="D154" s="28"/>
      <c r="E154" s="12"/>
      <c r="F154" s="12"/>
      <c r="G154" s="12"/>
      <c r="H154" s="12"/>
      <c r="I154" s="25"/>
      <c r="J154" s="16"/>
    </row>
    <row r="155" spans="2:10" ht="11.5" customHeight="1">
      <c r="B155" s="28"/>
      <c r="C155" s="28"/>
      <c r="D155" s="28"/>
      <c r="E155" s="12"/>
      <c r="F155" s="12"/>
      <c r="G155" s="12"/>
      <c r="H155" s="12"/>
      <c r="I155" s="25"/>
      <c r="J155" s="16"/>
    </row>
    <row r="156" spans="2:10" ht="11.5" customHeight="1">
      <c r="B156" s="28"/>
      <c r="C156" s="28"/>
      <c r="D156" s="28"/>
      <c r="E156" s="12"/>
      <c r="F156" s="12"/>
      <c r="G156" s="12"/>
      <c r="H156" s="12"/>
      <c r="I156" s="25"/>
      <c r="J156" s="16"/>
    </row>
    <row r="157" spans="2:10" ht="11.5" customHeight="1">
      <c r="B157" s="28"/>
      <c r="C157" s="28"/>
      <c r="D157" s="28"/>
      <c r="E157" s="12"/>
      <c r="F157" s="12"/>
      <c r="G157" s="12"/>
      <c r="H157" s="12"/>
      <c r="I157" s="25"/>
      <c r="J157" s="16"/>
    </row>
    <row r="158" spans="2:10" ht="11.5" customHeight="1">
      <c r="B158" s="28"/>
      <c r="C158" s="28"/>
      <c r="D158" s="28"/>
      <c r="E158" s="12"/>
      <c r="F158" s="12"/>
      <c r="G158" s="12"/>
      <c r="H158" s="12"/>
      <c r="I158" s="25"/>
      <c r="J158" s="16"/>
    </row>
    <row r="159" spans="2:10" ht="11.5" customHeight="1">
      <c r="B159" s="28"/>
      <c r="C159" s="28"/>
      <c r="D159" s="28"/>
      <c r="E159" s="12"/>
      <c r="F159" s="12"/>
      <c r="G159" s="12"/>
      <c r="H159" s="12"/>
      <c r="I159" s="25"/>
      <c r="J159" s="16"/>
    </row>
    <row r="160" spans="2:10" ht="11.5" customHeight="1">
      <c r="B160" s="28"/>
      <c r="C160" s="28"/>
      <c r="D160" s="28"/>
      <c r="E160" s="12"/>
      <c r="F160" s="12"/>
      <c r="G160" s="12"/>
      <c r="H160" s="12"/>
      <c r="I160" s="25"/>
      <c r="J160" s="16"/>
    </row>
    <row r="161" spans="2:10" ht="11.5" customHeight="1">
      <c r="B161" s="28"/>
      <c r="C161" s="28"/>
      <c r="D161" s="28"/>
      <c r="E161" s="12"/>
      <c r="F161" s="12"/>
      <c r="G161" s="12"/>
      <c r="H161" s="12"/>
      <c r="I161" s="25"/>
      <c r="J161" s="16"/>
    </row>
    <row r="162" spans="2:10" ht="11.5" customHeight="1">
      <c r="B162" s="28"/>
      <c r="C162" s="28"/>
      <c r="D162" s="28"/>
      <c r="E162" s="12"/>
      <c r="F162" s="12"/>
      <c r="G162" s="12"/>
      <c r="H162" s="12"/>
      <c r="I162" s="25"/>
      <c r="J162" s="16"/>
    </row>
    <row r="163" spans="2:10" ht="11.5" customHeight="1">
      <c r="B163" s="28"/>
      <c r="C163" s="28"/>
      <c r="D163" s="28"/>
      <c r="E163" s="12"/>
      <c r="F163" s="12"/>
      <c r="G163" s="12"/>
      <c r="H163" s="12"/>
      <c r="I163" s="25"/>
      <c r="J163" s="16"/>
    </row>
    <row r="164" spans="2:10" ht="11.5" customHeight="1">
      <c r="B164" s="28"/>
      <c r="C164" s="28"/>
      <c r="D164" s="28"/>
      <c r="E164" s="12"/>
      <c r="F164" s="12"/>
      <c r="G164" s="12"/>
      <c r="H164" s="12"/>
      <c r="I164" s="25"/>
      <c r="J164" s="16"/>
    </row>
    <row r="165" spans="2:10" ht="11.5" customHeight="1">
      <c r="B165" s="28"/>
      <c r="C165" s="28"/>
      <c r="D165" s="28"/>
      <c r="E165" s="12"/>
      <c r="F165" s="12"/>
      <c r="G165" s="12"/>
      <c r="H165" s="12"/>
      <c r="I165" s="25"/>
      <c r="J165" s="16"/>
    </row>
    <row r="166" spans="2:10" ht="11.5" customHeight="1">
      <c r="B166" s="28"/>
      <c r="C166" s="28"/>
      <c r="D166" s="28"/>
      <c r="E166" s="12"/>
      <c r="F166" s="12"/>
      <c r="G166" s="12"/>
      <c r="H166" s="12"/>
      <c r="I166" s="25"/>
      <c r="J166" s="16"/>
    </row>
    <row r="167" spans="2:10" ht="11.5" customHeight="1">
      <c r="B167" s="28"/>
      <c r="C167" s="28"/>
      <c r="D167" s="28"/>
      <c r="E167" s="12"/>
      <c r="F167" s="12"/>
      <c r="G167" s="12"/>
      <c r="H167" s="12"/>
      <c r="I167" s="25"/>
      <c r="J167" s="16"/>
    </row>
    <row r="168" spans="2:10" ht="17" customHeight="1">
      <c r="B168" s="28"/>
      <c r="C168" s="28"/>
      <c r="D168" s="28"/>
      <c r="E168" s="12"/>
      <c r="F168" s="12"/>
      <c r="G168" s="12"/>
      <c r="H168" s="12"/>
      <c r="I168" s="25"/>
      <c r="J168" s="16"/>
    </row>
    <row r="169" spans="2:10" ht="17" customHeight="1">
      <c r="B169" s="28"/>
      <c r="C169" s="28"/>
      <c r="D169" s="28"/>
      <c r="E169" s="12"/>
      <c r="F169" s="12"/>
      <c r="G169" s="12"/>
      <c r="H169" s="12"/>
      <c r="I169" s="25"/>
      <c r="J169" s="16"/>
    </row>
  </sheetData>
  <phoneticPr fontId="2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E1DE-7F91-4F27-A935-163C5D6FF376}">
  <sheetPr>
    <tabColor rgb="FFFF0000"/>
  </sheetPr>
  <dimension ref="B1:V98"/>
  <sheetViews>
    <sheetView showGridLines="0" workbookViewId="0">
      <selection activeCell="N17" sqref="N17"/>
    </sheetView>
  </sheetViews>
  <sheetFormatPr defaultColWidth="24.453125" defaultRowHeight="14.5"/>
  <cols>
    <col min="1" max="1" width="3.81640625" style="1" customWidth="1"/>
    <col min="2" max="2" width="26.7265625" style="13" customWidth="1"/>
    <col min="3" max="3" width="10.7265625" style="13" customWidth="1"/>
    <col min="4" max="6" width="9.54296875" style="13" bestFit="1" customWidth="1"/>
    <col min="7" max="10" width="9.54296875" style="3" bestFit="1" customWidth="1"/>
    <col min="11" max="12" width="9.54296875" style="13" bestFit="1" customWidth="1"/>
    <col min="13" max="13" width="9.54296875" bestFit="1" customWidth="1"/>
    <col min="14" max="14" width="9.54296875" style="4" bestFit="1" customWidth="1"/>
    <col min="15" max="16" width="9.54296875" style="1" bestFit="1" customWidth="1"/>
    <col min="17" max="17" width="9.54296875" style="43" bestFit="1" customWidth="1"/>
    <col min="18" max="18" width="9.54296875" style="1" bestFit="1" customWidth="1"/>
    <col min="19" max="19" width="5.90625" style="1" customWidth="1"/>
    <col min="20" max="21" width="11.1796875" style="1" customWidth="1"/>
    <col min="22" max="263" width="24.453125" style="1"/>
    <col min="264" max="264" width="3.81640625" style="1" customWidth="1"/>
    <col min="265" max="265" width="32.26953125" style="1" customWidth="1"/>
    <col min="266" max="269" width="13.90625" style="1" customWidth="1"/>
    <col min="270" max="273" width="7.54296875" style="1" customWidth="1"/>
    <col min="274" max="519" width="24.453125" style="1"/>
    <col min="520" max="520" width="3.81640625" style="1" customWidth="1"/>
    <col min="521" max="521" width="32.26953125" style="1" customWidth="1"/>
    <col min="522" max="525" width="13.90625" style="1" customWidth="1"/>
    <col min="526" max="529" width="7.54296875" style="1" customWidth="1"/>
    <col min="530" max="775" width="24.453125" style="1"/>
    <col min="776" max="776" width="3.81640625" style="1" customWidth="1"/>
    <col min="777" max="777" width="32.26953125" style="1" customWidth="1"/>
    <col min="778" max="781" width="13.90625" style="1" customWidth="1"/>
    <col min="782" max="785" width="7.54296875" style="1" customWidth="1"/>
    <col min="786" max="1031" width="24.453125" style="1"/>
    <col min="1032" max="1032" width="3.81640625" style="1" customWidth="1"/>
    <col min="1033" max="1033" width="32.26953125" style="1" customWidth="1"/>
    <col min="1034" max="1037" width="13.90625" style="1" customWidth="1"/>
    <col min="1038" max="1041" width="7.54296875" style="1" customWidth="1"/>
    <col min="1042" max="1287" width="24.453125" style="1"/>
    <col min="1288" max="1288" width="3.81640625" style="1" customWidth="1"/>
    <col min="1289" max="1289" width="32.26953125" style="1" customWidth="1"/>
    <col min="1290" max="1293" width="13.90625" style="1" customWidth="1"/>
    <col min="1294" max="1297" width="7.54296875" style="1" customWidth="1"/>
    <col min="1298" max="1543" width="24.453125" style="1"/>
    <col min="1544" max="1544" width="3.81640625" style="1" customWidth="1"/>
    <col min="1545" max="1545" width="32.26953125" style="1" customWidth="1"/>
    <col min="1546" max="1549" width="13.90625" style="1" customWidth="1"/>
    <col min="1550" max="1553" width="7.54296875" style="1" customWidth="1"/>
    <col min="1554" max="1799" width="24.453125" style="1"/>
    <col min="1800" max="1800" width="3.81640625" style="1" customWidth="1"/>
    <col min="1801" max="1801" width="32.26953125" style="1" customWidth="1"/>
    <col min="1802" max="1805" width="13.90625" style="1" customWidth="1"/>
    <col min="1806" max="1809" width="7.54296875" style="1" customWidth="1"/>
    <col min="1810" max="2055" width="24.453125" style="1"/>
    <col min="2056" max="2056" width="3.81640625" style="1" customWidth="1"/>
    <col min="2057" max="2057" width="32.26953125" style="1" customWidth="1"/>
    <col min="2058" max="2061" width="13.90625" style="1" customWidth="1"/>
    <col min="2062" max="2065" width="7.54296875" style="1" customWidth="1"/>
    <col min="2066" max="2311" width="24.453125" style="1"/>
    <col min="2312" max="2312" width="3.81640625" style="1" customWidth="1"/>
    <col min="2313" max="2313" width="32.26953125" style="1" customWidth="1"/>
    <col min="2314" max="2317" width="13.90625" style="1" customWidth="1"/>
    <col min="2318" max="2321" width="7.54296875" style="1" customWidth="1"/>
    <col min="2322" max="2567" width="24.453125" style="1"/>
    <col min="2568" max="2568" width="3.81640625" style="1" customWidth="1"/>
    <col min="2569" max="2569" width="32.26953125" style="1" customWidth="1"/>
    <col min="2570" max="2573" width="13.90625" style="1" customWidth="1"/>
    <col min="2574" max="2577" width="7.54296875" style="1" customWidth="1"/>
    <col min="2578" max="2823" width="24.453125" style="1"/>
    <col min="2824" max="2824" width="3.81640625" style="1" customWidth="1"/>
    <col min="2825" max="2825" width="32.26953125" style="1" customWidth="1"/>
    <col min="2826" max="2829" width="13.90625" style="1" customWidth="1"/>
    <col min="2830" max="2833" width="7.54296875" style="1" customWidth="1"/>
    <col min="2834" max="3079" width="24.453125" style="1"/>
    <col min="3080" max="3080" width="3.81640625" style="1" customWidth="1"/>
    <col min="3081" max="3081" width="32.26953125" style="1" customWidth="1"/>
    <col min="3082" max="3085" width="13.90625" style="1" customWidth="1"/>
    <col min="3086" max="3089" width="7.54296875" style="1" customWidth="1"/>
    <col min="3090" max="3335" width="24.453125" style="1"/>
    <col min="3336" max="3336" width="3.81640625" style="1" customWidth="1"/>
    <col min="3337" max="3337" width="32.26953125" style="1" customWidth="1"/>
    <col min="3338" max="3341" width="13.90625" style="1" customWidth="1"/>
    <col min="3342" max="3345" width="7.54296875" style="1" customWidth="1"/>
    <col min="3346" max="3591" width="24.453125" style="1"/>
    <col min="3592" max="3592" width="3.81640625" style="1" customWidth="1"/>
    <col min="3593" max="3593" width="32.26953125" style="1" customWidth="1"/>
    <col min="3594" max="3597" width="13.90625" style="1" customWidth="1"/>
    <col min="3598" max="3601" width="7.54296875" style="1" customWidth="1"/>
    <col min="3602" max="3847" width="24.453125" style="1"/>
    <col min="3848" max="3848" width="3.81640625" style="1" customWidth="1"/>
    <col min="3849" max="3849" width="32.26953125" style="1" customWidth="1"/>
    <col min="3850" max="3853" width="13.90625" style="1" customWidth="1"/>
    <col min="3854" max="3857" width="7.54296875" style="1" customWidth="1"/>
    <col min="3858" max="4103" width="24.453125" style="1"/>
    <col min="4104" max="4104" width="3.81640625" style="1" customWidth="1"/>
    <col min="4105" max="4105" width="32.26953125" style="1" customWidth="1"/>
    <col min="4106" max="4109" width="13.90625" style="1" customWidth="1"/>
    <col min="4110" max="4113" width="7.54296875" style="1" customWidth="1"/>
    <col min="4114" max="4359" width="24.453125" style="1"/>
    <col min="4360" max="4360" width="3.81640625" style="1" customWidth="1"/>
    <col min="4361" max="4361" width="32.26953125" style="1" customWidth="1"/>
    <col min="4362" max="4365" width="13.90625" style="1" customWidth="1"/>
    <col min="4366" max="4369" width="7.54296875" style="1" customWidth="1"/>
    <col min="4370" max="4615" width="24.453125" style="1"/>
    <col min="4616" max="4616" width="3.81640625" style="1" customWidth="1"/>
    <col min="4617" max="4617" width="32.26953125" style="1" customWidth="1"/>
    <col min="4618" max="4621" width="13.90625" style="1" customWidth="1"/>
    <col min="4622" max="4625" width="7.54296875" style="1" customWidth="1"/>
    <col min="4626" max="4871" width="24.453125" style="1"/>
    <col min="4872" max="4872" width="3.81640625" style="1" customWidth="1"/>
    <col min="4873" max="4873" width="32.26953125" style="1" customWidth="1"/>
    <col min="4874" max="4877" width="13.90625" style="1" customWidth="1"/>
    <col min="4878" max="4881" width="7.54296875" style="1" customWidth="1"/>
    <col min="4882" max="5127" width="24.453125" style="1"/>
    <col min="5128" max="5128" width="3.81640625" style="1" customWidth="1"/>
    <col min="5129" max="5129" width="32.26953125" style="1" customWidth="1"/>
    <col min="5130" max="5133" width="13.90625" style="1" customWidth="1"/>
    <col min="5134" max="5137" width="7.54296875" style="1" customWidth="1"/>
    <col min="5138" max="5383" width="24.453125" style="1"/>
    <col min="5384" max="5384" width="3.81640625" style="1" customWidth="1"/>
    <col min="5385" max="5385" width="32.26953125" style="1" customWidth="1"/>
    <col min="5386" max="5389" width="13.90625" style="1" customWidth="1"/>
    <col min="5390" max="5393" width="7.54296875" style="1" customWidth="1"/>
    <col min="5394" max="5639" width="24.453125" style="1"/>
    <col min="5640" max="5640" width="3.81640625" style="1" customWidth="1"/>
    <col min="5641" max="5641" width="32.26953125" style="1" customWidth="1"/>
    <col min="5642" max="5645" width="13.90625" style="1" customWidth="1"/>
    <col min="5646" max="5649" width="7.54296875" style="1" customWidth="1"/>
    <col min="5650" max="5895" width="24.453125" style="1"/>
    <col min="5896" max="5896" width="3.81640625" style="1" customWidth="1"/>
    <col min="5897" max="5897" width="32.26953125" style="1" customWidth="1"/>
    <col min="5898" max="5901" width="13.90625" style="1" customWidth="1"/>
    <col min="5902" max="5905" width="7.54296875" style="1" customWidth="1"/>
    <col min="5906" max="6151" width="24.453125" style="1"/>
    <col min="6152" max="6152" width="3.81640625" style="1" customWidth="1"/>
    <col min="6153" max="6153" width="32.26953125" style="1" customWidth="1"/>
    <col min="6154" max="6157" width="13.90625" style="1" customWidth="1"/>
    <col min="6158" max="6161" width="7.54296875" style="1" customWidth="1"/>
    <col min="6162" max="6407" width="24.453125" style="1"/>
    <col min="6408" max="6408" width="3.81640625" style="1" customWidth="1"/>
    <col min="6409" max="6409" width="32.26953125" style="1" customWidth="1"/>
    <col min="6410" max="6413" width="13.90625" style="1" customWidth="1"/>
    <col min="6414" max="6417" width="7.54296875" style="1" customWidth="1"/>
    <col min="6418" max="6663" width="24.453125" style="1"/>
    <col min="6664" max="6664" width="3.81640625" style="1" customWidth="1"/>
    <col min="6665" max="6665" width="32.26953125" style="1" customWidth="1"/>
    <col min="6666" max="6669" width="13.90625" style="1" customWidth="1"/>
    <col min="6670" max="6673" width="7.54296875" style="1" customWidth="1"/>
    <col min="6674" max="6919" width="24.453125" style="1"/>
    <col min="6920" max="6920" width="3.81640625" style="1" customWidth="1"/>
    <col min="6921" max="6921" width="32.26953125" style="1" customWidth="1"/>
    <col min="6922" max="6925" width="13.90625" style="1" customWidth="1"/>
    <col min="6926" max="6929" width="7.54296875" style="1" customWidth="1"/>
    <col min="6930" max="7175" width="24.453125" style="1"/>
    <col min="7176" max="7176" width="3.81640625" style="1" customWidth="1"/>
    <col min="7177" max="7177" width="32.26953125" style="1" customWidth="1"/>
    <col min="7178" max="7181" width="13.90625" style="1" customWidth="1"/>
    <col min="7182" max="7185" width="7.54296875" style="1" customWidth="1"/>
    <col min="7186" max="7431" width="24.453125" style="1"/>
    <col min="7432" max="7432" width="3.81640625" style="1" customWidth="1"/>
    <col min="7433" max="7433" width="32.26953125" style="1" customWidth="1"/>
    <col min="7434" max="7437" width="13.90625" style="1" customWidth="1"/>
    <col min="7438" max="7441" width="7.54296875" style="1" customWidth="1"/>
    <col min="7442" max="7687" width="24.453125" style="1"/>
    <col min="7688" max="7688" width="3.81640625" style="1" customWidth="1"/>
    <col min="7689" max="7689" width="32.26953125" style="1" customWidth="1"/>
    <col min="7690" max="7693" width="13.90625" style="1" customWidth="1"/>
    <col min="7694" max="7697" width="7.54296875" style="1" customWidth="1"/>
    <col min="7698" max="7943" width="24.453125" style="1"/>
    <col min="7944" max="7944" width="3.81640625" style="1" customWidth="1"/>
    <col min="7945" max="7945" width="32.26953125" style="1" customWidth="1"/>
    <col min="7946" max="7949" width="13.90625" style="1" customWidth="1"/>
    <col min="7950" max="7953" width="7.54296875" style="1" customWidth="1"/>
    <col min="7954" max="8199" width="24.453125" style="1"/>
    <col min="8200" max="8200" width="3.81640625" style="1" customWidth="1"/>
    <col min="8201" max="8201" width="32.26953125" style="1" customWidth="1"/>
    <col min="8202" max="8205" width="13.90625" style="1" customWidth="1"/>
    <col min="8206" max="8209" width="7.54296875" style="1" customWidth="1"/>
    <col min="8210" max="8455" width="24.453125" style="1"/>
    <col min="8456" max="8456" width="3.81640625" style="1" customWidth="1"/>
    <col min="8457" max="8457" width="32.26953125" style="1" customWidth="1"/>
    <col min="8458" max="8461" width="13.90625" style="1" customWidth="1"/>
    <col min="8462" max="8465" width="7.54296875" style="1" customWidth="1"/>
    <col min="8466" max="8711" width="24.453125" style="1"/>
    <col min="8712" max="8712" width="3.81640625" style="1" customWidth="1"/>
    <col min="8713" max="8713" width="32.26953125" style="1" customWidth="1"/>
    <col min="8714" max="8717" width="13.90625" style="1" customWidth="1"/>
    <col min="8718" max="8721" width="7.54296875" style="1" customWidth="1"/>
    <col min="8722" max="8967" width="24.453125" style="1"/>
    <col min="8968" max="8968" width="3.81640625" style="1" customWidth="1"/>
    <col min="8969" max="8969" width="32.26953125" style="1" customWidth="1"/>
    <col min="8970" max="8973" width="13.90625" style="1" customWidth="1"/>
    <col min="8974" max="8977" width="7.54296875" style="1" customWidth="1"/>
    <col min="8978" max="9223" width="24.453125" style="1"/>
    <col min="9224" max="9224" width="3.81640625" style="1" customWidth="1"/>
    <col min="9225" max="9225" width="32.26953125" style="1" customWidth="1"/>
    <col min="9226" max="9229" width="13.90625" style="1" customWidth="1"/>
    <col min="9230" max="9233" width="7.54296875" style="1" customWidth="1"/>
    <col min="9234" max="9479" width="24.453125" style="1"/>
    <col min="9480" max="9480" width="3.81640625" style="1" customWidth="1"/>
    <col min="9481" max="9481" width="32.26953125" style="1" customWidth="1"/>
    <col min="9482" max="9485" width="13.90625" style="1" customWidth="1"/>
    <col min="9486" max="9489" width="7.54296875" style="1" customWidth="1"/>
    <col min="9490" max="9735" width="24.453125" style="1"/>
    <col min="9736" max="9736" width="3.81640625" style="1" customWidth="1"/>
    <col min="9737" max="9737" width="32.26953125" style="1" customWidth="1"/>
    <col min="9738" max="9741" width="13.90625" style="1" customWidth="1"/>
    <col min="9742" max="9745" width="7.54296875" style="1" customWidth="1"/>
    <col min="9746" max="9991" width="24.453125" style="1"/>
    <col min="9992" max="9992" width="3.81640625" style="1" customWidth="1"/>
    <col min="9993" max="9993" width="32.26953125" style="1" customWidth="1"/>
    <col min="9994" max="9997" width="13.90625" style="1" customWidth="1"/>
    <col min="9998" max="10001" width="7.54296875" style="1" customWidth="1"/>
    <col min="10002" max="10247" width="24.453125" style="1"/>
    <col min="10248" max="10248" width="3.81640625" style="1" customWidth="1"/>
    <col min="10249" max="10249" width="32.26953125" style="1" customWidth="1"/>
    <col min="10250" max="10253" width="13.90625" style="1" customWidth="1"/>
    <col min="10254" max="10257" width="7.54296875" style="1" customWidth="1"/>
    <col min="10258" max="10503" width="24.453125" style="1"/>
    <col min="10504" max="10504" width="3.81640625" style="1" customWidth="1"/>
    <col min="10505" max="10505" width="32.26953125" style="1" customWidth="1"/>
    <col min="10506" max="10509" width="13.90625" style="1" customWidth="1"/>
    <col min="10510" max="10513" width="7.54296875" style="1" customWidth="1"/>
    <col min="10514" max="10759" width="24.453125" style="1"/>
    <col min="10760" max="10760" width="3.81640625" style="1" customWidth="1"/>
    <col min="10761" max="10761" width="32.26953125" style="1" customWidth="1"/>
    <col min="10762" max="10765" width="13.90625" style="1" customWidth="1"/>
    <col min="10766" max="10769" width="7.54296875" style="1" customWidth="1"/>
    <col min="10770" max="11015" width="24.453125" style="1"/>
    <col min="11016" max="11016" width="3.81640625" style="1" customWidth="1"/>
    <col min="11017" max="11017" width="32.26953125" style="1" customWidth="1"/>
    <col min="11018" max="11021" width="13.90625" style="1" customWidth="1"/>
    <col min="11022" max="11025" width="7.54296875" style="1" customWidth="1"/>
    <col min="11026" max="11271" width="24.453125" style="1"/>
    <col min="11272" max="11272" width="3.81640625" style="1" customWidth="1"/>
    <col min="11273" max="11273" width="32.26953125" style="1" customWidth="1"/>
    <col min="11274" max="11277" width="13.90625" style="1" customWidth="1"/>
    <col min="11278" max="11281" width="7.54296875" style="1" customWidth="1"/>
    <col min="11282" max="11527" width="24.453125" style="1"/>
    <col min="11528" max="11528" width="3.81640625" style="1" customWidth="1"/>
    <col min="11529" max="11529" width="32.26953125" style="1" customWidth="1"/>
    <col min="11530" max="11533" width="13.90625" style="1" customWidth="1"/>
    <col min="11534" max="11537" width="7.54296875" style="1" customWidth="1"/>
    <col min="11538" max="11783" width="24.453125" style="1"/>
    <col min="11784" max="11784" width="3.81640625" style="1" customWidth="1"/>
    <col min="11785" max="11785" width="32.26953125" style="1" customWidth="1"/>
    <col min="11786" max="11789" width="13.90625" style="1" customWidth="1"/>
    <col min="11790" max="11793" width="7.54296875" style="1" customWidth="1"/>
    <col min="11794" max="12039" width="24.453125" style="1"/>
    <col min="12040" max="12040" width="3.81640625" style="1" customWidth="1"/>
    <col min="12041" max="12041" width="32.26953125" style="1" customWidth="1"/>
    <col min="12042" max="12045" width="13.90625" style="1" customWidth="1"/>
    <col min="12046" max="12049" width="7.54296875" style="1" customWidth="1"/>
    <col min="12050" max="12295" width="24.453125" style="1"/>
    <col min="12296" max="12296" width="3.81640625" style="1" customWidth="1"/>
    <col min="12297" max="12297" width="32.26953125" style="1" customWidth="1"/>
    <col min="12298" max="12301" width="13.90625" style="1" customWidth="1"/>
    <col min="12302" max="12305" width="7.54296875" style="1" customWidth="1"/>
    <col min="12306" max="12551" width="24.453125" style="1"/>
    <col min="12552" max="12552" width="3.81640625" style="1" customWidth="1"/>
    <col min="12553" max="12553" width="32.26953125" style="1" customWidth="1"/>
    <col min="12554" max="12557" width="13.90625" style="1" customWidth="1"/>
    <col min="12558" max="12561" width="7.54296875" style="1" customWidth="1"/>
    <col min="12562" max="12807" width="24.453125" style="1"/>
    <col min="12808" max="12808" width="3.81640625" style="1" customWidth="1"/>
    <col min="12809" max="12809" width="32.26953125" style="1" customWidth="1"/>
    <col min="12810" max="12813" width="13.90625" style="1" customWidth="1"/>
    <col min="12814" max="12817" width="7.54296875" style="1" customWidth="1"/>
    <col min="12818" max="13063" width="24.453125" style="1"/>
    <col min="13064" max="13064" width="3.81640625" style="1" customWidth="1"/>
    <col min="13065" max="13065" width="32.26953125" style="1" customWidth="1"/>
    <col min="13066" max="13069" width="13.90625" style="1" customWidth="1"/>
    <col min="13070" max="13073" width="7.54296875" style="1" customWidth="1"/>
    <col min="13074" max="13319" width="24.453125" style="1"/>
    <col min="13320" max="13320" width="3.81640625" style="1" customWidth="1"/>
    <col min="13321" max="13321" width="32.26953125" style="1" customWidth="1"/>
    <col min="13322" max="13325" width="13.90625" style="1" customWidth="1"/>
    <col min="13326" max="13329" width="7.54296875" style="1" customWidth="1"/>
    <col min="13330" max="13575" width="24.453125" style="1"/>
    <col min="13576" max="13576" width="3.81640625" style="1" customWidth="1"/>
    <col min="13577" max="13577" width="32.26953125" style="1" customWidth="1"/>
    <col min="13578" max="13581" width="13.90625" style="1" customWidth="1"/>
    <col min="13582" max="13585" width="7.54296875" style="1" customWidth="1"/>
    <col min="13586" max="13831" width="24.453125" style="1"/>
    <col min="13832" max="13832" width="3.81640625" style="1" customWidth="1"/>
    <col min="13833" max="13833" width="32.26953125" style="1" customWidth="1"/>
    <col min="13834" max="13837" width="13.90625" style="1" customWidth="1"/>
    <col min="13838" max="13841" width="7.54296875" style="1" customWidth="1"/>
    <col min="13842" max="14087" width="24.453125" style="1"/>
    <col min="14088" max="14088" width="3.81640625" style="1" customWidth="1"/>
    <col min="14089" max="14089" width="32.26953125" style="1" customWidth="1"/>
    <col min="14090" max="14093" width="13.90625" style="1" customWidth="1"/>
    <col min="14094" max="14097" width="7.54296875" style="1" customWidth="1"/>
    <col min="14098" max="14343" width="24.453125" style="1"/>
    <col min="14344" max="14344" width="3.81640625" style="1" customWidth="1"/>
    <col min="14345" max="14345" width="32.26953125" style="1" customWidth="1"/>
    <col min="14346" max="14349" width="13.90625" style="1" customWidth="1"/>
    <col min="14350" max="14353" width="7.54296875" style="1" customWidth="1"/>
    <col min="14354" max="14599" width="24.453125" style="1"/>
    <col min="14600" max="14600" width="3.81640625" style="1" customWidth="1"/>
    <col min="14601" max="14601" width="32.26953125" style="1" customWidth="1"/>
    <col min="14602" max="14605" width="13.90625" style="1" customWidth="1"/>
    <col min="14606" max="14609" width="7.54296875" style="1" customWidth="1"/>
    <col min="14610" max="14855" width="24.453125" style="1"/>
    <col min="14856" max="14856" width="3.81640625" style="1" customWidth="1"/>
    <col min="14857" max="14857" width="32.26953125" style="1" customWidth="1"/>
    <col min="14858" max="14861" width="13.90625" style="1" customWidth="1"/>
    <col min="14862" max="14865" width="7.54296875" style="1" customWidth="1"/>
    <col min="14866" max="15111" width="24.453125" style="1"/>
    <col min="15112" max="15112" width="3.81640625" style="1" customWidth="1"/>
    <col min="15113" max="15113" width="32.26953125" style="1" customWidth="1"/>
    <col min="15114" max="15117" width="13.90625" style="1" customWidth="1"/>
    <col min="15118" max="15121" width="7.54296875" style="1" customWidth="1"/>
    <col min="15122" max="15367" width="24.453125" style="1"/>
    <col min="15368" max="15368" width="3.81640625" style="1" customWidth="1"/>
    <col min="15369" max="15369" width="32.26953125" style="1" customWidth="1"/>
    <col min="15370" max="15373" width="13.90625" style="1" customWidth="1"/>
    <col min="15374" max="15377" width="7.54296875" style="1" customWidth="1"/>
    <col min="15378" max="15623" width="24.453125" style="1"/>
    <col min="15624" max="15624" width="3.81640625" style="1" customWidth="1"/>
    <col min="15625" max="15625" width="32.26953125" style="1" customWidth="1"/>
    <col min="15626" max="15629" width="13.90625" style="1" customWidth="1"/>
    <col min="15630" max="15633" width="7.54296875" style="1" customWidth="1"/>
    <col min="15634" max="15879" width="24.453125" style="1"/>
    <col min="15880" max="15880" width="3.81640625" style="1" customWidth="1"/>
    <col min="15881" max="15881" width="32.26953125" style="1" customWidth="1"/>
    <col min="15882" max="15885" width="13.90625" style="1" customWidth="1"/>
    <col min="15886" max="15889" width="7.54296875" style="1" customWidth="1"/>
    <col min="15890" max="16135" width="24.453125" style="1"/>
    <col min="16136" max="16136" width="3.81640625" style="1" customWidth="1"/>
    <col min="16137" max="16137" width="32.26953125" style="1" customWidth="1"/>
    <col min="16138" max="16141" width="13.90625" style="1" customWidth="1"/>
    <col min="16142" max="16145" width="7.54296875" style="1" customWidth="1"/>
    <col min="16146" max="16384" width="24.453125" style="1"/>
  </cols>
  <sheetData>
    <row r="1" spans="2:21" ht="19.399999999999999" customHeight="1">
      <c r="B1" s="2" t="str">
        <f>+'Historical Analysis'!B1</f>
        <v>CEDAR FAIR, L.P. (FUN)</v>
      </c>
      <c r="C1" s="2"/>
      <c r="D1" s="2"/>
      <c r="E1" s="2"/>
      <c r="F1" s="2"/>
      <c r="K1" s="2"/>
      <c r="L1" s="2"/>
    </row>
    <row r="2" spans="2:21" ht="10.75" customHeight="1">
      <c r="B2" s="39" t="s">
        <v>90</v>
      </c>
      <c r="C2" s="39"/>
      <c r="D2" s="39"/>
      <c r="E2" s="39"/>
      <c r="F2" s="39"/>
      <c r="K2" s="2"/>
      <c r="L2" s="2"/>
    </row>
    <row r="3" spans="2:21" ht="19.75" customHeight="1">
      <c r="B3" s="5"/>
      <c r="C3" s="5"/>
      <c r="D3" s="5"/>
      <c r="E3" s="5"/>
      <c r="F3" s="5"/>
      <c r="K3" s="5"/>
      <c r="L3" s="5"/>
    </row>
    <row r="4" spans="2:21" ht="19.75" customHeight="1">
      <c r="B4" s="79"/>
      <c r="C4" s="172" t="s">
        <v>92</v>
      </c>
      <c r="D4" s="177"/>
      <c r="E4" s="177"/>
      <c r="F4" s="177"/>
      <c r="G4" s="177"/>
      <c r="H4" s="177"/>
      <c r="I4" s="177"/>
      <c r="J4" s="177"/>
      <c r="K4" s="177"/>
      <c r="L4" s="177"/>
      <c r="M4" s="172" t="s">
        <v>93</v>
      </c>
      <c r="N4" s="173"/>
      <c r="O4" s="173"/>
      <c r="P4" s="173"/>
      <c r="Q4" s="173"/>
      <c r="R4" s="174"/>
    </row>
    <row r="5" spans="2:21" ht="30.5" customHeight="1">
      <c r="B5" s="84"/>
      <c r="C5" s="85" t="s">
        <v>82</v>
      </c>
      <c r="D5" s="85" t="s">
        <v>82</v>
      </c>
      <c r="E5" s="85" t="s">
        <v>82</v>
      </c>
      <c r="F5" s="85" t="s">
        <v>82</v>
      </c>
      <c r="G5" s="85" t="s">
        <v>82</v>
      </c>
      <c r="H5" s="85" t="s">
        <v>82</v>
      </c>
      <c r="I5" s="85" t="s">
        <v>82</v>
      </c>
      <c r="J5" s="85" t="s">
        <v>82</v>
      </c>
      <c r="K5" s="86" t="str">
        <f>+J5</f>
        <v>Dec 31</v>
      </c>
      <c r="L5" s="117" t="str">
        <f>+'Historical Analysis'!C5</f>
        <v>Dec 31</v>
      </c>
      <c r="M5" s="85" t="s">
        <v>82</v>
      </c>
      <c r="N5" s="85" t="str">
        <f>+M5</f>
        <v>Dec 31</v>
      </c>
      <c r="O5" s="85" t="str">
        <f>+N5</f>
        <v>Dec 31</v>
      </c>
      <c r="P5" s="85" t="str">
        <f>+O5</f>
        <v>Dec 31</v>
      </c>
      <c r="Q5" s="85" t="str">
        <f>+P5</f>
        <v>Dec 31</v>
      </c>
      <c r="R5" s="85" t="str">
        <f>+Q5</f>
        <v>Dec 31</v>
      </c>
    </row>
    <row r="6" spans="2:21" s="6" customFormat="1" ht="15" customHeight="1" thickBot="1">
      <c r="B6" s="87" t="s">
        <v>0</v>
      </c>
      <c r="C6" s="88">
        <v>2012</v>
      </c>
      <c r="D6" s="88">
        <v>2013</v>
      </c>
      <c r="E6" s="88">
        <v>2014</v>
      </c>
      <c r="F6" s="88">
        <v>2015</v>
      </c>
      <c r="G6" s="88">
        <v>2016</v>
      </c>
      <c r="H6" s="88">
        <v>2017</v>
      </c>
      <c r="I6" s="88">
        <v>2018</v>
      </c>
      <c r="J6" s="88">
        <v>2019</v>
      </c>
      <c r="K6" s="88">
        <v>2020</v>
      </c>
      <c r="L6" s="91">
        <v>2021</v>
      </c>
      <c r="M6" s="88">
        <f>+L6+1</f>
        <v>2022</v>
      </c>
      <c r="N6" s="88">
        <f t="shared" ref="N6:R6" si="0">+M6+1</f>
        <v>2023</v>
      </c>
      <c r="O6" s="88">
        <f t="shared" si="0"/>
        <v>2024</v>
      </c>
      <c r="P6" s="88">
        <f t="shared" si="0"/>
        <v>2025</v>
      </c>
      <c r="Q6" s="88">
        <f t="shared" si="0"/>
        <v>2026</v>
      </c>
      <c r="R6" s="88">
        <f t="shared" si="0"/>
        <v>2027</v>
      </c>
    </row>
    <row r="7" spans="2:21" ht="14.5" customHeight="1">
      <c r="B7" s="7" t="s">
        <v>1</v>
      </c>
      <c r="C7" s="50">
        <f>+'Historical Analysis'!L7</f>
        <v>1068454</v>
      </c>
      <c r="D7" s="50">
        <f>'Historical Analysis'!K7</f>
        <v>1134572</v>
      </c>
      <c r="E7" s="50">
        <f>'Historical Analysis'!J7</f>
        <v>1159605</v>
      </c>
      <c r="F7" s="50">
        <f>'Historical Analysis'!I7</f>
        <v>1235778</v>
      </c>
      <c r="G7" s="50">
        <f>'Historical Analysis'!H7</f>
        <v>1288721</v>
      </c>
      <c r="H7" s="50">
        <f>+'Historical Analysis'!G7</f>
        <v>1321967</v>
      </c>
      <c r="I7" s="50">
        <f>+'Historical Analysis'!F7</f>
        <v>1348530</v>
      </c>
      <c r="J7" s="50">
        <f>+'Historical Analysis'!E7</f>
        <v>1474925</v>
      </c>
      <c r="K7" s="50">
        <f>+'Historical Analysis'!D7</f>
        <v>181555</v>
      </c>
      <c r="L7" s="101">
        <f>+'Historical Analysis'!C7</f>
        <v>1338219</v>
      </c>
      <c r="M7" s="50">
        <f>+L7*(1+M36)</f>
        <v>1472040.9000000001</v>
      </c>
      <c r="N7" s="50">
        <f t="shared" ref="N7:R7" si="1">+M7*(1+N36)</f>
        <v>1545642.9450000003</v>
      </c>
      <c r="O7" s="50">
        <f t="shared" si="1"/>
        <v>1622925.0922500005</v>
      </c>
      <c r="P7" s="50">
        <f t="shared" si="1"/>
        <v>1704071.3468625005</v>
      </c>
      <c r="Q7" s="50">
        <f t="shared" si="1"/>
        <v>1789274.9142056257</v>
      </c>
      <c r="R7" s="50">
        <f t="shared" si="1"/>
        <v>1878738.6599159071</v>
      </c>
      <c r="U7" s="6"/>
    </row>
    <row r="8" spans="2:21" ht="14.5" customHeight="1">
      <c r="B8" s="63" t="s">
        <v>81</v>
      </c>
      <c r="C8" s="64"/>
      <c r="D8" s="66">
        <f t="shared" ref="D8:G8" si="2">+D7/C7-1</f>
        <v>6.1881934084200063E-2</v>
      </c>
      <c r="E8" s="66">
        <f t="shared" si="2"/>
        <v>2.2063826711746781E-2</v>
      </c>
      <c r="F8" s="66">
        <f t="shared" si="2"/>
        <v>6.5688747461420061E-2</v>
      </c>
      <c r="G8" s="66">
        <f t="shared" si="2"/>
        <v>4.284183728792712E-2</v>
      </c>
      <c r="H8" s="66">
        <f>+H7/G7-1</f>
        <v>2.5797670713831877E-2</v>
      </c>
      <c r="I8" s="66">
        <f t="shared" ref="I8:L8" si="3">+I7/H7-1</f>
        <v>2.0093542425794197E-2</v>
      </c>
      <c r="J8" s="66">
        <f t="shared" si="3"/>
        <v>9.3727985287683557E-2</v>
      </c>
      <c r="K8" s="66">
        <f t="shared" si="3"/>
        <v>-0.87690560536976458</v>
      </c>
      <c r="L8" s="102">
        <f t="shared" si="3"/>
        <v>6.370873839883231</v>
      </c>
      <c r="M8" s="66">
        <f>+M7/L7-1</f>
        <v>0.10000000000000009</v>
      </c>
      <c r="N8" s="66">
        <f t="shared" ref="N8:R8" si="4">+N7/M7-1</f>
        <v>5.0000000000000044E-2</v>
      </c>
      <c r="O8" s="66">
        <f t="shared" si="4"/>
        <v>5.0000000000000044E-2</v>
      </c>
      <c r="P8" s="66">
        <f t="shared" si="4"/>
        <v>5.0000000000000044E-2</v>
      </c>
      <c r="Q8" s="66">
        <f t="shared" si="4"/>
        <v>5.0000000000000044E-2</v>
      </c>
      <c r="R8" s="66">
        <f t="shared" si="4"/>
        <v>5.0000000000000044E-2</v>
      </c>
      <c r="U8" s="6"/>
    </row>
    <row r="9" spans="2:21" ht="14.5" customHeight="1">
      <c r="B9" s="7"/>
      <c r="C9" s="50"/>
      <c r="D9" s="50"/>
      <c r="E9" s="50"/>
      <c r="F9" s="50"/>
      <c r="G9" s="50"/>
      <c r="H9" s="50"/>
      <c r="I9" s="50"/>
      <c r="J9" s="50"/>
      <c r="K9" s="50"/>
      <c r="L9" s="103"/>
      <c r="M9" s="50"/>
      <c r="N9" s="50"/>
      <c r="O9" s="50"/>
      <c r="P9" s="50"/>
      <c r="Q9" s="50"/>
      <c r="R9" s="50"/>
      <c r="U9" s="6"/>
    </row>
    <row r="10" spans="2:21" ht="14.5" customHeight="1">
      <c r="B10" s="8" t="s">
        <v>2</v>
      </c>
      <c r="C10" s="51">
        <f>+'Historical Analysis'!L8</f>
        <v>95048</v>
      </c>
      <c r="D10" s="51">
        <f>+'Historical Analysis'!K8</f>
        <v>91772</v>
      </c>
      <c r="E10" s="51">
        <f>+'Historical Analysis'!J8</f>
        <v>95208</v>
      </c>
      <c r="F10" s="51">
        <f>+'Historical Analysis'!I8</f>
        <v>104827</v>
      </c>
      <c r="G10" s="51">
        <f>+'Historical Analysis'!H8</f>
        <v>106608</v>
      </c>
      <c r="H10" s="51">
        <f>+'Historical Analysis'!G8</f>
        <v>110811</v>
      </c>
      <c r="I10" s="51">
        <f>+'Historical Analysis'!F8</f>
        <v>114733</v>
      </c>
      <c r="J10" s="51">
        <f>+'Historical Analysis'!E8</f>
        <v>126264</v>
      </c>
      <c r="K10" s="51">
        <f>+'Historical Analysis'!D8</f>
        <v>27991</v>
      </c>
      <c r="L10" s="104">
        <f>+'Historical Analysis'!C8</f>
        <v>112466</v>
      </c>
      <c r="M10" s="51">
        <f>+M7*M38</f>
        <v>123712.6</v>
      </c>
      <c r="N10" s="51">
        <f t="shared" ref="N10:R10" si="5">+N7*N38</f>
        <v>130222.28937039913</v>
      </c>
      <c r="O10" s="51">
        <f t="shared" si="5"/>
        <v>136733.4038389191</v>
      </c>
      <c r="P10" s="51">
        <f t="shared" si="5"/>
        <v>143570.07403086507</v>
      </c>
      <c r="Q10" s="51">
        <f t="shared" si="5"/>
        <v>150748.57773240833</v>
      </c>
      <c r="R10" s="51">
        <f t="shared" si="5"/>
        <v>158286.00661902875</v>
      </c>
      <c r="U10" s="6"/>
    </row>
    <row r="11" spans="2:21" ht="14.5" customHeight="1">
      <c r="B11" s="8" t="s">
        <v>3</v>
      </c>
      <c r="C11" s="52">
        <f>+C7-C10</f>
        <v>973406</v>
      </c>
      <c r="D11" s="52">
        <f>+D7-D10</f>
        <v>1042800</v>
      </c>
      <c r="E11" s="52">
        <f>+E7-E10</f>
        <v>1064397</v>
      </c>
      <c r="F11" s="52">
        <f>+F7-F10</f>
        <v>1130951</v>
      </c>
      <c r="G11" s="52">
        <f>+G7-G10</f>
        <v>1182113</v>
      </c>
      <c r="H11" s="52">
        <f t="shared" ref="H11:K11" si="6">+H7-H10</f>
        <v>1211156</v>
      </c>
      <c r="I11" s="52">
        <f t="shared" si="6"/>
        <v>1233797</v>
      </c>
      <c r="J11" s="52">
        <f t="shared" si="6"/>
        <v>1348661</v>
      </c>
      <c r="K11" s="52">
        <f t="shared" si="6"/>
        <v>153564</v>
      </c>
      <c r="L11" s="105">
        <f t="shared" ref="L11" si="7">+L7-L10</f>
        <v>1225753</v>
      </c>
      <c r="M11" s="52">
        <f>+M7-M10</f>
        <v>1348328.3</v>
      </c>
      <c r="N11" s="52">
        <f t="shared" ref="N11:R11" si="8">+N7-N10</f>
        <v>1415420.6556296011</v>
      </c>
      <c r="O11" s="52">
        <f t="shared" si="8"/>
        <v>1486191.6884110814</v>
      </c>
      <c r="P11" s="52">
        <f t="shared" si="8"/>
        <v>1560501.2728316355</v>
      </c>
      <c r="Q11" s="52">
        <f t="shared" si="8"/>
        <v>1638526.3364732172</v>
      </c>
      <c r="R11" s="52">
        <f t="shared" si="8"/>
        <v>1720452.6532968783</v>
      </c>
      <c r="U11" s="6"/>
    </row>
    <row r="12" spans="2:21" ht="14.5" customHeight="1">
      <c r="B12" s="63" t="s">
        <v>91</v>
      </c>
      <c r="C12" s="65">
        <f>+C11/C7</f>
        <v>0.91104156098437561</v>
      </c>
      <c r="D12" s="65">
        <f>+D11/D7</f>
        <v>0.91911311049453015</v>
      </c>
      <c r="E12" s="65">
        <f>+E11/E7</f>
        <v>0.91789618016479746</v>
      </c>
      <c r="F12" s="65">
        <f>+F11/F7</f>
        <v>0.91517327545886074</v>
      </c>
      <c r="G12" s="65">
        <f>+G11/G7</f>
        <v>0.91727612105335443</v>
      </c>
      <c r="H12" s="65">
        <f t="shared" ref="H12:K12" si="9">+H11/H7</f>
        <v>0.91617718142737303</v>
      </c>
      <c r="I12" s="65">
        <f t="shared" si="9"/>
        <v>0.9149199498713414</v>
      </c>
      <c r="J12" s="65">
        <f t="shared" si="9"/>
        <v>0.9143929352339949</v>
      </c>
      <c r="K12" s="65">
        <f t="shared" si="9"/>
        <v>0.84582633361791193</v>
      </c>
      <c r="L12" s="106">
        <f t="shared" ref="L12" si="10">+L11/L7</f>
        <v>0.91595844925232717</v>
      </c>
      <c r="M12" s="65">
        <f>+M11/M7</f>
        <v>0.91595844925232706</v>
      </c>
      <c r="N12" s="65">
        <f t="shared" ref="N12:R12" si="11">+N11/N7</f>
        <v>0.91574878933607839</v>
      </c>
      <c r="O12" s="65">
        <f t="shared" si="11"/>
        <v>0.91574878933607851</v>
      </c>
      <c r="P12" s="65">
        <f t="shared" si="11"/>
        <v>0.91574878933607851</v>
      </c>
      <c r="Q12" s="65">
        <f t="shared" si="11"/>
        <v>0.91574878933607839</v>
      </c>
      <c r="R12" s="65">
        <f t="shared" si="11"/>
        <v>0.91574878933607851</v>
      </c>
      <c r="U12" s="6"/>
    </row>
    <row r="13" spans="2:21" ht="14.5" customHeight="1">
      <c r="B13" s="8"/>
      <c r="C13" s="58"/>
      <c r="D13" s="58"/>
      <c r="E13" s="58"/>
      <c r="F13" s="58"/>
      <c r="G13" s="58"/>
      <c r="H13" s="58"/>
      <c r="I13" s="58"/>
      <c r="J13" s="58"/>
      <c r="K13" s="58"/>
      <c r="L13" s="107"/>
      <c r="M13" s="58"/>
      <c r="N13" s="58"/>
      <c r="O13" s="58"/>
      <c r="P13" s="58"/>
      <c r="Q13" s="58"/>
      <c r="R13" s="58"/>
      <c r="U13" s="6"/>
    </row>
    <row r="14" spans="2:21" ht="14.5" customHeight="1">
      <c r="B14" s="7" t="s">
        <v>4</v>
      </c>
      <c r="C14" s="53">
        <f>+'Historical Analysis'!L10</f>
        <v>717053</v>
      </c>
      <c r="D14" s="53">
        <f>+'Historical Analysis'!K10</f>
        <v>747243</v>
      </c>
      <c r="E14" s="53">
        <f>+'Historical Analysis'!J10</f>
        <v>777229</v>
      </c>
      <c r="F14" s="53">
        <f>+'Historical Analysis'!I10</f>
        <v>814747</v>
      </c>
      <c r="G14" s="53">
        <f>+'Historical Analysis'!H10</f>
        <v>852587</v>
      </c>
      <c r="H14" s="53">
        <f>+'Historical Analysis'!G10</f>
        <v>905094</v>
      </c>
      <c r="I14" s="53">
        <f>+'Historical Analysis'!F10</f>
        <v>933212</v>
      </c>
      <c r="J14" s="53">
        <f>+'Historical Analysis'!E10</f>
        <v>1034908</v>
      </c>
      <c r="K14" s="53">
        <f>+'Historical Analysis'!D10</f>
        <v>613449</v>
      </c>
      <c r="L14" s="108">
        <f>+'Historical Analysis'!C10</f>
        <v>1066803</v>
      </c>
      <c r="M14" s="53">
        <f>+M7*M39</f>
        <v>977001.12904763676</v>
      </c>
      <c r="N14" s="53">
        <f t="shared" ref="N14:R14" si="12">+N7*N39</f>
        <v>1025851.1855000188</v>
      </c>
      <c r="O14" s="53">
        <f t="shared" si="12"/>
        <v>1077143.7447750198</v>
      </c>
      <c r="P14" s="53">
        <f t="shared" si="12"/>
        <v>1131000.9320137708</v>
      </c>
      <c r="Q14" s="53">
        <f t="shared" si="12"/>
        <v>1187550.9786144595</v>
      </c>
      <c r="R14" s="53">
        <f t="shared" si="12"/>
        <v>1246928.5275451825</v>
      </c>
      <c r="U14" s="6"/>
    </row>
    <row r="15" spans="2:21" ht="14.5" customHeight="1" thickBot="1">
      <c r="B15" s="7" t="s">
        <v>5</v>
      </c>
      <c r="C15" s="61">
        <f>+C11-C14</f>
        <v>256353</v>
      </c>
      <c r="D15" s="61">
        <f>+D11-D14</f>
        <v>295557</v>
      </c>
      <c r="E15" s="61">
        <f>+E11-E14</f>
        <v>287168</v>
      </c>
      <c r="F15" s="61">
        <f>+F11-F14</f>
        <v>316204</v>
      </c>
      <c r="G15" s="61">
        <f>+G11-G14</f>
        <v>329526</v>
      </c>
      <c r="H15" s="61">
        <f t="shared" ref="H15:K15" si="13">+H11-H14</f>
        <v>306062</v>
      </c>
      <c r="I15" s="61">
        <f t="shared" si="13"/>
        <v>300585</v>
      </c>
      <c r="J15" s="61">
        <f t="shared" si="13"/>
        <v>313753</v>
      </c>
      <c r="K15" s="61">
        <f t="shared" si="13"/>
        <v>-459885</v>
      </c>
      <c r="L15" s="109">
        <f t="shared" ref="L15" si="14">+L11-L14</f>
        <v>158950</v>
      </c>
      <c r="M15" s="60">
        <f>+M11-M14</f>
        <v>371327.17095236329</v>
      </c>
      <c r="N15" s="60">
        <f t="shared" ref="N15:R15" si="15">+N11-N14</f>
        <v>389569.47012958233</v>
      </c>
      <c r="O15" s="60">
        <f t="shared" si="15"/>
        <v>409047.94363606162</v>
      </c>
      <c r="P15" s="60">
        <f t="shared" si="15"/>
        <v>429500.34081786475</v>
      </c>
      <c r="Q15" s="60">
        <f t="shared" si="15"/>
        <v>450975.35785875772</v>
      </c>
      <c r="R15" s="60">
        <f t="shared" si="15"/>
        <v>473524.12575169583</v>
      </c>
      <c r="U15" s="6"/>
    </row>
    <row r="16" spans="2:21" ht="14.5" customHeight="1" thickTop="1">
      <c r="B16" s="7"/>
      <c r="C16" s="54"/>
      <c r="D16" s="54"/>
      <c r="E16" s="54"/>
      <c r="F16" s="54"/>
      <c r="G16" s="54"/>
      <c r="H16" s="54"/>
      <c r="I16" s="54"/>
      <c r="J16" s="54"/>
      <c r="K16" s="54"/>
      <c r="L16" s="104"/>
      <c r="M16" s="62"/>
      <c r="N16" s="62"/>
      <c r="O16" s="62"/>
      <c r="P16" s="62"/>
      <c r="Q16" s="62"/>
      <c r="R16" s="62"/>
      <c r="U16" s="6"/>
    </row>
    <row r="17" spans="2:21" ht="14.5" customHeight="1">
      <c r="B17" s="8" t="s">
        <v>6</v>
      </c>
      <c r="C17" s="53">
        <f>+'Historical Analysis'!L12</f>
        <v>110619</v>
      </c>
      <c r="D17" s="53">
        <f>+'Historical Analysis'!K12</f>
        <v>103071</v>
      </c>
      <c r="E17" s="53">
        <f>+'Historical Analysis'!J12</f>
        <v>96286</v>
      </c>
      <c r="F17" s="53">
        <f>+'Historical Analysis'!I12</f>
        <v>86849</v>
      </c>
      <c r="G17" s="53">
        <f>+'Historical Analysis'!H12</f>
        <v>83863</v>
      </c>
      <c r="H17" s="53">
        <f>+'Historical Analysis'!G12</f>
        <v>85603</v>
      </c>
      <c r="I17" s="53">
        <f>+'Historical Analysis'!F12</f>
        <v>85687</v>
      </c>
      <c r="J17" s="53">
        <f>+'Historical Analysis'!E12</f>
        <v>100364</v>
      </c>
      <c r="K17" s="53">
        <f>+'Historical Analysis'!D12</f>
        <v>150669</v>
      </c>
      <c r="L17" s="108">
        <f>+'Historical Analysis'!C12</f>
        <v>184032</v>
      </c>
      <c r="M17" s="54"/>
      <c r="N17" s="54"/>
      <c r="O17" s="54"/>
      <c r="P17" s="54"/>
      <c r="Q17" s="54"/>
      <c r="R17" s="54"/>
      <c r="U17" s="6"/>
    </row>
    <row r="18" spans="2:21" ht="14.5" customHeight="1">
      <c r="B18" s="8" t="s">
        <v>7</v>
      </c>
      <c r="C18" s="51">
        <f t="shared" ref="C18:K18" si="16">+C15-C17</f>
        <v>145734</v>
      </c>
      <c r="D18" s="51">
        <f t="shared" si="16"/>
        <v>192486</v>
      </c>
      <c r="E18" s="51">
        <f t="shared" si="16"/>
        <v>190882</v>
      </c>
      <c r="F18" s="51">
        <f t="shared" si="16"/>
        <v>229355</v>
      </c>
      <c r="G18" s="51">
        <f t="shared" si="16"/>
        <v>245663</v>
      </c>
      <c r="H18" s="51">
        <f t="shared" si="16"/>
        <v>220459</v>
      </c>
      <c r="I18" s="51">
        <f t="shared" si="16"/>
        <v>214898</v>
      </c>
      <c r="J18" s="51">
        <f t="shared" si="16"/>
        <v>213389</v>
      </c>
      <c r="K18" s="51">
        <f t="shared" si="16"/>
        <v>-610554</v>
      </c>
      <c r="L18" s="104">
        <f t="shared" ref="L18" si="17">+L15-L17</f>
        <v>-25082</v>
      </c>
      <c r="M18" s="54"/>
      <c r="N18" s="54"/>
      <c r="O18" s="54"/>
      <c r="P18" s="54"/>
      <c r="Q18" s="54"/>
      <c r="R18" s="54"/>
      <c r="U18" s="6"/>
    </row>
    <row r="19" spans="2:21" ht="14.5" customHeight="1">
      <c r="B19" s="8" t="s">
        <v>8</v>
      </c>
      <c r="C19" s="53">
        <f>+'Historical Analysis'!L14</f>
        <v>13153</v>
      </c>
      <c r="D19" s="53">
        <f>+'Historical Analysis'!K14</f>
        <v>64039</v>
      </c>
      <c r="E19" s="53">
        <f>+'Historical Analysis'!J14</f>
        <v>76782</v>
      </c>
      <c r="F19" s="53">
        <f>+'Historical Analysis'!I14</f>
        <v>94941</v>
      </c>
      <c r="G19" s="53">
        <f>+'Historical Analysis'!H14</f>
        <v>-3443</v>
      </c>
      <c r="H19" s="53">
        <f>+'Historical Analysis'!G14</f>
        <v>3871</v>
      </c>
      <c r="I19" s="53">
        <f>+'Historical Analysis'!F14</f>
        <v>53502</v>
      </c>
      <c r="J19" s="53">
        <f>+'Historical Analysis'!E14</f>
        <v>-1765</v>
      </c>
      <c r="K19" s="53">
        <f>+'Historical Analysis'!D14</f>
        <v>117604</v>
      </c>
      <c r="L19" s="108">
        <f>+'Historical Analysis'!C14</f>
        <v>3401</v>
      </c>
      <c r="M19" s="54"/>
      <c r="N19" s="54"/>
      <c r="O19" s="54"/>
      <c r="P19" s="54"/>
      <c r="Q19" s="54"/>
      <c r="R19" s="54"/>
      <c r="U19" s="6"/>
    </row>
    <row r="20" spans="2:21" ht="14.5" customHeight="1">
      <c r="B20" s="8" t="s">
        <v>9</v>
      </c>
      <c r="C20" s="55">
        <f>+'Historical Analysis'!D15</f>
        <v>-728158</v>
      </c>
      <c r="D20" s="55">
        <f>+'Historical Analysis'!E15</f>
        <v>215154</v>
      </c>
      <c r="E20" s="55">
        <f>+'Historical Analysis'!F15</f>
        <v>161396</v>
      </c>
      <c r="F20" s="55">
        <f>+'Historical Analysis'!G15</f>
        <v>216588</v>
      </c>
      <c r="G20" s="55">
        <f>+'Historical Analysis'!H15</f>
        <v>249106</v>
      </c>
      <c r="H20" s="55">
        <f>+'Historical Analysis'!G15</f>
        <v>216588</v>
      </c>
      <c r="I20" s="55">
        <f>+'Historical Analysis'!F15</f>
        <v>161396</v>
      </c>
      <c r="J20" s="55">
        <f>+'Historical Analysis'!K15</f>
        <v>128447</v>
      </c>
      <c r="K20" s="55">
        <f>+'Historical Analysis'!D15</f>
        <v>-728158</v>
      </c>
      <c r="L20" s="107">
        <f>+'Historical Analysis'!C15</f>
        <v>-28483</v>
      </c>
      <c r="M20" s="54"/>
      <c r="N20" s="54"/>
      <c r="O20" s="54"/>
      <c r="P20" s="54"/>
      <c r="Q20" s="54"/>
      <c r="R20" s="54"/>
      <c r="U20" s="6"/>
    </row>
    <row r="21" spans="2:21" ht="14.5" customHeight="1">
      <c r="B21" s="8" t="s">
        <v>10</v>
      </c>
      <c r="C21" s="55">
        <f>+'Historical Analysis'!L16</f>
        <v>31365</v>
      </c>
      <c r="D21" s="55">
        <f>+'Historical Analysis'!K16</f>
        <v>20243</v>
      </c>
      <c r="E21" s="55">
        <f>+'Historical Analysis'!J16</f>
        <v>9885</v>
      </c>
      <c r="F21" s="55">
        <f>+'Historical Analysis'!I16</f>
        <v>22192</v>
      </c>
      <c r="G21" s="55">
        <f>+'Historical Analysis'!H16</f>
        <v>71418</v>
      </c>
      <c r="H21" s="55">
        <f>+'Historical Analysis'!G16</f>
        <v>1112</v>
      </c>
      <c r="I21" s="51">
        <f>+'Historical Analysis'!F16</f>
        <v>34743</v>
      </c>
      <c r="J21" s="55">
        <f>+'Historical Analysis'!E16</f>
        <v>42789</v>
      </c>
      <c r="K21" s="51">
        <f>+'Historical Analysis'!D16</f>
        <v>-137915</v>
      </c>
      <c r="L21" s="104">
        <f>+'Historical Analysis'!C16</f>
        <v>20035</v>
      </c>
      <c r="M21" s="54"/>
      <c r="N21" s="54"/>
      <c r="O21" s="54"/>
      <c r="P21" s="54"/>
      <c r="Q21" s="54"/>
      <c r="R21" s="54"/>
    </row>
    <row r="22" spans="2:21" ht="14.5" customHeight="1" thickBot="1">
      <c r="B22" s="7" t="s">
        <v>11</v>
      </c>
      <c r="C22" s="56">
        <f>+'Historical Analysis'!D17</f>
        <v>-590243</v>
      </c>
      <c r="D22" s="56">
        <f>+'Historical Analysis'!E17</f>
        <v>172365</v>
      </c>
      <c r="E22" s="56">
        <f>+'Historical Analysis'!F17</f>
        <v>126653</v>
      </c>
      <c r="F22" s="56">
        <f>+'Historical Analysis'!G17</f>
        <v>215476</v>
      </c>
      <c r="G22" s="56">
        <f>+'Historical Analysis'!H17</f>
        <v>177688</v>
      </c>
      <c r="H22" s="56">
        <f>+'Historical Analysis'!G17</f>
        <v>215476</v>
      </c>
      <c r="I22" s="56">
        <f>+'Historical Analysis'!F17</f>
        <v>126653</v>
      </c>
      <c r="J22" s="56">
        <f>+'Historical Analysis'!K17</f>
        <v>108204</v>
      </c>
      <c r="K22" s="56">
        <f>+'Historical Analysis'!D17</f>
        <v>-590243</v>
      </c>
      <c r="L22" s="110">
        <f>+'Historical Analysis'!C17</f>
        <v>-48518</v>
      </c>
      <c r="M22" s="54"/>
      <c r="N22" s="54"/>
      <c r="O22" s="54"/>
      <c r="P22" s="54"/>
      <c r="Q22" s="54"/>
      <c r="R22" s="54"/>
    </row>
    <row r="23" spans="2:21" ht="14.5" customHeight="1" thickTop="1">
      <c r="C23" s="57"/>
      <c r="D23" s="57"/>
      <c r="E23" s="57"/>
      <c r="F23" s="57"/>
      <c r="G23" s="57"/>
      <c r="H23" s="57"/>
      <c r="I23" s="57"/>
      <c r="J23" s="57"/>
      <c r="K23" s="57"/>
      <c r="L23" s="111"/>
      <c r="M23" s="54"/>
      <c r="N23" s="54"/>
      <c r="O23" s="54"/>
      <c r="P23" s="54"/>
      <c r="Q23" s="54"/>
      <c r="R23" s="54"/>
    </row>
    <row r="24" spans="2:21" ht="14.5" customHeight="1">
      <c r="B24" s="8" t="s">
        <v>48</v>
      </c>
      <c r="C24" s="55">
        <f>+'Historical Analysis'!L68</f>
        <v>127339</v>
      </c>
      <c r="D24" s="55">
        <f>+'Historical Analysis'!K68</f>
        <v>122487</v>
      </c>
      <c r="E24" s="55">
        <f>+'Historical Analysis'!J68</f>
        <v>124286</v>
      </c>
      <c r="F24" s="55">
        <f>+'Historical Analysis'!I68</f>
        <v>125631</v>
      </c>
      <c r="G24" s="55">
        <f>+'Historical Analysis'!H68</f>
        <v>131876</v>
      </c>
      <c r="H24" s="55">
        <f>+'Historical Analysis'!G68</f>
        <v>153222</v>
      </c>
      <c r="I24" s="55">
        <f>+'Historical Analysis'!F68</f>
        <v>155529</v>
      </c>
      <c r="J24" s="55">
        <f>+'Historical Analysis'!E68</f>
        <v>170456</v>
      </c>
      <c r="K24" s="55">
        <f>+'Historical Analysis'!D68</f>
        <v>157549</v>
      </c>
      <c r="L24" s="107">
        <f>+'Historical Analysis'!C68</f>
        <v>148803</v>
      </c>
      <c r="M24" s="55">
        <f>+M44*M7</f>
        <v>162866.13338650326</v>
      </c>
      <c r="N24" s="55">
        <f t="shared" ref="N24:R24" si="18">+N44*N7</f>
        <v>171009.44005582845</v>
      </c>
      <c r="O24" s="55">
        <f t="shared" si="18"/>
        <v>179559.91205861987</v>
      </c>
      <c r="P24" s="55">
        <f t="shared" si="18"/>
        <v>188537.90766155088</v>
      </c>
      <c r="Q24" s="55">
        <f t="shared" si="18"/>
        <v>197964.80304462844</v>
      </c>
      <c r="R24" s="55">
        <f t="shared" si="18"/>
        <v>207863.04319685989</v>
      </c>
      <c r="S24" s="55"/>
    </row>
    <row r="25" spans="2:21" ht="14.5" customHeight="1">
      <c r="B25" s="8" t="s">
        <v>88</v>
      </c>
      <c r="C25" s="59">
        <f>+'Historical Analysis'!L70</f>
        <v>3122</v>
      </c>
      <c r="D25" s="59">
        <f>+'Historical Analysis'!K70</f>
        <v>15714</v>
      </c>
      <c r="E25" s="59">
        <f>+'Historical Analysis'!J70</f>
        <v>22310</v>
      </c>
      <c r="F25" s="59">
        <f>+'Historical Analysis'!I70</f>
        <v>16226</v>
      </c>
      <c r="G25" s="59">
        <f>+'Historical Analysis'!H70</f>
        <v>27714</v>
      </c>
      <c r="H25" s="59">
        <f>+'Historical Analysis'!G70</f>
        <v>-20908</v>
      </c>
      <c r="I25" s="59">
        <f>+'Historical Analysis'!F70</f>
        <v>-8887</v>
      </c>
      <c r="J25" s="59">
        <f>+'Historical Analysis'!E70</f>
        <v>50263</v>
      </c>
      <c r="K25" s="59">
        <f>+'Historical Analysis'!D70</f>
        <v>-69014</v>
      </c>
      <c r="L25" s="112">
        <f>+'Historical Analysis'!C70</f>
        <v>44722</v>
      </c>
      <c r="M25" s="59">
        <f>-M41*M7</f>
        <v>10144.614717570379</v>
      </c>
      <c r="N25" s="59">
        <f t="shared" ref="N25:R25" si="19">-N41*N7</f>
        <v>10651.845453448899</v>
      </c>
      <c r="O25" s="59">
        <f t="shared" si="19"/>
        <v>11184.437726121345</v>
      </c>
      <c r="P25" s="59">
        <f t="shared" si="19"/>
        <v>11743.659612427413</v>
      </c>
      <c r="Q25" s="59">
        <f t="shared" si="19"/>
        <v>12330.842593048783</v>
      </c>
      <c r="R25" s="59">
        <f t="shared" si="19"/>
        <v>12947.384722701223</v>
      </c>
      <c r="S25" s="59"/>
    </row>
    <row r="26" spans="2:21" ht="14.5" customHeight="1">
      <c r="B26" s="8" t="s">
        <v>50</v>
      </c>
      <c r="C26" s="55">
        <f>+'Historical Analysis'!L73</f>
        <v>-96232</v>
      </c>
      <c r="D26" s="55">
        <f>+'Historical Analysis'!K73</f>
        <v>-120448</v>
      </c>
      <c r="E26" s="55">
        <f>+'Historical Analysis'!J73</f>
        <v>-166719</v>
      </c>
      <c r="F26" s="55">
        <f>+'Historical Analysis'!I73</f>
        <v>-175865</v>
      </c>
      <c r="G26" s="55">
        <f>+'Historical Analysis'!H73</f>
        <v>-160656</v>
      </c>
      <c r="H26" s="55">
        <f>+'Historical Analysis'!G73</f>
        <v>-188084</v>
      </c>
      <c r="I26" s="55">
        <f>+'Historical Analysis'!F73</f>
        <v>-189775</v>
      </c>
      <c r="J26" s="55">
        <f>+'Historical Analysis'!E73</f>
        <v>-330662</v>
      </c>
      <c r="K26" s="55">
        <f>+'Historical Analysis'!D73</f>
        <v>-129087</v>
      </c>
      <c r="L26" s="107">
        <f>+'Historical Analysis'!C73</f>
        <v>-59183</v>
      </c>
      <c r="M26" s="58">
        <f>-M42*M7</f>
        <v>-205012.41153783826</v>
      </c>
      <c r="N26" s="58">
        <f t="shared" ref="N26:R26" si="20">-N42*N7</f>
        <v>-215263.03211473019</v>
      </c>
      <c r="O26" s="58">
        <f t="shared" si="20"/>
        <v>-226026.18372046671</v>
      </c>
      <c r="P26" s="58">
        <f t="shared" si="20"/>
        <v>-237327.49290649005</v>
      </c>
      <c r="Q26" s="58">
        <f t="shared" si="20"/>
        <v>-249193.86755181456</v>
      </c>
      <c r="R26" s="58">
        <f t="shared" si="20"/>
        <v>-261653.56092940533</v>
      </c>
      <c r="S26" s="58"/>
    </row>
    <row r="27" spans="2:21" ht="14.5" customHeight="1">
      <c r="B27" s="24"/>
      <c r="C27" s="55"/>
      <c r="D27" s="55"/>
      <c r="E27" s="55"/>
      <c r="F27" s="55"/>
      <c r="G27" s="55"/>
      <c r="H27" s="55"/>
      <c r="I27" s="55"/>
      <c r="J27" s="55"/>
      <c r="K27" s="55"/>
      <c r="L27" s="107"/>
      <c r="M27" s="58"/>
      <c r="N27" s="58"/>
      <c r="O27" s="58"/>
      <c r="P27" s="58"/>
      <c r="Q27" s="58"/>
      <c r="R27" s="58"/>
      <c r="S27" s="36"/>
    </row>
    <row r="28" spans="2:21" ht="14.5" customHeight="1">
      <c r="B28" s="8" t="s">
        <v>35</v>
      </c>
      <c r="C28" s="55">
        <f>+'Historical Analysis'!L47</f>
        <v>0</v>
      </c>
      <c r="D28" s="55">
        <f>+'Historical Analysis'!K47</f>
        <v>0</v>
      </c>
      <c r="E28" s="55">
        <f>+'Historical Analysis'!F47</f>
        <v>5625</v>
      </c>
      <c r="F28" s="55">
        <f>+'Historical Analysis'!G47</f>
        <v>0</v>
      </c>
      <c r="G28" s="55">
        <f>+'Historical Analysis'!H47</f>
        <v>2775</v>
      </c>
      <c r="H28" s="55">
        <f>+'Historical Analysis'!G47</f>
        <v>0</v>
      </c>
      <c r="I28" s="55">
        <f>+'Historical Analysis'!F47</f>
        <v>5625</v>
      </c>
      <c r="J28" s="55">
        <f>+'Historical Analysis'!E47</f>
        <v>7500</v>
      </c>
      <c r="K28" s="55">
        <f>+'Historical Analysis'!D47</f>
        <v>0</v>
      </c>
      <c r="L28" s="107">
        <f>+'Historical Analysis'!C47</f>
        <v>0</v>
      </c>
      <c r="M28" s="58"/>
      <c r="N28" s="58"/>
      <c r="O28" s="58"/>
      <c r="P28" s="58"/>
      <c r="Q28" s="58"/>
      <c r="R28" s="58"/>
      <c r="S28"/>
    </row>
    <row r="29" spans="2:21" ht="14.5" customHeight="1">
      <c r="B29" s="8" t="s">
        <v>38</v>
      </c>
      <c r="C29" s="55">
        <f>+'Historical Analysis'!L51</f>
        <v>1532180</v>
      </c>
      <c r="D29" s="55">
        <f>+'Historical Analysis'!K51</f>
        <v>1520632</v>
      </c>
      <c r="E29" s="55">
        <f>+'Historical Analysis'!J51</f>
        <v>1558850</v>
      </c>
      <c r="F29" s="55">
        <f>+'Historical Analysis'!I51</f>
        <v>1556375</v>
      </c>
      <c r="G29" s="55">
        <f>+'Historical Analysis'!H51</f>
        <v>1534211</v>
      </c>
      <c r="H29" s="55">
        <f>+'Historical Analysis'!G51</f>
        <v>1660515</v>
      </c>
      <c r="I29" s="55">
        <f>+'Historical Analysis'!F51</f>
        <v>1657568</v>
      </c>
      <c r="J29" s="55">
        <f>+'Historical Analysis'!E51</f>
        <v>2145883</v>
      </c>
      <c r="K29" s="55">
        <f>+'Historical Analysis'!D51</f>
        <v>2954244</v>
      </c>
      <c r="L29" s="107">
        <f>+'Historical Analysis'!C51</f>
        <v>2518936</v>
      </c>
      <c r="M29" s="58"/>
      <c r="N29" s="58"/>
      <c r="O29" s="58"/>
      <c r="P29" s="58"/>
      <c r="Q29" s="58"/>
      <c r="R29" s="58"/>
      <c r="S29"/>
    </row>
    <row r="30" spans="2:21" ht="14.5" customHeight="1">
      <c r="B30" s="8" t="s">
        <v>77</v>
      </c>
      <c r="C30" s="67">
        <f t="shared" ref="C30:K30" si="21">SUM(C28:C29)</f>
        <v>1532180</v>
      </c>
      <c r="D30" s="67">
        <f t="shared" si="21"/>
        <v>1520632</v>
      </c>
      <c r="E30" s="67">
        <f t="shared" si="21"/>
        <v>1564475</v>
      </c>
      <c r="F30" s="67">
        <f t="shared" si="21"/>
        <v>1556375</v>
      </c>
      <c r="G30" s="67">
        <f t="shared" si="21"/>
        <v>1536986</v>
      </c>
      <c r="H30" s="67">
        <f t="shared" si="21"/>
        <v>1660515</v>
      </c>
      <c r="I30" s="67">
        <f t="shared" si="21"/>
        <v>1663193</v>
      </c>
      <c r="J30" s="67">
        <f t="shared" si="21"/>
        <v>2153383</v>
      </c>
      <c r="K30" s="67">
        <f t="shared" si="21"/>
        <v>2954244</v>
      </c>
      <c r="L30" s="113">
        <f t="shared" ref="L30" si="22">SUM(L28:L29)</f>
        <v>2518936</v>
      </c>
      <c r="M30" s="67">
        <f>+M46</f>
        <v>2392989.2000000002</v>
      </c>
      <c r="N30" s="67">
        <f t="shared" ref="N30:R30" si="23">+N46</f>
        <v>2267042.4000000004</v>
      </c>
      <c r="O30" s="67">
        <f t="shared" si="23"/>
        <v>2141095.6000000006</v>
      </c>
      <c r="P30" s="67">
        <f t="shared" si="23"/>
        <v>2015148.8000000005</v>
      </c>
      <c r="Q30" s="67">
        <f t="shared" si="23"/>
        <v>1889202.0000000005</v>
      </c>
      <c r="R30" s="67">
        <f t="shared" si="23"/>
        <v>1763255.2000000004</v>
      </c>
      <c r="S30"/>
    </row>
    <row r="31" spans="2:21" ht="11.5" customHeight="1">
      <c r="B31" s="5"/>
      <c r="C31" s="12"/>
      <c r="D31" s="12"/>
      <c r="E31" s="12"/>
      <c r="F31" s="12"/>
      <c r="G31" s="12"/>
      <c r="K31" s="3"/>
      <c r="L31" s="114"/>
      <c r="N31" s="25"/>
      <c r="O31" s="16"/>
      <c r="R31"/>
      <c r="S31" s="36"/>
    </row>
    <row r="32" spans="2:21" ht="19.75" customHeight="1">
      <c r="B32" s="84" t="s">
        <v>78</v>
      </c>
      <c r="C32" s="85" t="s">
        <v>82</v>
      </c>
      <c r="D32" s="85" t="s">
        <v>82</v>
      </c>
      <c r="E32" s="85" t="s">
        <v>82</v>
      </c>
      <c r="F32" s="85" t="s">
        <v>82</v>
      </c>
      <c r="G32" s="85" t="s">
        <v>82</v>
      </c>
      <c r="H32" s="85" t="s">
        <v>82</v>
      </c>
      <c r="I32" s="85" t="s">
        <v>82</v>
      </c>
      <c r="J32" s="85" t="s">
        <v>82</v>
      </c>
      <c r="K32" s="85" t="str">
        <f>+J32</f>
        <v>Dec 31</v>
      </c>
      <c r="L32" s="129" t="s">
        <v>82</v>
      </c>
      <c r="M32" s="85" t="s">
        <v>82</v>
      </c>
      <c r="N32" s="85" t="str">
        <f>+M32</f>
        <v>Dec 31</v>
      </c>
      <c r="O32" s="85" t="str">
        <f>+N32</f>
        <v>Dec 31</v>
      </c>
      <c r="P32" s="85" t="str">
        <f>+O32</f>
        <v>Dec 31</v>
      </c>
      <c r="Q32" s="85" t="str">
        <f>+P32</f>
        <v>Dec 31</v>
      </c>
      <c r="R32" s="85" t="str">
        <f>+Q32</f>
        <v>Dec 31</v>
      </c>
      <c r="S32" s="36"/>
    </row>
    <row r="33" spans="2:22" ht="20" customHeight="1" thickBot="1">
      <c r="B33" s="87"/>
      <c r="C33" s="88">
        <f>+C6</f>
        <v>2012</v>
      </c>
      <c r="D33" s="88">
        <f>+D6</f>
        <v>2013</v>
      </c>
      <c r="E33" s="88">
        <f>+E6</f>
        <v>2014</v>
      </c>
      <c r="F33" s="88">
        <f>+F6</f>
        <v>2015</v>
      </c>
      <c r="G33" s="88">
        <f>+G6</f>
        <v>2016</v>
      </c>
      <c r="H33" s="88">
        <f t="shared" ref="H33:R33" si="24">+H6</f>
        <v>2017</v>
      </c>
      <c r="I33" s="88">
        <f t="shared" si="24"/>
        <v>2018</v>
      </c>
      <c r="J33" s="88">
        <f t="shared" si="24"/>
        <v>2019</v>
      </c>
      <c r="K33" s="88">
        <f t="shared" si="24"/>
        <v>2020</v>
      </c>
      <c r="L33" s="91">
        <f t="shared" ref="L33" si="25">+L6</f>
        <v>2021</v>
      </c>
      <c r="M33" s="88">
        <f t="shared" si="24"/>
        <v>2022</v>
      </c>
      <c r="N33" s="88">
        <f t="shared" si="24"/>
        <v>2023</v>
      </c>
      <c r="O33" s="88">
        <f t="shared" si="24"/>
        <v>2024</v>
      </c>
      <c r="P33" s="88">
        <f t="shared" si="24"/>
        <v>2025</v>
      </c>
      <c r="Q33" s="88">
        <f t="shared" si="24"/>
        <v>2026</v>
      </c>
      <c r="R33" s="88">
        <f t="shared" si="24"/>
        <v>2027</v>
      </c>
      <c r="S33" s="36"/>
      <c r="T33" s="89" t="s">
        <v>94</v>
      </c>
      <c r="U33" s="90"/>
      <c r="V33" s="90"/>
    </row>
    <row r="34" spans="2:22" ht="14.5" customHeight="1">
      <c r="B34" s="30" t="s">
        <v>58</v>
      </c>
      <c r="C34" s="27">
        <f>C15+C24</f>
        <v>383692</v>
      </c>
      <c r="D34" s="27">
        <f t="shared" ref="D34:R34" si="26">D15+D24</f>
        <v>418044</v>
      </c>
      <c r="E34" s="27">
        <f t="shared" si="26"/>
        <v>411454</v>
      </c>
      <c r="F34" s="27">
        <f t="shared" si="26"/>
        <v>441835</v>
      </c>
      <c r="G34" s="27">
        <f t="shared" si="26"/>
        <v>461402</v>
      </c>
      <c r="H34" s="27">
        <f t="shared" si="26"/>
        <v>459284</v>
      </c>
      <c r="I34" s="27">
        <f t="shared" si="26"/>
        <v>456114</v>
      </c>
      <c r="J34" s="128">
        <f t="shared" si="26"/>
        <v>484209</v>
      </c>
      <c r="K34" s="27">
        <f t="shared" si="26"/>
        <v>-302336</v>
      </c>
      <c r="L34" s="92">
        <f t="shared" ref="L34" si="27">L15+L24</f>
        <v>307753</v>
      </c>
      <c r="M34" s="27">
        <f t="shared" si="26"/>
        <v>534193.30433886661</v>
      </c>
      <c r="N34" s="27">
        <f t="shared" si="26"/>
        <v>560578.91018541076</v>
      </c>
      <c r="O34" s="99">
        <f t="shared" si="26"/>
        <v>588607.85569468152</v>
      </c>
      <c r="P34" s="27">
        <f t="shared" si="26"/>
        <v>618038.24847941566</v>
      </c>
      <c r="Q34" s="27">
        <f t="shared" si="26"/>
        <v>648940.16090338619</v>
      </c>
      <c r="R34" s="27">
        <f t="shared" si="26"/>
        <v>681387.16894855571</v>
      </c>
      <c r="S34" s="36"/>
      <c r="T34" s="38" t="s">
        <v>269</v>
      </c>
    </row>
    <row r="35" spans="2:22" ht="14.5" customHeight="1">
      <c r="B35" s="30"/>
      <c r="C35" s="1"/>
      <c r="D35" s="1"/>
      <c r="E35" s="1"/>
      <c r="F35" s="1"/>
      <c r="G35" s="1"/>
      <c r="H35" s="27"/>
      <c r="I35" s="27"/>
      <c r="J35" s="27"/>
      <c r="K35" s="27"/>
      <c r="L35" s="92"/>
      <c r="M35" s="37"/>
      <c r="N35" s="37"/>
      <c r="O35" s="37"/>
      <c r="P35" s="37"/>
      <c r="Q35" s="37"/>
      <c r="R35" s="37"/>
      <c r="S35" s="36"/>
    </row>
    <row r="36" spans="2:22" ht="14.5" customHeight="1">
      <c r="B36" s="28" t="s">
        <v>60</v>
      </c>
      <c r="C36" s="12"/>
      <c r="D36" s="44">
        <f>D7/C7-1</f>
        <v>6.1881934084200063E-2</v>
      </c>
      <c r="E36" s="44">
        <f t="shared" ref="E36:L36" si="28">E7/D7-1</f>
        <v>2.2063826711746781E-2</v>
      </c>
      <c r="F36" s="44">
        <f t="shared" si="28"/>
        <v>6.5688747461420061E-2</v>
      </c>
      <c r="G36" s="44">
        <f t="shared" si="28"/>
        <v>4.284183728792712E-2</v>
      </c>
      <c r="H36" s="44">
        <f t="shared" si="28"/>
        <v>2.5797670713831877E-2</v>
      </c>
      <c r="I36" s="44">
        <f t="shared" si="28"/>
        <v>2.0093542425794197E-2</v>
      </c>
      <c r="J36" s="44">
        <f t="shared" si="28"/>
        <v>9.3727985287683557E-2</v>
      </c>
      <c r="K36" s="44">
        <f t="shared" si="28"/>
        <v>-0.87690560536976458</v>
      </c>
      <c r="L36" s="93">
        <f t="shared" si="28"/>
        <v>6.370873839883231</v>
      </c>
      <c r="M36" s="98">
        <v>0.1</v>
      </c>
      <c r="N36" s="46">
        <v>0.05</v>
      </c>
      <c r="O36" s="46">
        <v>0.05</v>
      </c>
      <c r="P36" s="46">
        <v>0.05</v>
      </c>
      <c r="Q36" s="46">
        <v>0.05</v>
      </c>
      <c r="R36" s="46">
        <v>0.05</v>
      </c>
      <c r="T36" s="175" t="s">
        <v>303</v>
      </c>
      <c r="U36" s="176"/>
      <c r="V36" s="176"/>
    </row>
    <row r="37" spans="2:22" ht="14.5" customHeight="1">
      <c r="B37" s="28"/>
      <c r="C37" s="12"/>
      <c r="D37" s="12"/>
      <c r="E37" s="12"/>
      <c r="F37" s="12"/>
      <c r="G37" s="12"/>
      <c r="H37" s="44"/>
      <c r="I37" s="71"/>
      <c r="J37" s="71"/>
      <c r="K37" s="71"/>
      <c r="L37" s="94"/>
      <c r="M37" s="73"/>
      <c r="N37" s="71"/>
      <c r="O37" s="45"/>
      <c r="P37" s="45"/>
      <c r="Q37" s="45"/>
      <c r="R37" s="45"/>
      <c r="T37" s="176"/>
      <c r="U37" s="176"/>
      <c r="V37" s="176"/>
    </row>
    <row r="38" spans="2:22" ht="14.5" customHeight="1">
      <c r="B38" s="28" t="s">
        <v>85</v>
      </c>
      <c r="C38" s="44">
        <f>C10/C7</f>
        <v>8.8958439015624446E-2</v>
      </c>
      <c r="D38" s="44">
        <f t="shared" ref="D38:J38" si="29">D10/D7</f>
        <v>8.0886889505469906E-2</v>
      </c>
      <c r="E38" s="44">
        <f t="shared" si="29"/>
        <v>8.2103819835202499E-2</v>
      </c>
      <c r="F38" s="44">
        <f t="shared" si="29"/>
        <v>8.4826724541139265E-2</v>
      </c>
      <c r="G38" s="44">
        <f t="shared" si="29"/>
        <v>8.2723878946645554E-2</v>
      </c>
      <c r="H38" s="44">
        <f t="shared" si="29"/>
        <v>8.3822818572627009E-2</v>
      </c>
      <c r="I38" s="44">
        <f t="shared" si="29"/>
        <v>8.5080050128658616E-2</v>
      </c>
      <c r="J38" s="44">
        <f t="shared" si="29"/>
        <v>8.5607064766005048E-2</v>
      </c>
      <c r="K38" s="44">
        <f t="shared" ref="K38" si="30">K10/K7</f>
        <v>0.15417366638208807</v>
      </c>
      <c r="L38" s="93">
        <f t="shared" ref="L38" si="31">L10/L7</f>
        <v>8.4041550747672833E-2</v>
      </c>
      <c r="M38" s="73">
        <f>+L38</f>
        <v>8.4041550747672833E-2</v>
      </c>
      <c r="N38" s="71">
        <f>AVERAGE(C38:J38)</f>
        <v>8.425121066392155E-2</v>
      </c>
      <c r="O38" s="71">
        <f t="shared" ref="O38:R38" si="32">+N38</f>
        <v>8.425121066392155E-2</v>
      </c>
      <c r="P38" s="71">
        <f t="shared" si="32"/>
        <v>8.425121066392155E-2</v>
      </c>
      <c r="Q38" s="71">
        <f t="shared" si="32"/>
        <v>8.425121066392155E-2</v>
      </c>
      <c r="R38" s="71">
        <f t="shared" si="32"/>
        <v>8.425121066392155E-2</v>
      </c>
      <c r="T38" s="176"/>
      <c r="U38" s="176"/>
      <c r="V38" s="176"/>
    </row>
    <row r="39" spans="2:22" ht="14.5" customHeight="1">
      <c r="B39" s="28" t="s">
        <v>86</v>
      </c>
      <c r="C39" s="44">
        <f>C14/C7</f>
        <v>0.67111265435854051</v>
      </c>
      <c r="D39" s="44">
        <f t="shared" ref="D39:J39" si="33">D14/D7</f>
        <v>0.6586122343932338</v>
      </c>
      <c r="E39" s="44">
        <f t="shared" si="33"/>
        <v>0.67025323278185245</v>
      </c>
      <c r="F39" s="44">
        <f t="shared" si="33"/>
        <v>0.65929883846451387</v>
      </c>
      <c r="G39" s="44">
        <f t="shared" si="33"/>
        <v>0.66157608978203974</v>
      </c>
      <c r="H39" s="44">
        <f t="shared" si="33"/>
        <v>0.68465703001663425</v>
      </c>
      <c r="I39" s="44">
        <f t="shared" si="33"/>
        <v>0.69202168286949495</v>
      </c>
      <c r="J39" s="44">
        <f t="shared" si="33"/>
        <v>0.70166822041798738</v>
      </c>
      <c r="K39" s="44">
        <f>K14/$C$7</f>
        <v>0.57414638346620439</v>
      </c>
      <c r="L39" s="93">
        <f>L14/$C$7</f>
        <v>0.99845477671476734</v>
      </c>
      <c r="M39" s="73">
        <f>AVERAGE(C39:K39)</f>
        <v>0.66370515183894463</v>
      </c>
      <c r="N39" s="71">
        <f t="shared" ref="N39:R44" si="34">+M39</f>
        <v>0.66370515183894463</v>
      </c>
      <c r="O39" s="71">
        <f t="shared" si="34"/>
        <v>0.66370515183894463</v>
      </c>
      <c r="P39" s="71">
        <f t="shared" si="34"/>
        <v>0.66370515183894463</v>
      </c>
      <c r="Q39" s="71">
        <f t="shared" si="34"/>
        <v>0.66370515183894463</v>
      </c>
      <c r="R39" s="71">
        <f t="shared" si="34"/>
        <v>0.66370515183894463</v>
      </c>
      <c r="T39" s="38" t="s">
        <v>275</v>
      </c>
    </row>
    <row r="40" spans="2:22" ht="14.5" customHeight="1">
      <c r="B40" s="28"/>
      <c r="C40" s="12"/>
      <c r="D40" s="12"/>
      <c r="E40" s="12"/>
      <c r="F40" s="12"/>
      <c r="G40" s="12"/>
      <c r="H40" s="12"/>
      <c r="I40" s="12"/>
      <c r="J40" s="12"/>
      <c r="K40" s="12"/>
      <c r="L40" s="95"/>
      <c r="M40" s="73"/>
      <c r="N40" s="71"/>
      <c r="O40" s="71"/>
      <c r="P40" s="71"/>
      <c r="Q40" s="71"/>
      <c r="R40" s="71"/>
      <c r="T40" s="38"/>
    </row>
    <row r="41" spans="2:22" ht="14.5" customHeight="1">
      <c r="B41" s="28" t="s">
        <v>87</v>
      </c>
      <c r="C41" s="44">
        <f>-C25/C7</f>
        <v>-2.9219788591740964E-3</v>
      </c>
      <c r="D41" s="44">
        <f t="shared" ref="D41:K41" si="35">-D25/D7</f>
        <v>-1.3850156711076953E-2</v>
      </c>
      <c r="E41" s="44">
        <f t="shared" si="35"/>
        <v>-1.9239309937435594E-2</v>
      </c>
      <c r="F41" s="44">
        <f t="shared" si="35"/>
        <v>-1.313019005031648E-2</v>
      </c>
      <c r="G41" s="44">
        <f t="shared" si="35"/>
        <v>-2.1505042596496837E-2</v>
      </c>
      <c r="H41" s="44">
        <f t="shared" si="35"/>
        <v>1.5815825962372736E-2</v>
      </c>
      <c r="I41" s="44">
        <f t="shared" si="35"/>
        <v>6.5901388919786729E-3</v>
      </c>
      <c r="J41" s="44">
        <f t="shared" si="35"/>
        <v>-3.407834296659152E-2</v>
      </c>
      <c r="K41" s="44">
        <f t="shared" si="35"/>
        <v>0.38012723417146321</v>
      </c>
      <c r="L41" s="93">
        <f t="shared" ref="L41" si="36">-L25/L7</f>
        <v>-3.3419044267044486E-2</v>
      </c>
      <c r="M41" s="73">
        <f t="shared" ref="M41" si="37">AVERAGE(C41:I41)</f>
        <v>-6.8915304714497931E-3</v>
      </c>
      <c r="N41" s="71">
        <f t="shared" si="34"/>
        <v>-6.8915304714497931E-3</v>
      </c>
      <c r="O41" s="71">
        <f t="shared" si="34"/>
        <v>-6.8915304714497931E-3</v>
      </c>
      <c r="P41" s="71">
        <f t="shared" si="34"/>
        <v>-6.8915304714497931E-3</v>
      </c>
      <c r="Q41" s="71">
        <f t="shared" si="34"/>
        <v>-6.8915304714497931E-3</v>
      </c>
      <c r="R41" s="71">
        <f t="shared" si="34"/>
        <v>-6.8915304714497931E-3</v>
      </c>
      <c r="T41" s="38" t="s">
        <v>276</v>
      </c>
    </row>
    <row r="42" spans="2:22" ht="14.5" customHeight="1">
      <c r="B42" s="28" t="s">
        <v>80</v>
      </c>
      <c r="C42" s="44">
        <f>-C26/C7</f>
        <v>9.006658218322923E-2</v>
      </c>
      <c r="D42" s="44">
        <f t="shared" ref="D42:K42" si="38">-D26/D7</f>
        <v>0.10616161865443532</v>
      </c>
      <c r="E42" s="44">
        <f t="shared" si="38"/>
        <v>0.14377223278616424</v>
      </c>
      <c r="F42" s="44">
        <f t="shared" si="38"/>
        <v>0.14231115944773251</v>
      </c>
      <c r="G42" s="44">
        <f t="shared" si="38"/>
        <v>0.12466313499974005</v>
      </c>
      <c r="H42" s="44">
        <f t="shared" si="38"/>
        <v>0.1422758661903058</v>
      </c>
      <c r="I42" s="44">
        <f t="shared" si="38"/>
        <v>0.14072731047881767</v>
      </c>
      <c r="J42" s="44">
        <f t="shared" si="38"/>
        <v>0.22418902656067258</v>
      </c>
      <c r="K42" s="44">
        <f t="shared" si="38"/>
        <v>0.71100768362204292</v>
      </c>
      <c r="L42" s="93">
        <f t="shared" ref="L42" si="39">-L26/L7</f>
        <v>4.4225197818892122E-2</v>
      </c>
      <c r="M42" s="73">
        <f>AVERAGE(C42:J42)</f>
        <v>0.1392708664126372</v>
      </c>
      <c r="N42" s="71">
        <f t="shared" si="34"/>
        <v>0.1392708664126372</v>
      </c>
      <c r="O42" s="71">
        <f t="shared" si="34"/>
        <v>0.1392708664126372</v>
      </c>
      <c r="P42" s="71">
        <f t="shared" si="34"/>
        <v>0.1392708664126372</v>
      </c>
      <c r="Q42" s="71">
        <f t="shared" si="34"/>
        <v>0.1392708664126372</v>
      </c>
      <c r="R42" s="71">
        <f t="shared" si="34"/>
        <v>0.1392708664126372</v>
      </c>
      <c r="T42" s="38" t="s">
        <v>277</v>
      </c>
    </row>
    <row r="43" spans="2:22" ht="14.5" customHeight="1">
      <c r="B43" s="28"/>
      <c r="C43" s="44"/>
      <c r="D43" s="44"/>
      <c r="E43" s="44"/>
      <c r="F43" s="44"/>
      <c r="G43" s="44"/>
      <c r="H43" s="44"/>
      <c r="I43" s="44"/>
      <c r="J43" s="44"/>
      <c r="K43" s="44"/>
      <c r="L43" s="93"/>
      <c r="M43" s="73"/>
      <c r="N43" s="71"/>
      <c r="O43" s="71"/>
      <c r="P43" s="71"/>
      <c r="Q43" s="71"/>
      <c r="R43" s="71"/>
      <c r="T43" s="38"/>
    </row>
    <row r="44" spans="2:22" ht="14.5" customHeight="1">
      <c r="B44" s="28" t="s">
        <v>79</v>
      </c>
      <c r="C44" s="44">
        <f>C24/C7</f>
        <v>0.11918061048954845</v>
      </c>
      <c r="D44" s="44">
        <f t="shared" ref="D44:K44" si="40">D24/D7</f>
        <v>0.10795877211847286</v>
      </c>
      <c r="E44" s="44">
        <f t="shared" si="40"/>
        <v>0.10717959994998297</v>
      </c>
      <c r="F44" s="44">
        <f t="shared" si="40"/>
        <v>0.10166146346673917</v>
      </c>
      <c r="G44" s="44">
        <f t="shared" si="40"/>
        <v>0.10233091569082835</v>
      </c>
      <c r="H44" s="44">
        <f t="shared" si="40"/>
        <v>0.11590455737548667</v>
      </c>
      <c r="I44" s="44">
        <f t="shared" si="40"/>
        <v>0.11533225067295499</v>
      </c>
      <c r="J44" s="44">
        <f t="shared" si="40"/>
        <v>0.1155692662338763</v>
      </c>
      <c r="K44" s="44">
        <f t="shared" si="40"/>
        <v>0.86777560518851038</v>
      </c>
      <c r="L44" s="93">
        <f t="shared" ref="L44" si="41">L24/L7</f>
        <v>0.11119480443783865</v>
      </c>
      <c r="M44" s="73">
        <f>AVERAGE(C44:J44)</f>
        <v>0.11063967949973622</v>
      </c>
      <c r="N44" s="71">
        <f t="shared" si="34"/>
        <v>0.11063967949973622</v>
      </c>
      <c r="O44" s="71">
        <f t="shared" si="34"/>
        <v>0.11063967949973622</v>
      </c>
      <c r="P44" s="71">
        <f t="shared" si="34"/>
        <v>0.11063967949973622</v>
      </c>
      <c r="Q44" s="71">
        <f t="shared" si="34"/>
        <v>0.11063967949973622</v>
      </c>
      <c r="R44" s="71">
        <f t="shared" si="34"/>
        <v>0.11063967949973622</v>
      </c>
      <c r="T44" s="38" t="s">
        <v>278</v>
      </c>
    </row>
    <row r="45" spans="2:22" ht="14.5" customHeight="1">
      <c r="B45" s="28"/>
      <c r="C45" s="28"/>
      <c r="D45" s="28"/>
      <c r="E45" s="28"/>
      <c r="F45" s="28"/>
      <c r="G45" s="12"/>
      <c r="H45" s="12"/>
      <c r="I45" s="72"/>
      <c r="J45" s="72"/>
      <c r="K45" s="72"/>
      <c r="L45" s="96"/>
      <c r="M45" s="72"/>
      <c r="N45" s="72"/>
      <c r="O45" s="47"/>
      <c r="P45" s="48"/>
      <c r="Q45" s="49"/>
      <c r="R45" s="48"/>
      <c r="T45" s="38"/>
    </row>
    <row r="46" spans="2:22" ht="14.5" customHeight="1">
      <c r="B46" s="39" t="s">
        <v>77</v>
      </c>
      <c r="C46" s="99">
        <f>+C30</f>
        <v>1532180</v>
      </c>
      <c r="D46" s="99">
        <f t="shared" ref="D46:K46" si="42">+D30</f>
        <v>1520632</v>
      </c>
      <c r="E46" s="99">
        <f t="shared" si="42"/>
        <v>1564475</v>
      </c>
      <c r="F46" s="99">
        <f t="shared" si="42"/>
        <v>1556375</v>
      </c>
      <c r="G46" s="99">
        <f t="shared" si="42"/>
        <v>1536986</v>
      </c>
      <c r="H46" s="99">
        <f t="shared" si="42"/>
        <v>1660515</v>
      </c>
      <c r="I46" s="99">
        <f t="shared" si="42"/>
        <v>1663193</v>
      </c>
      <c r="J46" s="99">
        <f t="shared" si="42"/>
        <v>2153383</v>
      </c>
      <c r="K46" s="99">
        <f t="shared" si="42"/>
        <v>2954244</v>
      </c>
      <c r="L46" s="100">
        <f t="shared" ref="L46" si="43">+L30</f>
        <v>2518936</v>
      </c>
      <c r="M46" s="99">
        <f>+L46-M47</f>
        <v>2392989.2000000002</v>
      </c>
      <c r="N46" s="99">
        <f t="shared" ref="N46:R46" si="44">+M46-N47</f>
        <v>2267042.4000000004</v>
      </c>
      <c r="O46" s="99">
        <f t="shared" si="44"/>
        <v>2141095.6000000006</v>
      </c>
      <c r="P46" s="99">
        <f t="shared" si="44"/>
        <v>2015148.8000000005</v>
      </c>
      <c r="Q46" s="99">
        <f t="shared" si="44"/>
        <v>1889202.0000000005</v>
      </c>
      <c r="R46" s="99">
        <f t="shared" si="44"/>
        <v>1763255.2000000004</v>
      </c>
    </row>
    <row r="47" spans="2:22" ht="14.5" customHeight="1" thickBot="1">
      <c r="B47" s="28" t="s">
        <v>89</v>
      </c>
      <c r="C47" s="28"/>
      <c r="D47" s="28">
        <f>+D46-C46</f>
        <v>-11548</v>
      </c>
      <c r="E47" s="28">
        <f t="shared" ref="E47:L47" si="45">+E46-D46</f>
        <v>43843</v>
      </c>
      <c r="F47" s="28">
        <f t="shared" si="45"/>
        <v>-8100</v>
      </c>
      <c r="G47" s="28">
        <f t="shared" si="45"/>
        <v>-19389</v>
      </c>
      <c r="H47" s="28">
        <f t="shared" si="45"/>
        <v>123529</v>
      </c>
      <c r="I47" s="28">
        <f t="shared" si="45"/>
        <v>2678</v>
      </c>
      <c r="J47" s="28">
        <f t="shared" si="45"/>
        <v>490190</v>
      </c>
      <c r="K47" s="28">
        <f t="shared" si="45"/>
        <v>800861</v>
      </c>
      <c r="L47" s="97">
        <f t="shared" si="45"/>
        <v>-435308</v>
      </c>
      <c r="M47" s="72">
        <f>$L$48*$L$46</f>
        <v>125946.8</v>
      </c>
      <c r="N47" s="72">
        <f t="shared" ref="N47:R47" si="46">$L$48*$L$46</f>
        <v>125946.8</v>
      </c>
      <c r="O47" s="72">
        <f t="shared" si="46"/>
        <v>125946.8</v>
      </c>
      <c r="P47" s="72">
        <f t="shared" si="46"/>
        <v>125946.8</v>
      </c>
      <c r="Q47" s="72">
        <f t="shared" si="46"/>
        <v>125946.8</v>
      </c>
      <c r="R47" s="72">
        <f t="shared" si="46"/>
        <v>125946.8</v>
      </c>
    </row>
    <row r="48" spans="2:22" ht="14.5" customHeight="1" thickBot="1">
      <c r="B48" s="28" t="s">
        <v>272</v>
      </c>
      <c r="C48" s="28"/>
      <c r="D48" s="28"/>
      <c r="E48" s="28"/>
      <c r="F48" s="28"/>
      <c r="G48" s="12"/>
      <c r="H48" s="12"/>
      <c r="I48" s="72"/>
      <c r="J48" s="72"/>
      <c r="L48" s="118">
        <v>0.05</v>
      </c>
      <c r="M48" s="72"/>
      <c r="N48" s="72"/>
      <c r="O48" s="72"/>
      <c r="P48" s="72"/>
      <c r="Q48" s="72"/>
      <c r="R48" s="72"/>
    </row>
    <row r="49" spans="2:15" ht="14.5" customHeight="1">
      <c r="B49" s="28"/>
      <c r="C49" s="28"/>
      <c r="D49" s="28"/>
      <c r="E49" s="28"/>
      <c r="F49" s="28"/>
      <c r="G49" s="12"/>
      <c r="H49" s="12"/>
      <c r="I49" s="72"/>
      <c r="J49" s="72"/>
      <c r="K49" s="72"/>
      <c r="L49" s="72"/>
      <c r="M49" s="72"/>
      <c r="N49" s="72"/>
      <c r="O49" s="72"/>
    </row>
    <row r="50" spans="2:15" ht="11.5" customHeight="1">
      <c r="B50" s="28"/>
      <c r="C50" s="28"/>
      <c r="D50" s="28"/>
      <c r="E50" s="28"/>
      <c r="F50" s="28"/>
      <c r="G50" s="12"/>
      <c r="H50" s="12"/>
      <c r="I50" s="12"/>
      <c r="J50" s="12"/>
      <c r="K50" s="28"/>
      <c r="L50" s="28"/>
      <c r="N50" s="25"/>
      <c r="O50" s="16"/>
    </row>
    <row r="51" spans="2:15" ht="11.5" customHeight="1">
      <c r="B51" s="28"/>
      <c r="C51" s="28"/>
      <c r="D51" s="28"/>
      <c r="E51" s="28"/>
      <c r="F51" s="28"/>
      <c r="G51" s="12"/>
      <c r="H51" s="12"/>
      <c r="I51" s="12"/>
      <c r="J51" s="12"/>
      <c r="K51" s="28"/>
      <c r="L51" s="28"/>
      <c r="N51" s="25"/>
      <c r="O51" s="16"/>
    </row>
    <row r="52" spans="2:15" ht="11.5" customHeight="1">
      <c r="B52" s="28"/>
      <c r="C52" s="28"/>
      <c r="D52" s="28"/>
      <c r="E52" s="28"/>
      <c r="F52" s="28"/>
      <c r="G52" s="12"/>
      <c r="H52" s="12"/>
      <c r="I52" s="12"/>
      <c r="J52" s="12"/>
      <c r="K52" s="28"/>
      <c r="L52" s="28"/>
      <c r="N52" s="25"/>
      <c r="O52" s="16"/>
    </row>
    <row r="53" spans="2:15" ht="11.5" customHeight="1">
      <c r="B53" s="28"/>
      <c r="C53" s="28"/>
      <c r="D53" s="28"/>
      <c r="E53" s="28"/>
      <c r="F53" s="28"/>
      <c r="G53" s="12"/>
      <c r="H53" s="12"/>
      <c r="I53" s="12"/>
      <c r="J53" s="12"/>
      <c r="K53" s="28"/>
      <c r="L53" s="28"/>
      <c r="N53" s="25"/>
      <c r="O53" s="16"/>
    </row>
    <row r="54" spans="2:15" ht="11.5" customHeight="1">
      <c r="B54" s="28"/>
      <c r="C54" s="28"/>
      <c r="D54" s="28"/>
      <c r="E54" s="28"/>
      <c r="F54" s="28"/>
      <c r="G54" s="12"/>
      <c r="H54" s="12"/>
      <c r="I54" s="12"/>
      <c r="J54" s="12"/>
      <c r="K54" s="28"/>
      <c r="L54" s="28"/>
      <c r="N54" s="25"/>
      <c r="O54" s="16"/>
    </row>
    <row r="55" spans="2:15" ht="11.5" customHeight="1">
      <c r="B55" s="28"/>
      <c r="C55" s="28"/>
      <c r="D55" s="28"/>
      <c r="E55" s="28"/>
      <c r="F55" s="28"/>
      <c r="G55" s="12"/>
      <c r="H55" s="12"/>
      <c r="I55" s="12"/>
      <c r="J55" s="12"/>
      <c r="K55" s="28"/>
      <c r="L55" s="28"/>
      <c r="N55" s="25"/>
      <c r="O55" s="16"/>
    </row>
    <row r="56" spans="2:15" ht="11.5" customHeight="1">
      <c r="B56" s="28"/>
      <c r="C56" s="28"/>
      <c r="D56" s="28"/>
      <c r="E56" s="28"/>
      <c r="F56" s="28"/>
      <c r="G56" s="12"/>
      <c r="H56" s="12"/>
      <c r="I56" s="12"/>
      <c r="J56" s="12"/>
      <c r="K56" s="28"/>
      <c r="L56" s="28"/>
      <c r="N56" s="25"/>
      <c r="O56" s="16"/>
    </row>
    <row r="57" spans="2:15" ht="11.5" customHeight="1">
      <c r="B57" s="28"/>
      <c r="C57" s="28"/>
      <c r="D57" s="28"/>
      <c r="E57" s="28"/>
      <c r="F57" s="28"/>
      <c r="G57" s="12"/>
      <c r="H57" s="12"/>
      <c r="I57" s="12"/>
      <c r="J57" s="12"/>
      <c r="K57" s="28"/>
      <c r="L57" s="28"/>
      <c r="N57" s="25"/>
      <c r="O57" s="16"/>
    </row>
    <row r="58" spans="2:15" ht="11.5" customHeight="1">
      <c r="B58" s="28"/>
      <c r="C58" s="28"/>
      <c r="D58" s="28"/>
      <c r="E58" s="28"/>
      <c r="F58" s="28"/>
      <c r="G58" s="12"/>
      <c r="H58" s="12"/>
      <c r="I58" s="12"/>
      <c r="J58" s="12"/>
      <c r="K58" s="28"/>
      <c r="L58" s="28"/>
      <c r="N58" s="25"/>
      <c r="O58" s="16"/>
    </row>
    <row r="59" spans="2:15" ht="11.5" customHeight="1">
      <c r="B59" s="28"/>
      <c r="C59" s="28"/>
      <c r="D59" s="28"/>
      <c r="E59" s="28"/>
      <c r="F59" s="28"/>
      <c r="G59" s="12"/>
      <c r="H59" s="12"/>
      <c r="I59" s="12"/>
      <c r="J59" s="12"/>
      <c r="K59" s="28"/>
      <c r="L59" s="28"/>
      <c r="N59" s="25"/>
      <c r="O59" s="16"/>
    </row>
    <row r="60" spans="2:15" ht="11.5" customHeight="1">
      <c r="B60" s="28"/>
      <c r="C60" s="28"/>
      <c r="D60" s="28"/>
      <c r="E60" s="28"/>
      <c r="F60" s="28"/>
      <c r="G60" s="12"/>
      <c r="H60" s="12"/>
      <c r="I60" s="12"/>
      <c r="J60" s="12"/>
      <c r="K60" s="28"/>
      <c r="L60" s="28"/>
      <c r="N60" s="25"/>
      <c r="O60" s="16"/>
    </row>
    <row r="61" spans="2:15" ht="11.5" customHeight="1">
      <c r="B61" s="28"/>
      <c r="C61" s="28"/>
      <c r="D61" s="28"/>
      <c r="E61" s="28"/>
      <c r="F61" s="28"/>
      <c r="G61" s="12"/>
      <c r="H61" s="12"/>
      <c r="I61" s="12"/>
      <c r="J61" s="12"/>
      <c r="K61" s="28"/>
      <c r="L61" s="28"/>
      <c r="N61" s="25"/>
      <c r="O61" s="16"/>
    </row>
    <row r="62" spans="2:15" ht="11.5" customHeight="1">
      <c r="B62" s="28"/>
      <c r="C62" s="28"/>
      <c r="D62" s="28"/>
      <c r="E62" s="28"/>
      <c r="F62" s="28"/>
      <c r="G62" s="12"/>
      <c r="H62" s="12"/>
      <c r="I62" s="12"/>
      <c r="J62" s="12"/>
      <c r="K62" s="28"/>
      <c r="L62" s="28"/>
      <c r="N62" s="25"/>
      <c r="O62" s="16"/>
    </row>
    <row r="63" spans="2:15" ht="11.5" customHeight="1">
      <c r="B63" s="28"/>
      <c r="C63" s="28"/>
      <c r="D63" s="28"/>
      <c r="E63" s="28"/>
      <c r="F63" s="28"/>
      <c r="G63" s="12"/>
      <c r="H63" s="12"/>
      <c r="I63" s="12"/>
      <c r="J63" s="12"/>
      <c r="K63" s="28"/>
      <c r="L63" s="28"/>
      <c r="N63" s="25"/>
      <c r="O63" s="16"/>
    </row>
    <row r="64" spans="2:15" ht="11.5" customHeight="1">
      <c r="B64" s="28"/>
      <c r="C64" s="28"/>
      <c r="D64" s="28"/>
      <c r="E64" s="28"/>
      <c r="F64" s="28"/>
      <c r="G64" s="12"/>
      <c r="H64" s="12"/>
      <c r="I64" s="12"/>
      <c r="J64" s="12"/>
      <c r="K64" s="28"/>
      <c r="L64" s="28"/>
      <c r="N64" s="25"/>
      <c r="O64" s="16"/>
    </row>
    <row r="65" spans="2:15" ht="11.5" customHeight="1">
      <c r="B65" s="28"/>
      <c r="C65" s="28"/>
      <c r="D65" s="28"/>
      <c r="E65" s="28"/>
      <c r="F65" s="28"/>
      <c r="G65" s="12"/>
      <c r="H65" s="12"/>
      <c r="I65" s="12"/>
      <c r="J65" s="12"/>
      <c r="K65" s="28"/>
      <c r="L65" s="28"/>
      <c r="N65" s="25"/>
      <c r="O65" s="16"/>
    </row>
    <row r="66" spans="2:15" ht="11.5" customHeight="1">
      <c r="B66" s="28"/>
      <c r="C66" s="28"/>
      <c r="D66" s="28"/>
      <c r="E66" s="28"/>
      <c r="F66" s="28"/>
      <c r="G66" s="12"/>
      <c r="H66" s="12"/>
      <c r="I66" s="12"/>
      <c r="J66" s="12"/>
      <c r="K66" s="28"/>
      <c r="L66" s="28"/>
      <c r="N66" s="25"/>
      <c r="O66" s="16"/>
    </row>
    <row r="67" spans="2:15" ht="11.5" customHeight="1">
      <c r="B67" s="28"/>
      <c r="C67" s="28"/>
      <c r="D67" s="28"/>
      <c r="E67" s="28"/>
      <c r="F67" s="28"/>
      <c r="G67" s="12"/>
      <c r="H67" s="12"/>
      <c r="I67" s="12"/>
      <c r="J67" s="12"/>
      <c r="K67" s="28"/>
      <c r="L67" s="28"/>
      <c r="N67" s="25"/>
      <c r="O67" s="16"/>
    </row>
    <row r="68" spans="2:15" ht="11.5" customHeight="1">
      <c r="B68" s="28"/>
      <c r="C68" s="28"/>
      <c r="D68" s="28"/>
      <c r="E68" s="28"/>
      <c r="F68" s="28"/>
      <c r="G68" s="12"/>
      <c r="H68" s="12"/>
      <c r="I68" s="12"/>
      <c r="J68" s="12"/>
      <c r="K68" s="28"/>
      <c r="L68" s="28"/>
      <c r="N68" s="25"/>
      <c r="O68" s="16"/>
    </row>
    <row r="69" spans="2:15" ht="11.5" customHeight="1">
      <c r="B69" s="28"/>
      <c r="C69" s="28"/>
      <c r="D69" s="28"/>
      <c r="E69" s="28"/>
      <c r="F69" s="28"/>
      <c r="G69" s="12"/>
      <c r="H69" s="12"/>
      <c r="I69" s="12"/>
      <c r="J69" s="12"/>
      <c r="K69" s="28"/>
      <c r="L69" s="28"/>
      <c r="N69" s="25"/>
      <c r="O69" s="16"/>
    </row>
    <row r="70" spans="2:15" ht="11.5" customHeight="1">
      <c r="B70" s="28"/>
      <c r="C70" s="28"/>
      <c r="D70" s="28"/>
      <c r="E70" s="28"/>
      <c r="F70" s="28"/>
      <c r="G70" s="12"/>
      <c r="H70" s="12"/>
      <c r="I70" s="12"/>
      <c r="J70" s="12"/>
      <c r="K70" s="28"/>
      <c r="L70" s="28"/>
      <c r="N70" s="25"/>
      <c r="O70" s="16"/>
    </row>
    <row r="71" spans="2:15" ht="11.5" customHeight="1">
      <c r="B71" s="28"/>
      <c r="C71" s="28"/>
      <c r="D71" s="28"/>
      <c r="E71" s="28"/>
      <c r="F71" s="28"/>
      <c r="G71" s="12"/>
      <c r="H71" s="12"/>
      <c r="I71" s="12"/>
      <c r="J71" s="12"/>
      <c r="K71" s="28"/>
      <c r="L71" s="28"/>
      <c r="N71" s="25"/>
      <c r="O71" s="16"/>
    </row>
    <row r="72" spans="2:15" ht="11.5" customHeight="1">
      <c r="B72" s="28"/>
      <c r="C72" s="28"/>
      <c r="D72" s="28"/>
      <c r="E72" s="28"/>
      <c r="F72" s="28"/>
      <c r="G72" s="12"/>
      <c r="H72" s="12"/>
      <c r="I72" s="12"/>
      <c r="J72" s="12"/>
      <c r="K72" s="28"/>
      <c r="L72" s="28"/>
      <c r="N72" s="25"/>
      <c r="O72" s="16"/>
    </row>
    <row r="73" spans="2:15" ht="11.5" customHeight="1">
      <c r="B73" s="28"/>
      <c r="C73" s="28"/>
      <c r="D73" s="28"/>
      <c r="E73" s="28"/>
      <c r="F73" s="28"/>
      <c r="G73" s="12"/>
      <c r="H73" s="12"/>
      <c r="I73" s="12"/>
      <c r="J73" s="12"/>
      <c r="K73" s="28"/>
      <c r="L73" s="28"/>
      <c r="N73" s="25"/>
      <c r="O73" s="16"/>
    </row>
    <row r="74" spans="2:15" ht="11.5" customHeight="1">
      <c r="B74" s="28"/>
      <c r="C74" s="28"/>
      <c r="D74" s="28"/>
      <c r="E74" s="28"/>
      <c r="F74" s="28"/>
      <c r="G74" s="12"/>
      <c r="H74" s="12"/>
      <c r="I74" s="12"/>
      <c r="J74" s="12"/>
      <c r="K74" s="28"/>
      <c r="L74" s="28"/>
      <c r="N74" s="25"/>
      <c r="O74" s="16"/>
    </row>
    <row r="75" spans="2:15" ht="11.5" customHeight="1">
      <c r="B75" s="28"/>
      <c r="C75" s="28"/>
      <c r="D75" s="28"/>
      <c r="E75" s="28"/>
      <c r="F75" s="28"/>
      <c r="G75" s="12"/>
      <c r="H75" s="12"/>
      <c r="I75" s="12"/>
      <c r="J75" s="12"/>
      <c r="K75" s="28"/>
      <c r="L75" s="28"/>
      <c r="N75" s="25"/>
      <c r="O75" s="16"/>
    </row>
    <row r="76" spans="2:15" ht="11.5" customHeight="1">
      <c r="B76" s="28"/>
      <c r="C76" s="28"/>
      <c r="D76" s="28"/>
      <c r="E76" s="28"/>
      <c r="F76" s="28"/>
      <c r="G76" s="12"/>
      <c r="H76" s="12"/>
      <c r="I76" s="12"/>
      <c r="J76" s="12"/>
      <c r="K76" s="28"/>
      <c r="L76" s="28"/>
      <c r="N76" s="25"/>
      <c r="O76" s="16"/>
    </row>
    <row r="77" spans="2:15" ht="11.5" customHeight="1">
      <c r="B77" s="28"/>
      <c r="C77" s="28"/>
      <c r="D77" s="28"/>
      <c r="E77" s="28"/>
      <c r="F77" s="28"/>
      <c r="G77" s="12"/>
      <c r="H77" s="12"/>
      <c r="I77" s="12"/>
      <c r="J77" s="12"/>
      <c r="K77" s="28"/>
      <c r="L77" s="28"/>
      <c r="N77" s="25"/>
      <c r="O77" s="16"/>
    </row>
    <row r="78" spans="2:15" ht="11.5" customHeight="1">
      <c r="B78" s="28"/>
      <c r="C78" s="28"/>
      <c r="D78" s="28"/>
      <c r="E78" s="28"/>
      <c r="F78" s="28"/>
      <c r="G78" s="12"/>
      <c r="H78" s="12"/>
      <c r="I78" s="12"/>
      <c r="J78" s="12"/>
      <c r="K78" s="28"/>
      <c r="L78" s="28"/>
      <c r="N78" s="25"/>
      <c r="O78" s="16"/>
    </row>
    <row r="79" spans="2:15" ht="11.5" customHeight="1">
      <c r="B79" s="28"/>
      <c r="C79" s="28"/>
      <c r="D79" s="28"/>
      <c r="E79" s="28"/>
      <c r="F79" s="28"/>
      <c r="G79" s="12"/>
      <c r="H79" s="12"/>
      <c r="I79" s="12"/>
      <c r="J79" s="12"/>
      <c r="K79" s="28"/>
      <c r="L79" s="28"/>
      <c r="N79" s="25"/>
      <c r="O79" s="16"/>
    </row>
    <row r="80" spans="2:15" ht="11.5" customHeight="1">
      <c r="B80" s="28"/>
      <c r="C80" s="28"/>
      <c r="D80" s="28"/>
      <c r="E80" s="28"/>
      <c r="F80" s="28"/>
      <c r="G80" s="12"/>
      <c r="H80" s="12"/>
      <c r="I80" s="12"/>
      <c r="J80" s="12"/>
      <c r="K80" s="28"/>
      <c r="L80" s="28"/>
      <c r="N80" s="25"/>
      <c r="O80" s="16"/>
    </row>
    <row r="81" spans="2:15" ht="11.5" customHeight="1">
      <c r="B81" s="28"/>
      <c r="C81" s="28"/>
      <c r="D81" s="28"/>
      <c r="E81" s="28"/>
      <c r="F81" s="28"/>
      <c r="G81" s="12"/>
      <c r="H81" s="12"/>
      <c r="I81" s="12"/>
      <c r="J81" s="12"/>
      <c r="K81" s="28"/>
      <c r="L81" s="28"/>
      <c r="N81" s="25"/>
      <c r="O81" s="16"/>
    </row>
    <row r="82" spans="2:15" ht="11.5" customHeight="1">
      <c r="B82" s="28"/>
      <c r="C82" s="28"/>
      <c r="D82" s="28"/>
      <c r="E82" s="28"/>
      <c r="F82" s="28"/>
      <c r="G82" s="12"/>
      <c r="H82" s="12"/>
      <c r="I82" s="12"/>
      <c r="J82" s="12"/>
      <c r="K82" s="28"/>
      <c r="L82" s="28"/>
      <c r="N82" s="25"/>
      <c r="O82" s="16"/>
    </row>
    <row r="83" spans="2:15" ht="11.5" customHeight="1">
      <c r="B83" s="28"/>
      <c r="C83" s="28"/>
      <c r="D83" s="28"/>
      <c r="E83" s="28"/>
      <c r="F83" s="28"/>
      <c r="G83" s="12"/>
      <c r="H83" s="12"/>
      <c r="I83" s="12"/>
      <c r="J83" s="12"/>
      <c r="K83" s="28"/>
      <c r="L83" s="28"/>
      <c r="N83" s="25"/>
      <c r="O83" s="16"/>
    </row>
    <row r="84" spans="2:15" ht="11.5" customHeight="1">
      <c r="B84" s="28"/>
      <c r="C84" s="28"/>
      <c r="D84" s="28"/>
      <c r="E84" s="28"/>
      <c r="F84" s="28"/>
      <c r="G84" s="12"/>
      <c r="H84" s="12"/>
      <c r="I84" s="12"/>
      <c r="J84" s="12"/>
      <c r="K84" s="28"/>
      <c r="L84" s="28"/>
      <c r="N84" s="25"/>
      <c r="O84" s="16"/>
    </row>
    <row r="85" spans="2:15" ht="11.5" customHeight="1">
      <c r="B85" s="28"/>
      <c r="C85" s="28"/>
      <c r="D85" s="28"/>
      <c r="E85" s="28"/>
      <c r="F85" s="28"/>
      <c r="G85" s="12"/>
      <c r="H85" s="12"/>
      <c r="I85" s="12"/>
      <c r="J85" s="12"/>
      <c r="K85" s="28"/>
      <c r="L85" s="28"/>
      <c r="N85" s="25"/>
      <c r="O85" s="16"/>
    </row>
    <row r="86" spans="2:15" ht="11.5" customHeight="1">
      <c r="B86" s="28"/>
      <c r="C86" s="28"/>
      <c r="D86" s="28"/>
      <c r="E86" s="28"/>
      <c r="F86" s="28"/>
      <c r="G86" s="12"/>
      <c r="H86" s="12"/>
      <c r="I86" s="12"/>
      <c r="J86" s="12"/>
      <c r="K86" s="28"/>
      <c r="L86" s="28"/>
      <c r="N86" s="25"/>
      <c r="O86" s="16"/>
    </row>
    <row r="87" spans="2:15" ht="11.5" customHeight="1">
      <c r="B87" s="28"/>
      <c r="C87" s="28"/>
      <c r="D87" s="28"/>
      <c r="E87" s="28"/>
      <c r="F87" s="28"/>
      <c r="G87" s="12"/>
      <c r="H87" s="12"/>
      <c r="I87" s="12"/>
      <c r="J87" s="12"/>
      <c r="K87" s="28"/>
      <c r="L87" s="28"/>
      <c r="N87" s="25"/>
      <c r="O87" s="16"/>
    </row>
    <row r="88" spans="2:15" ht="11.5" customHeight="1">
      <c r="B88" s="28"/>
      <c r="C88" s="28"/>
      <c r="D88" s="28"/>
      <c r="E88" s="28"/>
      <c r="F88" s="28"/>
      <c r="G88" s="12"/>
      <c r="H88" s="12"/>
      <c r="I88" s="12"/>
      <c r="J88" s="12"/>
      <c r="K88" s="28"/>
      <c r="L88" s="28"/>
      <c r="N88" s="25"/>
      <c r="O88" s="16"/>
    </row>
    <row r="89" spans="2:15" ht="11.5" customHeight="1">
      <c r="B89" s="28"/>
      <c r="C89" s="28"/>
      <c r="D89" s="28"/>
      <c r="E89" s="28"/>
      <c r="F89" s="28"/>
      <c r="G89" s="12"/>
      <c r="H89" s="12"/>
      <c r="I89" s="12"/>
      <c r="J89" s="12"/>
      <c r="K89" s="28"/>
      <c r="L89" s="28"/>
      <c r="N89" s="25"/>
      <c r="O89" s="16"/>
    </row>
    <row r="90" spans="2:15" ht="11.5" customHeight="1">
      <c r="B90" s="28"/>
      <c r="C90" s="28"/>
      <c r="D90" s="28"/>
      <c r="E90" s="28"/>
      <c r="F90" s="28"/>
      <c r="G90" s="12"/>
      <c r="H90" s="12"/>
      <c r="I90" s="12"/>
      <c r="J90" s="12"/>
      <c r="K90" s="28"/>
      <c r="L90" s="28"/>
      <c r="N90" s="25"/>
      <c r="O90" s="16"/>
    </row>
    <row r="91" spans="2:15" ht="11.5" customHeight="1">
      <c r="B91" s="28"/>
      <c r="C91" s="28"/>
      <c r="D91" s="28"/>
      <c r="E91" s="28"/>
      <c r="F91" s="28"/>
      <c r="G91" s="12"/>
      <c r="H91" s="12"/>
      <c r="I91" s="12"/>
      <c r="J91" s="12"/>
      <c r="K91" s="28"/>
      <c r="L91" s="28"/>
      <c r="N91" s="25"/>
      <c r="O91" s="16"/>
    </row>
    <row r="92" spans="2:15" ht="11.5" customHeight="1">
      <c r="B92" s="28"/>
      <c r="C92" s="28"/>
      <c r="D92" s="28"/>
      <c r="E92" s="28"/>
      <c r="F92" s="28"/>
      <c r="G92" s="12"/>
      <c r="H92" s="12"/>
      <c r="I92" s="12"/>
      <c r="J92" s="12"/>
      <c r="K92" s="28"/>
      <c r="L92" s="28"/>
      <c r="N92" s="25"/>
      <c r="O92" s="16"/>
    </row>
    <row r="93" spans="2:15" ht="11.5" customHeight="1">
      <c r="B93" s="28"/>
      <c r="C93" s="28"/>
      <c r="D93" s="28"/>
      <c r="E93" s="28"/>
      <c r="F93" s="28"/>
      <c r="G93" s="12"/>
      <c r="H93" s="12"/>
      <c r="I93" s="12"/>
      <c r="J93" s="12"/>
      <c r="K93" s="28"/>
      <c r="L93" s="28"/>
      <c r="N93" s="25"/>
      <c r="O93" s="16"/>
    </row>
    <row r="94" spans="2:15" ht="11.5" customHeight="1">
      <c r="B94" s="28"/>
      <c r="C94" s="28"/>
      <c r="D94" s="28"/>
      <c r="E94" s="28"/>
      <c r="F94" s="28"/>
      <c r="G94" s="12"/>
      <c r="H94" s="12"/>
      <c r="I94" s="12"/>
      <c r="J94" s="12"/>
      <c r="K94" s="28"/>
      <c r="L94" s="28"/>
      <c r="N94" s="25"/>
      <c r="O94" s="16"/>
    </row>
    <row r="95" spans="2:15" ht="11.5" customHeight="1">
      <c r="B95" s="28"/>
      <c r="C95" s="28"/>
      <c r="D95" s="28"/>
      <c r="E95" s="28"/>
      <c r="F95" s="28"/>
      <c r="G95" s="12"/>
      <c r="H95" s="12"/>
      <c r="I95" s="12"/>
      <c r="J95" s="12"/>
      <c r="K95" s="28"/>
      <c r="L95" s="28"/>
      <c r="N95" s="25"/>
      <c r="O95" s="16"/>
    </row>
    <row r="96" spans="2:15" ht="11.5" customHeight="1">
      <c r="B96" s="28"/>
      <c r="C96" s="28"/>
      <c r="D96" s="28"/>
      <c r="E96" s="28"/>
      <c r="F96" s="28"/>
      <c r="G96" s="12"/>
      <c r="H96" s="12"/>
      <c r="I96" s="12"/>
      <c r="J96" s="12"/>
      <c r="K96" s="28"/>
      <c r="L96" s="28"/>
      <c r="N96" s="25"/>
      <c r="O96" s="16"/>
    </row>
    <row r="97" spans="2:15" ht="17" customHeight="1">
      <c r="B97" s="28"/>
      <c r="C97" s="28"/>
      <c r="D97" s="28"/>
      <c r="E97" s="28"/>
      <c r="F97" s="28"/>
      <c r="G97" s="12"/>
      <c r="H97" s="12"/>
      <c r="I97" s="12"/>
      <c r="J97" s="12"/>
      <c r="K97" s="28"/>
      <c r="L97" s="28"/>
      <c r="N97" s="25"/>
      <c r="O97" s="16"/>
    </row>
    <row r="98" spans="2:15" ht="17" customHeight="1">
      <c r="B98" s="28"/>
      <c r="C98" s="28"/>
      <c r="D98" s="28"/>
      <c r="E98" s="28"/>
      <c r="F98" s="28"/>
      <c r="G98" s="12"/>
      <c r="H98" s="12"/>
      <c r="I98" s="12"/>
      <c r="J98" s="12"/>
      <c r="K98" s="28"/>
      <c r="L98" s="28"/>
      <c r="N98" s="25"/>
      <c r="O98" s="16"/>
    </row>
  </sheetData>
  <mergeCells count="3">
    <mergeCell ref="M4:R4"/>
    <mergeCell ref="T36:V38"/>
    <mergeCell ref="C4:L4"/>
  </mergeCells>
  <phoneticPr fontId="2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DB3F-7620-4036-BD63-A563BBF43C34}">
  <sheetPr>
    <tabColor rgb="FFFF0000"/>
  </sheetPr>
  <dimension ref="A1:Q152"/>
  <sheetViews>
    <sheetView topLeftCell="A13" workbookViewId="0">
      <selection activeCell="E12" sqref="E12"/>
    </sheetView>
  </sheetViews>
  <sheetFormatPr defaultColWidth="24.453125" defaultRowHeight="12.5"/>
  <cols>
    <col min="1" max="1" width="3.81640625" style="1" customWidth="1"/>
    <col min="2" max="2" width="31.26953125" style="13" customWidth="1"/>
    <col min="3" max="4" width="11.81640625" style="13" customWidth="1"/>
    <col min="5" max="7" width="12.1796875" style="13" customWidth="1"/>
    <col min="8" max="11" width="12.1796875" style="3" customWidth="1"/>
    <col min="12" max="12" width="12.1796875" style="4" customWidth="1"/>
    <col min="13" max="13" width="12.1796875" style="1" customWidth="1"/>
    <col min="14" max="14" width="10.81640625" style="1" bestFit="1" customWidth="1"/>
    <col min="15" max="15" width="10.81640625" style="43" bestFit="1" customWidth="1"/>
    <col min="16" max="261" width="24.453125" style="1"/>
    <col min="262" max="262" width="3.81640625" style="1" customWidth="1"/>
    <col min="263" max="263" width="32.26953125" style="1" customWidth="1"/>
    <col min="264" max="267" width="13.90625" style="1" customWidth="1"/>
    <col min="268" max="271" width="7.54296875" style="1" customWidth="1"/>
    <col min="272" max="517" width="24.453125" style="1"/>
    <col min="518" max="518" width="3.81640625" style="1" customWidth="1"/>
    <col min="519" max="519" width="32.26953125" style="1" customWidth="1"/>
    <col min="520" max="523" width="13.90625" style="1" customWidth="1"/>
    <col min="524" max="527" width="7.54296875" style="1" customWidth="1"/>
    <col min="528" max="773" width="24.453125" style="1"/>
    <col min="774" max="774" width="3.81640625" style="1" customWidth="1"/>
    <col min="775" max="775" width="32.26953125" style="1" customWidth="1"/>
    <col min="776" max="779" width="13.90625" style="1" customWidth="1"/>
    <col min="780" max="783" width="7.54296875" style="1" customWidth="1"/>
    <col min="784" max="1029" width="24.453125" style="1"/>
    <col min="1030" max="1030" width="3.81640625" style="1" customWidth="1"/>
    <col min="1031" max="1031" width="32.26953125" style="1" customWidth="1"/>
    <col min="1032" max="1035" width="13.90625" style="1" customWidth="1"/>
    <col min="1036" max="1039" width="7.54296875" style="1" customWidth="1"/>
    <col min="1040" max="1285" width="24.453125" style="1"/>
    <col min="1286" max="1286" width="3.81640625" style="1" customWidth="1"/>
    <col min="1287" max="1287" width="32.26953125" style="1" customWidth="1"/>
    <col min="1288" max="1291" width="13.90625" style="1" customWidth="1"/>
    <col min="1292" max="1295" width="7.54296875" style="1" customWidth="1"/>
    <col min="1296" max="1541" width="24.453125" style="1"/>
    <col min="1542" max="1542" width="3.81640625" style="1" customWidth="1"/>
    <col min="1543" max="1543" width="32.26953125" style="1" customWidth="1"/>
    <col min="1544" max="1547" width="13.90625" style="1" customWidth="1"/>
    <col min="1548" max="1551" width="7.54296875" style="1" customWidth="1"/>
    <col min="1552" max="1797" width="24.453125" style="1"/>
    <col min="1798" max="1798" width="3.81640625" style="1" customWidth="1"/>
    <col min="1799" max="1799" width="32.26953125" style="1" customWidth="1"/>
    <col min="1800" max="1803" width="13.90625" style="1" customWidth="1"/>
    <col min="1804" max="1807" width="7.54296875" style="1" customWidth="1"/>
    <col min="1808" max="2053" width="24.453125" style="1"/>
    <col min="2054" max="2054" width="3.81640625" style="1" customWidth="1"/>
    <col min="2055" max="2055" width="32.26953125" style="1" customWidth="1"/>
    <col min="2056" max="2059" width="13.90625" style="1" customWidth="1"/>
    <col min="2060" max="2063" width="7.54296875" style="1" customWidth="1"/>
    <col min="2064" max="2309" width="24.453125" style="1"/>
    <col min="2310" max="2310" width="3.81640625" style="1" customWidth="1"/>
    <col min="2311" max="2311" width="32.26953125" style="1" customWidth="1"/>
    <col min="2312" max="2315" width="13.90625" style="1" customWidth="1"/>
    <col min="2316" max="2319" width="7.54296875" style="1" customWidth="1"/>
    <col min="2320" max="2565" width="24.453125" style="1"/>
    <col min="2566" max="2566" width="3.81640625" style="1" customWidth="1"/>
    <col min="2567" max="2567" width="32.26953125" style="1" customWidth="1"/>
    <col min="2568" max="2571" width="13.90625" style="1" customWidth="1"/>
    <col min="2572" max="2575" width="7.54296875" style="1" customWidth="1"/>
    <col min="2576" max="2821" width="24.453125" style="1"/>
    <col min="2822" max="2822" width="3.81640625" style="1" customWidth="1"/>
    <col min="2823" max="2823" width="32.26953125" style="1" customWidth="1"/>
    <col min="2824" max="2827" width="13.90625" style="1" customWidth="1"/>
    <col min="2828" max="2831" width="7.54296875" style="1" customWidth="1"/>
    <col min="2832" max="3077" width="24.453125" style="1"/>
    <col min="3078" max="3078" width="3.81640625" style="1" customWidth="1"/>
    <col min="3079" max="3079" width="32.26953125" style="1" customWidth="1"/>
    <col min="3080" max="3083" width="13.90625" style="1" customWidth="1"/>
    <col min="3084" max="3087" width="7.54296875" style="1" customWidth="1"/>
    <col min="3088" max="3333" width="24.453125" style="1"/>
    <col min="3334" max="3334" width="3.81640625" style="1" customWidth="1"/>
    <col min="3335" max="3335" width="32.26953125" style="1" customWidth="1"/>
    <col min="3336" max="3339" width="13.90625" style="1" customWidth="1"/>
    <col min="3340" max="3343" width="7.54296875" style="1" customWidth="1"/>
    <col min="3344" max="3589" width="24.453125" style="1"/>
    <col min="3590" max="3590" width="3.81640625" style="1" customWidth="1"/>
    <col min="3591" max="3591" width="32.26953125" style="1" customWidth="1"/>
    <col min="3592" max="3595" width="13.90625" style="1" customWidth="1"/>
    <col min="3596" max="3599" width="7.54296875" style="1" customWidth="1"/>
    <col min="3600" max="3845" width="24.453125" style="1"/>
    <col min="3846" max="3846" width="3.81640625" style="1" customWidth="1"/>
    <col min="3847" max="3847" width="32.26953125" style="1" customWidth="1"/>
    <col min="3848" max="3851" width="13.90625" style="1" customWidth="1"/>
    <col min="3852" max="3855" width="7.54296875" style="1" customWidth="1"/>
    <col min="3856" max="4101" width="24.453125" style="1"/>
    <col min="4102" max="4102" width="3.81640625" style="1" customWidth="1"/>
    <col min="4103" max="4103" width="32.26953125" style="1" customWidth="1"/>
    <col min="4104" max="4107" width="13.90625" style="1" customWidth="1"/>
    <col min="4108" max="4111" width="7.54296875" style="1" customWidth="1"/>
    <col min="4112" max="4357" width="24.453125" style="1"/>
    <col min="4358" max="4358" width="3.81640625" style="1" customWidth="1"/>
    <col min="4359" max="4359" width="32.26953125" style="1" customWidth="1"/>
    <col min="4360" max="4363" width="13.90625" style="1" customWidth="1"/>
    <col min="4364" max="4367" width="7.54296875" style="1" customWidth="1"/>
    <col min="4368" max="4613" width="24.453125" style="1"/>
    <col min="4614" max="4614" width="3.81640625" style="1" customWidth="1"/>
    <col min="4615" max="4615" width="32.26953125" style="1" customWidth="1"/>
    <col min="4616" max="4619" width="13.90625" style="1" customWidth="1"/>
    <col min="4620" max="4623" width="7.54296875" style="1" customWidth="1"/>
    <col min="4624" max="4869" width="24.453125" style="1"/>
    <col min="4870" max="4870" width="3.81640625" style="1" customWidth="1"/>
    <col min="4871" max="4871" width="32.26953125" style="1" customWidth="1"/>
    <col min="4872" max="4875" width="13.90625" style="1" customWidth="1"/>
    <col min="4876" max="4879" width="7.54296875" style="1" customWidth="1"/>
    <col min="4880" max="5125" width="24.453125" style="1"/>
    <col min="5126" max="5126" width="3.81640625" style="1" customWidth="1"/>
    <col min="5127" max="5127" width="32.26953125" style="1" customWidth="1"/>
    <col min="5128" max="5131" width="13.90625" style="1" customWidth="1"/>
    <col min="5132" max="5135" width="7.54296875" style="1" customWidth="1"/>
    <col min="5136" max="5381" width="24.453125" style="1"/>
    <col min="5382" max="5382" width="3.81640625" style="1" customWidth="1"/>
    <col min="5383" max="5383" width="32.26953125" style="1" customWidth="1"/>
    <col min="5384" max="5387" width="13.90625" style="1" customWidth="1"/>
    <col min="5388" max="5391" width="7.54296875" style="1" customWidth="1"/>
    <col min="5392" max="5637" width="24.453125" style="1"/>
    <col min="5638" max="5638" width="3.81640625" style="1" customWidth="1"/>
    <col min="5639" max="5639" width="32.26953125" style="1" customWidth="1"/>
    <col min="5640" max="5643" width="13.90625" style="1" customWidth="1"/>
    <col min="5644" max="5647" width="7.54296875" style="1" customWidth="1"/>
    <col min="5648" max="5893" width="24.453125" style="1"/>
    <col min="5894" max="5894" width="3.81640625" style="1" customWidth="1"/>
    <col min="5895" max="5895" width="32.26953125" style="1" customWidth="1"/>
    <col min="5896" max="5899" width="13.90625" style="1" customWidth="1"/>
    <col min="5900" max="5903" width="7.54296875" style="1" customWidth="1"/>
    <col min="5904" max="6149" width="24.453125" style="1"/>
    <col min="6150" max="6150" width="3.81640625" style="1" customWidth="1"/>
    <col min="6151" max="6151" width="32.26953125" style="1" customWidth="1"/>
    <col min="6152" max="6155" width="13.90625" style="1" customWidth="1"/>
    <col min="6156" max="6159" width="7.54296875" style="1" customWidth="1"/>
    <col min="6160" max="6405" width="24.453125" style="1"/>
    <col min="6406" max="6406" width="3.81640625" style="1" customWidth="1"/>
    <col min="6407" max="6407" width="32.26953125" style="1" customWidth="1"/>
    <col min="6408" max="6411" width="13.90625" style="1" customWidth="1"/>
    <col min="6412" max="6415" width="7.54296875" style="1" customWidth="1"/>
    <col min="6416" max="6661" width="24.453125" style="1"/>
    <col min="6662" max="6662" width="3.81640625" style="1" customWidth="1"/>
    <col min="6663" max="6663" width="32.26953125" style="1" customWidth="1"/>
    <col min="6664" max="6667" width="13.90625" style="1" customWidth="1"/>
    <col min="6668" max="6671" width="7.54296875" style="1" customWidth="1"/>
    <col min="6672" max="6917" width="24.453125" style="1"/>
    <col min="6918" max="6918" width="3.81640625" style="1" customWidth="1"/>
    <col min="6919" max="6919" width="32.26953125" style="1" customWidth="1"/>
    <col min="6920" max="6923" width="13.90625" style="1" customWidth="1"/>
    <col min="6924" max="6927" width="7.54296875" style="1" customWidth="1"/>
    <col min="6928" max="7173" width="24.453125" style="1"/>
    <col min="7174" max="7174" width="3.81640625" style="1" customWidth="1"/>
    <col min="7175" max="7175" width="32.26953125" style="1" customWidth="1"/>
    <col min="7176" max="7179" width="13.90625" style="1" customWidth="1"/>
    <col min="7180" max="7183" width="7.54296875" style="1" customWidth="1"/>
    <col min="7184" max="7429" width="24.453125" style="1"/>
    <col min="7430" max="7430" width="3.81640625" style="1" customWidth="1"/>
    <col min="7431" max="7431" width="32.26953125" style="1" customWidth="1"/>
    <col min="7432" max="7435" width="13.90625" style="1" customWidth="1"/>
    <col min="7436" max="7439" width="7.54296875" style="1" customWidth="1"/>
    <col min="7440" max="7685" width="24.453125" style="1"/>
    <col min="7686" max="7686" width="3.81640625" style="1" customWidth="1"/>
    <col min="7687" max="7687" width="32.26953125" style="1" customWidth="1"/>
    <col min="7688" max="7691" width="13.90625" style="1" customWidth="1"/>
    <col min="7692" max="7695" width="7.54296875" style="1" customWidth="1"/>
    <col min="7696" max="7941" width="24.453125" style="1"/>
    <col min="7942" max="7942" width="3.81640625" style="1" customWidth="1"/>
    <col min="7943" max="7943" width="32.26953125" style="1" customWidth="1"/>
    <col min="7944" max="7947" width="13.90625" style="1" customWidth="1"/>
    <col min="7948" max="7951" width="7.54296875" style="1" customWidth="1"/>
    <col min="7952" max="8197" width="24.453125" style="1"/>
    <col min="8198" max="8198" width="3.81640625" style="1" customWidth="1"/>
    <col min="8199" max="8199" width="32.26953125" style="1" customWidth="1"/>
    <col min="8200" max="8203" width="13.90625" style="1" customWidth="1"/>
    <col min="8204" max="8207" width="7.54296875" style="1" customWidth="1"/>
    <col min="8208" max="8453" width="24.453125" style="1"/>
    <col min="8454" max="8454" width="3.81640625" style="1" customWidth="1"/>
    <col min="8455" max="8455" width="32.26953125" style="1" customWidth="1"/>
    <col min="8456" max="8459" width="13.90625" style="1" customWidth="1"/>
    <col min="8460" max="8463" width="7.54296875" style="1" customWidth="1"/>
    <col min="8464" max="8709" width="24.453125" style="1"/>
    <col min="8710" max="8710" width="3.81640625" style="1" customWidth="1"/>
    <col min="8711" max="8711" width="32.26953125" style="1" customWidth="1"/>
    <col min="8712" max="8715" width="13.90625" style="1" customWidth="1"/>
    <col min="8716" max="8719" width="7.54296875" style="1" customWidth="1"/>
    <col min="8720" max="8965" width="24.453125" style="1"/>
    <col min="8966" max="8966" width="3.81640625" style="1" customWidth="1"/>
    <col min="8967" max="8967" width="32.26953125" style="1" customWidth="1"/>
    <col min="8968" max="8971" width="13.90625" style="1" customWidth="1"/>
    <col min="8972" max="8975" width="7.54296875" style="1" customWidth="1"/>
    <col min="8976" max="9221" width="24.453125" style="1"/>
    <col min="9222" max="9222" width="3.81640625" style="1" customWidth="1"/>
    <col min="9223" max="9223" width="32.26953125" style="1" customWidth="1"/>
    <col min="9224" max="9227" width="13.90625" style="1" customWidth="1"/>
    <col min="9228" max="9231" width="7.54296875" style="1" customWidth="1"/>
    <col min="9232" max="9477" width="24.453125" style="1"/>
    <col min="9478" max="9478" width="3.81640625" style="1" customWidth="1"/>
    <col min="9479" max="9479" width="32.26953125" style="1" customWidth="1"/>
    <col min="9480" max="9483" width="13.90625" style="1" customWidth="1"/>
    <col min="9484" max="9487" width="7.54296875" style="1" customWidth="1"/>
    <col min="9488" max="9733" width="24.453125" style="1"/>
    <col min="9734" max="9734" width="3.81640625" style="1" customWidth="1"/>
    <col min="9735" max="9735" width="32.26953125" style="1" customWidth="1"/>
    <col min="9736" max="9739" width="13.90625" style="1" customWidth="1"/>
    <col min="9740" max="9743" width="7.54296875" style="1" customWidth="1"/>
    <col min="9744" max="9989" width="24.453125" style="1"/>
    <col min="9990" max="9990" width="3.81640625" style="1" customWidth="1"/>
    <col min="9991" max="9991" width="32.26953125" style="1" customWidth="1"/>
    <col min="9992" max="9995" width="13.90625" style="1" customWidth="1"/>
    <col min="9996" max="9999" width="7.54296875" style="1" customWidth="1"/>
    <col min="10000" max="10245" width="24.453125" style="1"/>
    <col min="10246" max="10246" width="3.81640625" style="1" customWidth="1"/>
    <col min="10247" max="10247" width="32.26953125" style="1" customWidth="1"/>
    <col min="10248" max="10251" width="13.90625" style="1" customWidth="1"/>
    <col min="10252" max="10255" width="7.54296875" style="1" customWidth="1"/>
    <col min="10256" max="10501" width="24.453125" style="1"/>
    <col min="10502" max="10502" width="3.81640625" style="1" customWidth="1"/>
    <col min="10503" max="10503" width="32.26953125" style="1" customWidth="1"/>
    <col min="10504" max="10507" width="13.90625" style="1" customWidth="1"/>
    <col min="10508" max="10511" width="7.54296875" style="1" customWidth="1"/>
    <col min="10512" max="10757" width="24.453125" style="1"/>
    <col min="10758" max="10758" width="3.81640625" style="1" customWidth="1"/>
    <col min="10759" max="10759" width="32.26953125" style="1" customWidth="1"/>
    <col min="10760" max="10763" width="13.90625" style="1" customWidth="1"/>
    <col min="10764" max="10767" width="7.54296875" style="1" customWidth="1"/>
    <col min="10768" max="11013" width="24.453125" style="1"/>
    <col min="11014" max="11014" width="3.81640625" style="1" customWidth="1"/>
    <col min="11015" max="11015" width="32.26953125" style="1" customWidth="1"/>
    <col min="11016" max="11019" width="13.90625" style="1" customWidth="1"/>
    <col min="11020" max="11023" width="7.54296875" style="1" customWidth="1"/>
    <col min="11024" max="11269" width="24.453125" style="1"/>
    <col min="11270" max="11270" width="3.81640625" style="1" customWidth="1"/>
    <col min="11271" max="11271" width="32.26953125" style="1" customWidth="1"/>
    <col min="11272" max="11275" width="13.90625" style="1" customWidth="1"/>
    <col min="11276" max="11279" width="7.54296875" style="1" customWidth="1"/>
    <col min="11280" max="11525" width="24.453125" style="1"/>
    <col min="11526" max="11526" width="3.81640625" style="1" customWidth="1"/>
    <col min="11527" max="11527" width="32.26953125" style="1" customWidth="1"/>
    <col min="11528" max="11531" width="13.90625" style="1" customWidth="1"/>
    <col min="11532" max="11535" width="7.54296875" style="1" customWidth="1"/>
    <col min="11536" max="11781" width="24.453125" style="1"/>
    <col min="11782" max="11782" width="3.81640625" style="1" customWidth="1"/>
    <col min="11783" max="11783" width="32.26953125" style="1" customWidth="1"/>
    <col min="11784" max="11787" width="13.90625" style="1" customWidth="1"/>
    <col min="11788" max="11791" width="7.54296875" style="1" customWidth="1"/>
    <col min="11792" max="12037" width="24.453125" style="1"/>
    <col min="12038" max="12038" width="3.81640625" style="1" customWidth="1"/>
    <col min="12039" max="12039" width="32.26953125" style="1" customWidth="1"/>
    <col min="12040" max="12043" width="13.90625" style="1" customWidth="1"/>
    <col min="12044" max="12047" width="7.54296875" style="1" customWidth="1"/>
    <col min="12048" max="12293" width="24.453125" style="1"/>
    <col min="12294" max="12294" width="3.81640625" style="1" customWidth="1"/>
    <col min="12295" max="12295" width="32.26953125" style="1" customWidth="1"/>
    <col min="12296" max="12299" width="13.90625" style="1" customWidth="1"/>
    <col min="12300" max="12303" width="7.54296875" style="1" customWidth="1"/>
    <col min="12304" max="12549" width="24.453125" style="1"/>
    <col min="12550" max="12550" width="3.81640625" style="1" customWidth="1"/>
    <col min="12551" max="12551" width="32.26953125" style="1" customWidth="1"/>
    <col min="12552" max="12555" width="13.90625" style="1" customWidth="1"/>
    <col min="12556" max="12559" width="7.54296875" style="1" customWidth="1"/>
    <col min="12560" max="12805" width="24.453125" style="1"/>
    <col min="12806" max="12806" width="3.81640625" style="1" customWidth="1"/>
    <col min="12807" max="12807" width="32.26953125" style="1" customWidth="1"/>
    <col min="12808" max="12811" width="13.90625" style="1" customWidth="1"/>
    <col min="12812" max="12815" width="7.54296875" style="1" customWidth="1"/>
    <col min="12816" max="13061" width="24.453125" style="1"/>
    <col min="13062" max="13062" width="3.81640625" style="1" customWidth="1"/>
    <col min="13063" max="13063" width="32.26953125" style="1" customWidth="1"/>
    <col min="13064" max="13067" width="13.90625" style="1" customWidth="1"/>
    <col min="13068" max="13071" width="7.54296875" style="1" customWidth="1"/>
    <col min="13072" max="13317" width="24.453125" style="1"/>
    <col min="13318" max="13318" width="3.81640625" style="1" customWidth="1"/>
    <col min="13319" max="13319" width="32.26953125" style="1" customWidth="1"/>
    <col min="13320" max="13323" width="13.90625" style="1" customWidth="1"/>
    <col min="13324" max="13327" width="7.54296875" style="1" customWidth="1"/>
    <col min="13328" max="13573" width="24.453125" style="1"/>
    <col min="13574" max="13574" width="3.81640625" style="1" customWidth="1"/>
    <col min="13575" max="13575" width="32.26953125" style="1" customWidth="1"/>
    <col min="13576" max="13579" width="13.90625" style="1" customWidth="1"/>
    <col min="13580" max="13583" width="7.54296875" style="1" customWidth="1"/>
    <col min="13584" max="13829" width="24.453125" style="1"/>
    <col min="13830" max="13830" width="3.81640625" style="1" customWidth="1"/>
    <col min="13831" max="13831" width="32.26953125" style="1" customWidth="1"/>
    <col min="13832" max="13835" width="13.90625" style="1" customWidth="1"/>
    <col min="13836" max="13839" width="7.54296875" style="1" customWidth="1"/>
    <col min="13840" max="14085" width="24.453125" style="1"/>
    <col min="14086" max="14086" width="3.81640625" style="1" customWidth="1"/>
    <col min="14087" max="14087" width="32.26953125" style="1" customWidth="1"/>
    <col min="14088" max="14091" width="13.90625" style="1" customWidth="1"/>
    <col min="14092" max="14095" width="7.54296875" style="1" customWidth="1"/>
    <col min="14096" max="14341" width="24.453125" style="1"/>
    <col min="14342" max="14342" width="3.81640625" style="1" customWidth="1"/>
    <col min="14343" max="14343" width="32.26953125" style="1" customWidth="1"/>
    <col min="14344" max="14347" width="13.90625" style="1" customWidth="1"/>
    <col min="14348" max="14351" width="7.54296875" style="1" customWidth="1"/>
    <col min="14352" max="14597" width="24.453125" style="1"/>
    <col min="14598" max="14598" width="3.81640625" style="1" customWidth="1"/>
    <col min="14599" max="14599" width="32.26953125" style="1" customWidth="1"/>
    <col min="14600" max="14603" width="13.90625" style="1" customWidth="1"/>
    <col min="14604" max="14607" width="7.54296875" style="1" customWidth="1"/>
    <col min="14608" max="14853" width="24.453125" style="1"/>
    <col min="14854" max="14854" width="3.81640625" style="1" customWidth="1"/>
    <col min="14855" max="14855" width="32.26953125" style="1" customWidth="1"/>
    <col min="14856" max="14859" width="13.90625" style="1" customWidth="1"/>
    <col min="14860" max="14863" width="7.54296875" style="1" customWidth="1"/>
    <col min="14864" max="15109" width="24.453125" style="1"/>
    <col min="15110" max="15110" width="3.81640625" style="1" customWidth="1"/>
    <col min="15111" max="15111" width="32.26953125" style="1" customWidth="1"/>
    <col min="15112" max="15115" width="13.90625" style="1" customWidth="1"/>
    <col min="15116" max="15119" width="7.54296875" style="1" customWidth="1"/>
    <col min="15120" max="15365" width="24.453125" style="1"/>
    <col min="15366" max="15366" width="3.81640625" style="1" customWidth="1"/>
    <col min="15367" max="15367" width="32.26953125" style="1" customWidth="1"/>
    <col min="15368" max="15371" width="13.90625" style="1" customWidth="1"/>
    <col min="15372" max="15375" width="7.54296875" style="1" customWidth="1"/>
    <col min="15376" max="15621" width="24.453125" style="1"/>
    <col min="15622" max="15622" width="3.81640625" style="1" customWidth="1"/>
    <col min="15623" max="15623" width="32.26953125" style="1" customWidth="1"/>
    <col min="15624" max="15627" width="13.90625" style="1" customWidth="1"/>
    <col min="15628" max="15631" width="7.54296875" style="1" customWidth="1"/>
    <col min="15632" max="15877" width="24.453125" style="1"/>
    <col min="15878" max="15878" width="3.81640625" style="1" customWidth="1"/>
    <col min="15879" max="15879" width="32.26953125" style="1" customWidth="1"/>
    <col min="15880" max="15883" width="13.90625" style="1" customWidth="1"/>
    <col min="15884" max="15887" width="7.54296875" style="1" customWidth="1"/>
    <col min="15888" max="16133" width="24.453125" style="1"/>
    <col min="16134" max="16134" width="3.81640625" style="1" customWidth="1"/>
    <col min="16135" max="16135" width="32.26953125" style="1" customWidth="1"/>
    <col min="16136" max="16139" width="13.90625" style="1" customWidth="1"/>
    <col min="16140" max="16143" width="7.54296875" style="1" customWidth="1"/>
    <col min="16144" max="16384" width="24.453125" style="1"/>
  </cols>
  <sheetData>
    <row r="1" spans="2:15" ht="19.399999999999999" customHeight="1">
      <c r="B1" s="2" t="s">
        <v>301</v>
      </c>
      <c r="C1" s="2"/>
      <c r="D1" s="2"/>
      <c r="E1" s="2"/>
      <c r="F1" s="2"/>
      <c r="G1" s="2"/>
    </row>
    <row r="2" spans="2:15" ht="10.75" customHeight="1">
      <c r="B2" s="39" t="s">
        <v>83</v>
      </c>
      <c r="C2" s="39"/>
      <c r="D2" s="39"/>
      <c r="E2" s="39"/>
      <c r="F2" s="39"/>
      <c r="G2" s="2"/>
    </row>
    <row r="3" spans="2:15" ht="9.5" customHeight="1">
      <c r="B3" s="39"/>
      <c r="C3" s="39"/>
      <c r="D3" s="39"/>
      <c r="E3" s="39"/>
      <c r="F3" s="39"/>
      <c r="G3" s="2"/>
    </row>
    <row r="4" spans="2:15" ht="14.5" customHeight="1">
      <c r="B4" s="79" t="s">
        <v>322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2:15" ht="11.5" customHeight="1"/>
    <row r="6" spans="2:15" ht="39" customHeight="1">
      <c r="B6" s="168" t="s">
        <v>308</v>
      </c>
      <c r="C6" s="169" t="s">
        <v>312</v>
      </c>
      <c r="D6" s="169" t="s">
        <v>328</v>
      </c>
      <c r="E6" s="169" t="s">
        <v>327</v>
      </c>
      <c r="F6" s="169" t="s">
        <v>318</v>
      </c>
      <c r="G6" s="169" t="s">
        <v>319</v>
      </c>
      <c r="H6" s="151"/>
      <c r="I6" s="170" t="s">
        <v>307</v>
      </c>
      <c r="J6" s="170"/>
      <c r="K6" s="170"/>
      <c r="L6" s="170"/>
      <c r="M6" s="169" t="s">
        <v>319</v>
      </c>
      <c r="N6" s="171" t="s">
        <v>320</v>
      </c>
      <c r="O6" s="169" t="s">
        <v>321</v>
      </c>
    </row>
    <row r="7" spans="2:15" ht="17.5" customHeight="1">
      <c r="B7" s="13" t="s">
        <v>309</v>
      </c>
      <c r="C7" s="153">
        <f>+'Corporate Valuation'!C28</f>
        <v>53.67</v>
      </c>
      <c r="D7" s="154">
        <f>+E7/C7-1</f>
        <v>0.17384013415315813</v>
      </c>
      <c r="E7" s="160">
        <v>63</v>
      </c>
      <c r="F7" s="13">
        <v>56870</v>
      </c>
      <c r="G7" s="13">
        <f>+F7*E7</f>
        <v>3582810</v>
      </c>
      <c r="I7" s="152" t="s">
        <v>314</v>
      </c>
      <c r="M7" s="13">
        <f>+O7*Projections!M34</f>
        <v>1869676.565186033</v>
      </c>
      <c r="N7" s="154">
        <f>+M7/$M$11</f>
        <v>0.29749189268121484</v>
      </c>
      <c r="O7" s="156">
        <v>3.5</v>
      </c>
    </row>
    <row r="8" spans="2:15" ht="17.5" customHeight="1">
      <c r="B8" s="13" t="s">
        <v>310</v>
      </c>
      <c r="D8" s="154"/>
      <c r="G8" s="13">
        <f>+C47</f>
        <v>2518936</v>
      </c>
      <c r="I8" s="152" t="s">
        <v>315</v>
      </c>
      <c r="M8" s="157">
        <f>+O8*Projections!M34</f>
        <v>1602579.9130165998</v>
      </c>
      <c r="N8" s="158">
        <f>+M8/$M$11</f>
        <v>0.25499305086961277</v>
      </c>
      <c r="O8" s="159">
        <v>3</v>
      </c>
    </row>
    <row r="9" spans="2:15" ht="17.5" customHeight="1">
      <c r="B9" s="13" t="s">
        <v>311</v>
      </c>
      <c r="D9" s="154">
        <v>0.03</v>
      </c>
      <c r="G9" s="13">
        <f>+D9*SUM(G7:G8)</f>
        <v>183052.38</v>
      </c>
      <c r="I9" s="152" t="s">
        <v>316</v>
      </c>
      <c r="M9" s="13">
        <f>+M8+M7</f>
        <v>3472256.4782026326</v>
      </c>
      <c r="N9" s="154">
        <f>+M9/$M$11</f>
        <v>0.55248494355082756</v>
      </c>
      <c r="O9" s="155">
        <f>+O8+O7</f>
        <v>6.5</v>
      </c>
    </row>
    <row r="10" spans="2:15" ht="17.5" customHeight="1">
      <c r="D10" s="154"/>
      <c r="I10" s="152" t="s">
        <v>317</v>
      </c>
      <c r="M10" s="13">
        <f>+G11-M9</f>
        <v>2812541.9017973673</v>
      </c>
      <c r="N10" s="154">
        <f>+M10/$M$11</f>
        <v>0.44751505644917239</v>
      </c>
      <c r="O10" s="155">
        <f>+M10/Projections!$M$34</f>
        <v>5.265026496875044</v>
      </c>
    </row>
    <row r="11" spans="2:15" ht="17.5" customHeight="1" thickBot="1">
      <c r="B11" s="5" t="s">
        <v>313</v>
      </c>
      <c r="C11" s="5"/>
      <c r="D11" s="161"/>
      <c r="E11" s="5"/>
      <c r="F11" s="5"/>
      <c r="G11" s="162">
        <f>SUM(G7:G9)</f>
        <v>6284798.3799999999</v>
      </c>
      <c r="H11" s="163"/>
      <c r="I11" s="164" t="s">
        <v>329</v>
      </c>
      <c r="J11" s="163"/>
      <c r="K11" s="163"/>
      <c r="L11" s="165"/>
      <c r="M11" s="162">
        <f>SUM(M9:M10)</f>
        <v>6284798.3799999999</v>
      </c>
      <c r="N11" s="166">
        <f>+M11/$M$11</f>
        <v>1</v>
      </c>
      <c r="O11" s="167">
        <f>+M11/Projections!$M$34</f>
        <v>11.765026496875043</v>
      </c>
    </row>
    <row r="12" spans="2:15" ht="17.5" customHeight="1" thickTop="1">
      <c r="I12" s="152"/>
      <c r="L12" s="3"/>
      <c r="M12" s="3"/>
      <c r="N12" s="3"/>
      <c r="O12" s="3"/>
    </row>
    <row r="13" spans="2:15" ht="11.5" customHeight="1"/>
    <row r="14" spans="2:15" ht="15" customHeight="1">
      <c r="B14" s="79" t="s">
        <v>84</v>
      </c>
      <c r="C14" s="79"/>
      <c r="D14" s="79"/>
      <c r="E14" s="79"/>
      <c r="F14" s="79"/>
      <c r="G14" s="79"/>
      <c r="H14" s="80"/>
      <c r="I14" s="80"/>
      <c r="J14" s="80"/>
      <c r="K14" s="80"/>
      <c r="L14" s="81"/>
      <c r="M14" s="82"/>
      <c r="N14" s="82"/>
      <c r="O14" s="83"/>
    </row>
    <row r="15" spans="2:15" ht="19.75" customHeight="1">
      <c r="B15" s="74"/>
      <c r="C15" s="75" t="str">
        <f>+'Historical Analysis'!C20</f>
        <v>Dec 31</v>
      </c>
      <c r="D15" s="178" t="s">
        <v>306</v>
      </c>
      <c r="E15" s="179"/>
      <c r="F15" s="75" t="str">
        <f>+C15</f>
        <v>Dec 31</v>
      </c>
      <c r="G15" s="75" t="s">
        <v>82</v>
      </c>
      <c r="H15" s="75" t="s">
        <v>82</v>
      </c>
      <c r="I15" s="75" t="s">
        <v>82</v>
      </c>
      <c r="J15" s="75" t="s">
        <v>82</v>
      </c>
      <c r="K15" s="75" t="s">
        <v>82</v>
      </c>
      <c r="L15" s="75" t="s">
        <v>82</v>
      </c>
      <c r="M15" s="75" t="s">
        <v>82</v>
      </c>
      <c r="N15" s="75" t="s">
        <v>82</v>
      </c>
      <c r="O15" s="75" t="s">
        <v>82</v>
      </c>
    </row>
    <row r="16" spans="2:15" s="6" customFormat="1" ht="20.399999999999999" customHeight="1" thickBot="1">
      <c r="B16" s="76" t="s">
        <v>0</v>
      </c>
      <c r="C16" s="77">
        <f>+'Historical Analysis'!C21</f>
        <v>2021</v>
      </c>
      <c r="D16" s="133" t="s">
        <v>304</v>
      </c>
      <c r="E16" s="133" t="s">
        <v>305</v>
      </c>
      <c r="F16" s="77">
        <f>+C16</f>
        <v>2021</v>
      </c>
      <c r="G16" s="77">
        <v>2022</v>
      </c>
      <c r="H16" s="77">
        <f>+G16+1</f>
        <v>2023</v>
      </c>
      <c r="I16" s="77">
        <f t="shared" ref="I16:O16" si="0">+H16+1</f>
        <v>2024</v>
      </c>
      <c r="J16" s="77">
        <f t="shared" si="0"/>
        <v>2025</v>
      </c>
      <c r="K16" s="77">
        <f t="shared" si="0"/>
        <v>2026</v>
      </c>
      <c r="L16" s="77">
        <f t="shared" si="0"/>
        <v>2027</v>
      </c>
      <c r="M16" s="77">
        <f t="shared" si="0"/>
        <v>2028</v>
      </c>
      <c r="N16" s="77">
        <f t="shared" si="0"/>
        <v>2029</v>
      </c>
      <c r="O16" s="77">
        <f t="shared" si="0"/>
        <v>2030</v>
      </c>
    </row>
    <row r="17" spans="2:17" ht="11.5" customHeight="1">
      <c r="B17" s="40" t="s">
        <v>12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2:17" ht="11.5" customHeight="1">
      <c r="B18" s="14" t="s">
        <v>13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7" ht="11.5" customHeight="1">
      <c r="B19" s="130" t="s">
        <v>14</v>
      </c>
      <c r="C19" s="72">
        <f>+'Historical Analysis'!C24</f>
        <v>61119</v>
      </c>
      <c r="D19" s="72"/>
      <c r="E19" s="72"/>
      <c r="F19" s="72">
        <f>+C19+D19-E19</f>
        <v>61119</v>
      </c>
      <c r="G19" s="72"/>
      <c r="H19" s="72"/>
      <c r="I19" s="72"/>
      <c r="J19" s="72"/>
      <c r="K19" s="72"/>
      <c r="L19" s="72"/>
      <c r="M19" s="72"/>
      <c r="N19" s="72"/>
      <c r="O19" s="72"/>
      <c r="P19"/>
      <c r="Q19" s="42"/>
    </row>
    <row r="20" spans="2:17" ht="11.5" customHeight="1">
      <c r="B20" s="8" t="s">
        <v>15</v>
      </c>
      <c r="C20" s="15">
        <f>+'Historical Analysis'!C25</f>
        <v>146160</v>
      </c>
      <c r="D20" s="72"/>
      <c r="E20" s="72"/>
      <c r="F20" s="15">
        <f t="shared" ref="F20:F34" si="1">+C20+D20-E20</f>
        <v>146160</v>
      </c>
      <c r="G20" s="15"/>
      <c r="H20" s="15"/>
      <c r="I20" s="15"/>
      <c r="J20" s="15"/>
      <c r="K20" s="15"/>
      <c r="L20" s="15"/>
      <c r="M20" s="15"/>
      <c r="N20" s="15"/>
      <c r="O20" s="15"/>
      <c r="P20"/>
      <c r="Q20" s="36"/>
    </row>
    <row r="21" spans="2:17" s="136" customFormat="1" ht="11.5" customHeight="1">
      <c r="B21" s="130" t="s">
        <v>16</v>
      </c>
      <c r="C21" s="72">
        <f>SUM(C19:C20)</f>
        <v>207279</v>
      </c>
      <c r="D21" s="72"/>
      <c r="E21" s="72"/>
      <c r="F21" s="72">
        <f t="shared" si="1"/>
        <v>207279</v>
      </c>
      <c r="G21" s="72"/>
      <c r="H21" s="72"/>
      <c r="I21" s="72"/>
      <c r="J21" s="72"/>
      <c r="K21" s="72"/>
      <c r="L21" s="72"/>
      <c r="M21" s="72"/>
      <c r="N21" s="72"/>
      <c r="O21" s="72"/>
      <c r="P21" s="134"/>
      <c r="Q21" s="135"/>
    </row>
    <row r="22" spans="2:17" ht="11.5" customHeight="1">
      <c r="B22" s="8" t="s">
        <v>17</v>
      </c>
      <c r="C22" s="12">
        <f>+'Historical Analysis'!C27</f>
        <v>62109</v>
      </c>
      <c r="D22" s="72"/>
      <c r="E22" s="72"/>
      <c r="F22" s="12">
        <f t="shared" si="1"/>
        <v>62109</v>
      </c>
      <c r="G22" s="12"/>
      <c r="H22" s="12"/>
      <c r="I22" s="12"/>
      <c r="J22" s="12"/>
      <c r="K22" s="12"/>
      <c r="L22" s="12"/>
      <c r="M22" s="12"/>
      <c r="N22" s="12"/>
      <c r="O22" s="12"/>
      <c r="P22"/>
      <c r="Q22" s="36"/>
    </row>
    <row r="23" spans="2:17" ht="11.5" customHeight="1">
      <c r="B23" s="8" t="s">
        <v>18</v>
      </c>
      <c r="C23" s="15"/>
      <c r="D23" s="72"/>
      <c r="E23" s="72"/>
      <c r="F23" s="15">
        <f t="shared" si="1"/>
        <v>0</v>
      </c>
      <c r="G23" s="15"/>
      <c r="H23" s="15"/>
      <c r="I23" s="15"/>
      <c r="J23" s="15"/>
      <c r="K23" s="15"/>
      <c r="L23" s="15"/>
      <c r="M23" s="15"/>
      <c r="N23" s="15"/>
      <c r="O23" s="15"/>
      <c r="P23"/>
      <c r="Q23" s="36"/>
    </row>
    <row r="24" spans="2:17" ht="11.5" customHeight="1">
      <c r="B24" s="8" t="s">
        <v>19</v>
      </c>
      <c r="C24" s="12">
        <f>+'Historical Analysis'!C29</f>
        <v>269388</v>
      </c>
      <c r="D24" s="72"/>
      <c r="E24" s="72"/>
      <c r="F24" s="12">
        <f t="shared" si="1"/>
        <v>269388</v>
      </c>
      <c r="G24" s="12"/>
      <c r="H24" s="12"/>
      <c r="I24" s="12"/>
      <c r="J24" s="12"/>
      <c r="K24" s="12"/>
      <c r="L24" s="12"/>
      <c r="M24" s="12"/>
      <c r="N24" s="12"/>
      <c r="O24" s="12"/>
      <c r="P24"/>
      <c r="Q24" s="36"/>
    </row>
    <row r="25" spans="2:17" ht="11.5" customHeight="1">
      <c r="B25" s="17"/>
      <c r="C25" s="12"/>
      <c r="D25" s="72"/>
      <c r="E25" s="7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/>
      <c r="Q25" s="36"/>
    </row>
    <row r="26" spans="2:17" ht="11.5" customHeight="1">
      <c r="B26" s="14" t="s">
        <v>20</v>
      </c>
      <c r="C26" s="12"/>
      <c r="D26" s="72"/>
      <c r="E26" s="7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/>
      <c r="Q26" s="36"/>
    </row>
    <row r="27" spans="2:17" ht="11.5" customHeight="1">
      <c r="B27" s="8" t="s">
        <v>21</v>
      </c>
      <c r="C27" s="12">
        <f>+'Historical Analysis'!C32</f>
        <v>1986235</v>
      </c>
      <c r="D27" s="72"/>
      <c r="E27" s="72"/>
      <c r="F27" s="12">
        <f t="shared" si="1"/>
        <v>1986235</v>
      </c>
      <c r="G27" s="12"/>
      <c r="H27" s="12"/>
      <c r="I27" s="12"/>
      <c r="J27" s="12"/>
      <c r="K27" s="12"/>
      <c r="L27" s="12"/>
      <c r="M27" s="12"/>
      <c r="N27" s="12"/>
      <c r="O27" s="12"/>
      <c r="P27"/>
      <c r="Q27" s="36"/>
    </row>
    <row r="28" spans="2:17" ht="11.5" customHeight="1">
      <c r="B28" s="8" t="s">
        <v>22</v>
      </c>
      <c r="C28" s="12">
        <f>+'Historical Analysis'!C33</f>
        <v>-1130938</v>
      </c>
      <c r="D28" s="72"/>
      <c r="E28" s="72"/>
      <c r="F28" s="12">
        <f t="shared" si="1"/>
        <v>-1130938</v>
      </c>
      <c r="G28" s="12"/>
      <c r="H28" s="12"/>
      <c r="I28" s="12"/>
      <c r="J28" s="12"/>
      <c r="K28" s="12"/>
      <c r="L28" s="12"/>
      <c r="M28" s="12"/>
      <c r="N28" s="12"/>
      <c r="O28" s="12"/>
      <c r="P28"/>
      <c r="Q28" s="36"/>
    </row>
    <row r="29" spans="2:17" ht="11.5" customHeight="1">
      <c r="B29" s="8" t="s">
        <v>23</v>
      </c>
      <c r="C29" s="18">
        <f>SUM(C27:C28)</f>
        <v>855297</v>
      </c>
      <c r="D29" s="72"/>
      <c r="E29" s="72"/>
      <c r="F29" s="18">
        <f>SUM(F27:F28)</f>
        <v>855297</v>
      </c>
      <c r="G29" s="18"/>
      <c r="H29" s="18"/>
      <c r="I29" s="18"/>
      <c r="J29" s="18"/>
      <c r="K29" s="18"/>
      <c r="L29" s="18"/>
      <c r="M29" s="18"/>
      <c r="N29" s="18"/>
      <c r="O29" s="18"/>
      <c r="P29"/>
      <c r="Q29"/>
    </row>
    <row r="30" spans="2:17" ht="11.5" customHeight="1">
      <c r="B30" s="8" t="s">
        <v>24</v>
      </c>
      <c r="C30" s="12">
        <f>+'Historical Analysis'!C35</f>
        <v>53912</v>
      </c>
      <c r="D30" s="72"/>
      <c r="E30" s="72"/>
      <c r="F30" s="12">
        <f t="shared" si="1"/>
        <v>53912</v>
      </c>
      <c r="G30" s="12"/>
      <c r="H30" s="12"/>
      <c r="I30" s="12"/>
      <c r="J30" s="12"/>
      <c r="K30" s="12"/>
      <c r="L30" s="12"/>
      <c r="M30" s="12"/>
      <c r="N30" s="12"/>
      <c r="O30" s="12"/>
      <c r="P30"/>
      <c r="Q30" s="36"/>
    </row>
    <row r="31" spans="2:17" ht="11.5" customHeight="1">
      <c r="B31" s="8" t="s">
        <v>25</v>
      </c>
      <c r="C31" s="12">
        <f>+'Historical Analysis'!C36</f>
        <v>169342</v>
      </c>
      <c r="D31" s="72">
        <f>+G7-C58</f>
        <v>4281298</v>
      </c>
      <c r="E31" s="72"/>
      <c r="F31" s="12">
        <f t="shared" si="1"/>
        <v>4450640</v>
      </c>
      <c r="G31" s="12"/>
      <c r="H31" s="12"/>
      <c r="I31" s="12"/>
      <c r="J31" s="12"/>
      <c r="K31" s="12"/>
      <c r="L31" s="12"/>
      <c r="M31" s="12"/>
      <c r="N31" s="12"/>
      <c r="O31" s="12"/>
      <c r="P31"/>
      <c r="Q31" s="36"/>
    </row>
    <row r="32" spans="2:17" ht="11.5" customHeight="1">
      <c r="B32" s="8" t="s">
        <v>326</v>
      </c>
      <c r="C32" s="12"/>
      <c r="D32" s="72">
        <f>+G9</f>
        <v>183052.38</v>
      </c>
      <c r="E32" s="72"/>
      <c r="F32" s="12">
        <f t="shared" si="1"/>
        <v>183052.38</v>
      </c>
      <c r="G32" s="12"/>
      <c r="H32" s="12"/>
      <c r="I32" s="12"/>
      <c r="J32" s="12"/>
      <c r="K32" s="12"/>
      <c r="L32" s="12"/>
      <c r="M32" s="12"/>
      <c r="N32" s="12"/>
      <c r="O32" s="12"/>
      <c r="P32"/>
      <c r="Q32" s="36"/>
    </row>
    <row r="33" spans="2:17" ht="11.5" customHeight="1">
      <c r="B33" s="8" t="s">
        <v>26</v>
      </c>
      <c r="C33" s="12">
        <f>+'Historical Analysis'!C37</f>
        <v>62987</v>
      </c>
      <c r="D33" s="72"/>
      <c r="E33" s="72"/>
      <c r="F33" s="12">
        <f t="shared" si="1"/>
        <v>62987</v>
      </c>
      <c r="G33" s="12"/>
      <c r="H33" s="12"/>
      <c r="I33" s="12"/>
      <c r="J33" s="12"/>
      <c r="K33" s="12"/>
      <c r="L33" s="12"/>
      <c r="M33" s="12"/>
      <c r="N33" s="12"/>
      <c r="O33" s="12"/>
      <c r="P33"/>
      <c r="Q33" s="36"/>
    </row>
    <row r="34" spans="2:17" ht="11.5" customHeight="1">
      <c r="B34" s="8" t="s">
        <v>27</v>
      </c>
      <c r="C34" s="15">
        <f>+C36-C33-C31-C30-C29-C24</f>
        <v>902094</v>
      </c>
      <c r="D34" s="72"/>
      <c r="E34" s="72"/>
      <c r="F34" s="15">
        <f t="shared" si="1"/>
        <v>902094</v>
      </c>
      <c r="G34" s="15"/>
      <c r="H34" s="15"/>
      <c r="I34" s="15"/>
      <c r="J34" s="15"/>
      <c r="K34" s="15"/>
      <c r="L34" s="15"/>
      <c r="M34" s="15"/>
      <c r="N34" s="15"/>
      <c r="O34" s="15"/>
      <c r="P34"/>
      <c r="Q34"/>
    </row>
    <row r="35" spans="2:17" ht="11.5" customHeight="1">
      <c r="B35" s="8" t="s">
        <v>28</v>
      </c>
      <c r="C35" s="12">
        <f>SUM(C29:C34)</f>
        <v>2043632</v>
      </c>
      <c r="D35" s="72"/>
      <c r="E35" s="72"/>
      <c r="F35" s="12">
        <f>SUM(F29:F34)</f>
        <v>6507982.3799999999</v>
      </c>
      <c r="G35" s="12"/>
      <c r="H35" s="12"/>
      <c r="I35" s="12"/>
      <c r="J35" s="12"/>
      <c r="K35" s="12"/>
      <c r="L35" s="12"/>
      <c r="M35" s="12"/>
      <c r="N35" s="12"/>
      <c r="O35" s="12"/>
      <c r="P35"/>
      <c r="Q35"/>
    </row>
    <row r="36" spans="2:17" ht="11.5" customHeight="1" thickBot="1">
      <c r="B36" s="7" t="s">
        <v>29</v>
      </c>
      <c r="C36" s="19">
        <f>+'Historical Analysis'!C40</f>
        <v>2313020</v>
      </c>
      <c r="D36" s="72"/>
      <c r="E36" s="72"/>
      <c r="F36" s="19">
        <f>+F35+F24</f>
        <v>6777370.3799999999</v>
      </c>
      <c r="G36" s="19"/>
      <c r="H36" s="19"/>
      <c r="I36" s="19"/>
      <c r="J36" s="19"/>
      <c r="K36" s="19"/>
      <c r="L36" s="19"/>
      <c r="M36" s="19"/>
      <c r="N36" s="19"/>
      <c r="O36" s="19"/>
      <c r="P36"/>
      <c r="Q36"/>
    </row>
    <row r="37" spans="2:17" ht="11.5" customHeight="1" thickTop="1">
      <c r="B37" s="17"/>
      <c r="C37" s="12"/>
      <c r="D37" s="72"/>
      <c r="E37" s="7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/>
      <c r="Q37"/>
    </row>
    <row r="38" spans="2:17" ht="11.5" customHeight="1">
      <c r="B38" s="14" t="s">
        <v>30</v>
      </c>
      <c r="C38" s="12"/>
      <c r="D38" s="72"/>
      <c r="E38" s="7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/>
      <c r="Q38" s="36"/>
    </row>
    <row r="39" spans="2:17" ht="11.5" customHeight="1">
      <c r="B39" s="8" t="s">
        <v>31</v>
      </c>
      <c r="C39" s="12"/>
      <c r="D39" s="72"/>
      <c r="E39" s="7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/>
      <c r="Q39" s="36"/>
    </row>
    <row r="40" spans="2:17" ht="11.5" customHeight="1">
      <c r="B40" s="8" t="s">
        <v>32</v>
      </c>
      <c r="C40" s="12">
        <f>+'Historical Analysis'!C44</f>
        <v>53912</v>
      </c>
      <c r="D40" s="72"/>
      <c r="E40" s="72"/>
      <c r="F40" s="12">
        <f>+C40-D40+E40</f>
        <v>53912</v>
      </c>
      <c r="G40" s="12"/>
      <c r="H40" s="12"/>
      <c r="I40" s="12"/>
      <c r="J40" s="12"/>
      <c r="K40" s="12"/>
      <c r="L40" s="12"/>
      <c r="M40" s="12"/>
      <c r="N40" s="12"/>
      <c r="O40" s="12"/>
      <c r="P40"/>
      <c r="Q40" s="36"/>
    </row>
    <row r="41" spans="2:17" ht="11.5" customHeight="1">
      <c r="B41" s="8" t="s">
        <v>33</v>
      </c>
      <c r="C41" s="12">
        <f>+'Historical Analysis'!C45</f>
        <v>106355</v>
      </c>
      <c r="D41" s="72"/>
      <c r="E41" s="72"/>
      <c r="F41" s="12">
        <f t="shared" ref="F41:F57" si="2">+C41-D41+E41</f>
        <v>106355</v>
      </c>
      <c r="G41" s="12"/>
      <c r="H41" s="12"/>
      <c r="I41" s="12"/>
      <c r="J41" s="12"/>
      <c r="K41" s="12"/>
      <c r="L41" s="12"/>
      <c r="M41" s="12"/>
      <c r="N41" s="12"/>
      <c r="O41" s="12"/>
      <c r="P41"/>
      <c r="Q41"/>
    </row>
    <row r="42" spans="2:17" ht="11.5" customHeight="1">
      <c r="B42" s="8" t="s">
        <v>302</v>
      </c>
      <c r="C42" s="12">
        <f>+'Historical Analysis'!C46</f>
        <v>221247</v>
      </c>
      <c r="D42" s="72"/>
      <c r="E42" s="72"/>
      <c r="F42" s="12">
        <f t="shared" si="2"/>
        <v>221247</v>
      </c>
      <c r="G42" s="12"/>
      <c r="H42" s="12"/>
      <c r="I42" s="12"/>
      <c r="J42" s="12"/>
      <c r="K42" s="12"/>
      <c r="L42" s="12"/>
      <c r="M42" s="12"/>
      <c r="N42" s="12"/>
      <c r="O42" s="12"/>
      <c r="P42"/>
      <c r="Q42"/>
    </row>
    <row r="43" spans="2:17" s="136" customFormat="1" ht="11.5" customHeight="1">
      <c r="B43" s="130" t="s">
        <v>35</v>
      </c>
      <c r="C43" s="72"/>
      <c r="D43" s="72"/>
      <c r="E43" s="72"/>
      <c r="F43" s="72">
        <f t="shared" si="2"/>
        <v>0</v>
      </c>
      <c r="G43" s="72"/>
      <c r="H43" s="72"/>
      <c r="I43" s="72"/>
      <c r="J43" s="72"/>
      <c r="K43" s="72"/>
      <c r="L43" s="72"/>
      <c r="M43" s="72"/>
      <c r="N43" s="72"/>
      <c r="O43" s="72"/>
      <c r="P43" s="134"/>
      <c r="Q43" s="134"/>
    </row>
    <row r="44" spans="2:17" s="136" customFormat="1" ht="11.5" customHeight="1">
      <c r="B44" s="130" t="s">
        <v>36</v>
      </c>
      <c r="C44" s="137">
        <f>SUM(C40:C43)</f>
        <v>381514</v>
      </c>
      <c r="D44" s="72"/>
      <c r="E44" s="72"/>
      <c r="F44" s="137">
        <f>SUM(F40:F43)</f>
        <v>381514</v>
      </c>
      <c r="G44" s="137"/>
      <c r="H44" s="137"/>
      <c r="I44" s="137"/>
      <c r="J44" s="137"/>
      <c r="K44" s="137"/>
      <c r="L44" s="137"/>
      <c r="M44" s="137"/>
      <c r="N44" s="137"/>
      <c r="O44" s="137"/>
      <c r="P44" s="134"/>
      <c r="Q44" s="134"/>
    </row>
    <row r="45" spans="2:17" s="136" customFormat="1" ht="11.5" customHeight="1">
      <c r="B45" s="138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134"/>
      <c r="Q45" s="135"/>
    </row>
    <row r="46" spans="2:17" s="136" customFormat="1" ht="11.5" customHeight="1">
      <c r="B46" s="139" t="s">
        <v>37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134"/>
      <c r="Q46" s="134"/>
    </row>
    <row r="47" spans="2:17" s="136" customFormat="1" ht="11.5" customHeight="1">
      <c r="B47" s="130" t="s">
        <v>323</v>
      </c>
      <c r="C47" s="72">
        <f>+'Historical Analysis'!C51</f>
        <v>2518936</v>
      </c>
      <c r="D47" s="72">
        <f>+C47</f>
        <v>2518936</v>
      </c>
      <c r="E47" s="72"/>
      <c r="F47" s="72">
        <f t="shared" si="2"/>
        <v>0</v>
      </c>
      <c r="G47" s="72"/>
      <c r="H47" s="72"/>
      <c r="I47" s="72"/>
      <c r="J47" s="72"/>
      <c r="K47" s="72"/>
      <c r="L47" s="72"/>
      <c r="M47" s="72"/>
      <c r="N47" s="72"/>
      <c r="O47" s="72"/>
      <c r="P47" s="134"/>
      <c r="Q47" s="134"/>
    </row>
    <row r="48" spans="2:17" s="136" customFormat="1" ht="11.5" customHeight="1">
      <c r="B48" s="130" t="s">
        <v>324</v>
      </c>
      <c r="C48" s="72"/>
      <c r="D48" s="72"/>
      <c r="E48" s="72">
        <f>+M7</f>
        <v>1869676.565186033</v>
      </c>
      <c r="F48" s="72">
        <f t="shared" si="2"/>
        <v>1869676.565186033</v>
      </c>
      <c r="G48" s="72"/>
      <c r="H48" s="72"/>
      <c r="I48" s="72"/>
      <c r="J48" s="72"/>
      <c r="K48" s="72"/>
      <c r="L48" s="72"/>
      <c r="M48" s="72"/>
      <c r="N48" s="72"/>
      <c r="O48" s="72"/>
      <c r="P48" s="134"/>
      <c r="Q48" s="134"/>
    </row>
    <row r="49" spans="1:17" s="136" customFormat="1" ht="11.5" customHeight="1">
      <c r="B49" s="130" t="s">
        <v>325</v>
      </c>
      <c r="C49" s="72"/>
      <c r="D49" s="72"/>
      <c r="E49" s="72">
        <f>+M8</f>
        <v>1602579.9130165998</v>
      </c>
      <c r="F49" s="72">
        <f t="shared" si="2"/>
        <v>1602579.9130165998</v>
      </c>
      <c r="G49" s="72"/>
      <c r="H49" s="72"/>
      <c r="I49" s="72"/>
      <c r="J49" s="72"/>
      <c r="K49" s="72"/>
      <c r="L49" s="72"/>
      <c r="M49" s="72"/>
      <c r="N49" s="72"/>
      <c r="O49" s="72"/>
      <c r="P49" s="134"/>
      <c r="Q49" s="134"/>
    </row>
    <row r="50" spans="1:17" s="136" customFormat="1" ht="11.5" customHeight="1">
      <c r="B50" s="130" t="s">
        <v>39</v>
      </c>
      <c r="C50" s="72">
        <f>+'Historical Analysis'!C52</f>
        <v>97713</v>
      </c>
      <c r="D50" s="72"/>
      <c r="E50" s="72"/>
      <c r="F50" s="72">
        <f t="shared" si="2"/>
        <v>97713</v>
      </c>
      <c r="G50" s="72"/>
      <c r="H50" s="72"/>
      <c r="I50" s="72"/>
      <c r="J50" s="72"/>
      <c r="K50" s="72"/>
      <c r="L50" s="72"/>
      <c r="M50" s="72"/>
      <c r="N50" s="72"/>
      <c r="O50" s="72"/>
      <c r="P50" s="134"/>
      <c r="Q50" s="134"/>
    </row>
    <row r="51" spans="1:17" s="136" customFormat="1" ht="11.5" customHeight="1">
      <c r="B51" s="130" t="s">
        <v>34</v>
      </c>
      <c r="C51" s="140">
        <f>+'Historical Analysis'!C53</f>
        <v>13345</v>
      </c>
      <c r="D51" s="72"/>
      <c r="E51" s="72"/>
      <c r="F51" s="140">
        <f t="shared" si="2"/>
        <v>13345</v>
      </c>
      <c r="G51" s="140"/>
      <c r="H51" s="140"/>
      <c r="I51" s="140"/>
      <c r="J51" s="140"/>
      <c r="K51" s="140"/>
      <c r="L51" s="140"/>
      <c r="M51" s="140"/>
      <c r="N51" s="140"/>
      <c r="O51" s="140"/>
      <c r="P51" s="134"/>
      <c r="Q51" s="135"/>
    </row>
    <row r="52" spans="1:17" s="136" customFormat="1" ht="11.5" customHeight="1">
      <c r="B52" s="130" t="s">
        <v>40</v>
      </c>
      <c r="C52" s="72">
        <f>SUM(C47:C51)</f>
        <v>2629994</v>
      </c>
      <c r="D52" s="72"/>
      <c r="E52" s="72"/>
      <c r="F52" s="72">
        <f>SUM(F47:F51)</f>
        <v>3583314.4782026326</v>
      </c>
      <c r="G52" s="72"/>
      <c r="H52" s="72"/>
      <c r="I52" s="72"/>
      <c r="J52" s="72"/>
      <c r="K52" s="72"/>
      <c r="L52" s="72"/>
      <c r="M52" s="72"/>
      <c r="N52" s="72"/>
      <c r="O52" s="72"/>
      <c r="P52" s="134"/>
      <c r="Q52" s="135"/>
    </row>
    <row r="53" spans="1:17" s="136" customFormat="1" ht="11.5" customHeight="1">
      <c r="B53" s="130" t="s">
        <v>41</v>
      </c>
      <c r="C53" s="137">
        <f>+C52+C44</f>
        <v>3011508</v>
      </c>
      <c r="D53" s="72"/>
      <c r="E53" s="72"/>
      <c r="F53" s="137">
        <f>+F52+F44</f>
        <v>3964828.4782026326</v>
      </c>
      <c r="G53" s="137"/>
      <c r="H53" s="137"/>
      <c r="I53" s="137"/>
      <c r="J53" s="137"/>
      <c r="K53" s="137"/>
      <c r="L53" s="137"/>
      <c r="M53" s="137"/>
      <c r="N53" s="137"/>
      <c r="O53" s="137"/>
      <c r="P53" s="134"/>
      <c r="Q53" s="135"/>
    </row>
    <row r="54" spans="1:17" s="136" customFormat="1" ht="11.5" customHeight="1">
      <c r="B54" s="141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134"/>
      <c r="Q54" s="135"/>
    </row>
    <row r="55" spans="1:17" s="136" customFormat="1" ht="11.5" customHeight="1">
      <c r="B55" s="139" t="s">
        <v>42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134"/>
      <c r="Q55" s="135"/>
    </row>
    <row r="56" spans="1:17" s="136" customFormat="1" ht="11.5" customHeight="1">
      <c r="B56" s="130" t="s">
        <v>43</v>
      </c>
      <c r="C56" s="72">
        <f>+'Historical Analysis'!C58</f>
        <v>1000</v>
      </c>
      <c r="D56" s="72">
        <f>+C56</f>
        <v>1000</v>
      </c>
      <c r="E56" s="72">
        <f>+M10</f>
        <v>2812541.9017973673</v>
      </c>
      <c r="F56" s="72">
        <f t="shared" si="2"/>
        <v>2812541.9017973673</v>
      </c>
      <c r="G56" s="72"/>
      <c r="H56" s="72"/>
      <c r="I56" s="72"/>
      <c r="J56" s="72"/>
      <c r="K56" s="72"/>
      <c r="L56" s="72"/>
      <c r="M56" s="72"/>
      <c r="N56" s="72"/>
      <c r="O56" s="72"/>
      <c r="P56" s="134"/>
      <c r="Q56" s="135"/>
    </row>
    <row r="57" spans="1:17" s="136" customFormat="1" ht="11.5" customHeight="1">
      <c r="B57" s="130" t="s">
        <v>44</v>
      </c>
      <c r="C57" s="72">
        <f>+'Historical Analysis'!C59</f>
        <v>-699488</v>
      </c>
      <c r="D57" s="72">
        <f>+C57</f>
        <v>-699488</v>
      </c>
      <c r="E57" s="72"/>
      <c r="F57" s="72">
        <f t="shared" si="2"/>
        <v>0</v>
      </c>
      <c r="G57" s="72"/>
      <c r="H57" s="72"/>
      <c r="I57" s="72"/>
      <c r="J57" s="72"/>
      <c r="K57" s="72"/>
      <c r="L57" s="72"/>
      <c r="M57" s="72"/>
      <c r="N57" s="72"/>
      <c r="O57" s="72"/>
      <c r="P57" s="134"/>
      <c r="Q57" s="135"/>
    </row>
    <row r="58" spans="1:17" s="136" customFormat="1" ht="11.5" customHeight="1">
      <c r="B58" s="130" t="s">
        <v>45</v>
      </c>
      <c r="C58" s="137">
        <f>SUM(C56:C57)</f>
        <v>-698488</v>
      </c>
      <c r="D58" s="72"/>
      <c r="E58" s="72"/>
      <c r="F58" s="137">
        <f>SUM(F56:F57)</f>
        <v>2812541.9017973673</v>
      </c>
      <c r="G58" s="137"/>
      <c r="H58" s="137"/>
      <c r="I58" s="137"/>
      <c r="J58" s="137"/>
      <c r="K58" s="137"/>
      <c r="L58" s="137"/>
      <c r="M58" s="137"/>
      <c r="N58" s="137"/>
      <c r="O58" s="137"/>
      <c r="P58" s="134"/>
      <c r="Q58" s="135"/>
    </row>
    <row r="59" spans="1:17" s="136" customFormat="1" ht="11.5" customHeight="1">
      <c r="B59" s="138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134"/>
      <c r="Q59" s="135"/>
    </row>
    <row r="60" spans="1:17" s="136" customFormat="1" ht="11.5" customHeight="1" thickBot="1">
      <c r="B60" s="142" t="s">
        <v>46</v>
      </c>
      <c r="C60" s="143">
        <f>+C58+C53</f>
        <v>2313020</v>
      </c>
      <c r="D60" s="143">
        <f>SUM(D19:D58)</f>
        <v>6284798.3799999999</v>
      </c>
      <c r="E60" s="143">
        <f>SUM(E19:E58)</f>
        <v>6284798.3799999999</v>
      </c>
      <c r="F60" s="143">
        <f>+F58+F53</f>
        <v>6777370.3799999999</v>
      </c>
      <c r="G60" s="143"/>
      <c r="H60" s="143"/>
      <c r="I60" s="143"/>
      <c r="J60" s="143"/>
      <c r="K60" s="143"/>
      <c r="L60" s="143"/>
      <c r="M60" s="143"/>
      <c r="N60" s="143"/>
      <c r="O60" s="143"/>
      <c r="P60" s="134"/>
      <c r="Q60" s="134"/>
    </row>
    <row r="61" spans="1:17" s="136" customFormat="1" ht="11.5" customHeight="1" thickTop="1">
      <c r="B61" s="144" t="s">
        <v>47</v>
      </c>
      <c r="C61" s="145">
        <f>+C36-C60</f>
        <v>0</v>
      </c>
      <c r="D61" s="145"/>
      <c r="E61" s="145"/>
      <c r="F61" s="145">
        <f>+F36-F60</f>
        <v>0</v>
      </c>
      <c r="G61" s="145"/>
      <c r="H61" s="145"/>
      <c r="I61" s="145"/>
      <c r="J61" s="145"/>
      <c r="K61" s="145"/>
      <c r="L61" s="145"/>
      <c r="M61" s="145"/>
      <c r="N61" s="145"/>
      <c r="O61" s="145"/>
      <c r="P61" s="134"/>
      <c r="Q61" s="135"/>
    </row>
    <row r="62" spans="1:17" s="136" customFormat="1" ht="17" customHeight="1">
      <c r="B62" s="146"/>
      <c r="C62" s="146"/>
      <c r="D62" s="146"/>
      <c r="E62" s="146"/>
      <c r="F62" s="146"/>
      <c r="G62" s="146"/>
      <c r="H62" s="147"/>
      <c r="I62" s="147"/>
      <c r="J62" s="147"/>
      <c r="K62" s="147"/>
      <c r="L62" s="148"/>
      <c r="O62" s="149"/>
      <c r="P62" s="134"/>
      <c r="Q62" s="135"/>
    </row>
    <row r="63" spans="1:17" customFormat="1" ht="15.5">
      <c r="A63" s="187"/>
      <c r="B63" s="356" t="s">
        <v>516</v>
      </c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357"/>
      <c r="N63" s="357"/>
      <c r="O63" s="357"/>
    </row>
    <row r="64" spans="1:17" s="496" customFormat="1" ht="14.5">
      <c r="A64" s="495"/>
      <c r="B64"/>
      <c r="C64" s="1"/>
      <c r="D64" s="1"/>
      <c r="E64" s="1"/>
      <c r="F64" s="1"/>
      <c r="G64" s="1"/>
    </row>
    <row r="65" spans="1:15" s="532" customFormat="1" ht="23" customHeight="1" thickBot="1">
      <c r="A65" s="531"/>
      <c r="B65" s="540" t="s">
        <v>496</v>
      </c>
      <c r="C65" s="540" t="s">
        <v>497</v>
      </c>
      <c r="D65" s="541" t="s">
        <v>475</v>
      </c>
      <c r="E65" s="542">
        <f>+Projections!L6</f>
        <v>2021</v>
      </c>
      <c r="F65" s="543">
        <v>2022</v>
      </c>
      <c r="G65" s="543">
        <v>2023</v>
      </c>
      <c r="H65" s="543">
        <v>2024</v>
      </c>
      <c r="I65" s="543">
        <v>2025</v>
      </c>
      <c r="J65" s="543">
        <v>2026</v>
      </c>
      <c r="K65" s="543">
        <v>2027</v>
      </c>
      <c r="L65" s="543">
        <v>2028</v>
      </c>
      <c r="M65" s="543">
        <v>2029</v>
      </c>
      <c r="N65" s="543">
        <v>2030</v>
      </c>
      <c r="O65" s="543">
        <v>2031</v>
      </c>
    </row>
    <row r="66" spans="1:15" s="496" customFormat="1" ht="15" thickTop="1">
      <c r="A66" s="495"/>
      <c r="B66" s="530" t="str">
        <f>+I7</f>
        <v>Term Loan</v>
      </c>
      <c r="C66" s="500">
        <v>7</v>
      </c>
      <c r="D66" s="499"/>
      <c r="E66" s="501"/>
    </row>
    <row r="67" spans="1:15" s="496" customFormat="1" ht="14.5">
      <c r="A67" s="495"/>
      <c r="B67" t="s">
        <v>498</v>
      </c>
      <c r="C67" s="500"/>
      <c r="D67" s="500"/>
      <c r="E67" s="502">
        <f>+M7</f>
        <v>1869676.565186033</v>
      </c>
      <c r="F67" s="149">
        <f>+E67-F68</f>
        <v>1850979.7995341728</v>
      </c>
      <c r="G67" s="149">
        <f>+F67-G68</f>
        <v>1832283.0338823125</v>
      </c>
      <c r="H67" s="149">
        <f>+G67-H68</f>
        <v>1813586.2682304522</v>
      </c>
      <c r="I67" s="149">
        <f>+H67-I68</f>
        <v>1794889.5025785919</v>
      </c>
      <c r="J67" s="149">
        <f>+I67-J68</f>
        <v>1776192.7369267317</v>
      </c>
      <c r="K67" s="149">
        <f>+J67-K68</f>
        <v>1757495.9712748714</v>
      </c>
      <c r="L67" s="149">
        <f>+K67-L68</f>
        <v>0</v>
      </c>
      <c r="M67" s="149">
        <f>+L67-M68</f>
        <v>0</v>
      </c>
      <c r="N67" s="149">
        <f t="shared" ref="N67:O67" si="3">+M67-N68</f>
        <v>0</v>
      </c>
      <c r="O67" s="149">
        <f t="shared" si="3"/>
        <v>0</v>
      </c>
    </row>
    <row r="68" spans="1:15" s="496" customFormat="1" ht="14.5">
      <c r="A68" s="495"/>
      <c r="B68" t="s">
        <v>499</v>
      </c>
      <c r="C68" s="500"/>
      <c r="D68" s="500"/>
      <c r="E68" s="503"/>
      <c r="F68" s="149">
        <f>+$E$67*F77</f>
        <v>18696.765651860329</v>
      </c>
      <c r="G68" s="149">
        <f t="shared" ref="G68:M68" si="4">+$E$67*G77</f>
        <v>18696.765651860329</v>
      </c>
      <c r="H68" s="149">
        <f t="shared" si="4"/>
        <v>18696.765651860329</v>
      </c>
      <c r="I68" s="149">
        <f t="shared" si="4"/>
        <v>18696.765651860329</v>
      </c>
      <c r="J68" s="149">
        <f t="shared" si="4"/>
        <v>18696.765651860329</v>
      </c>
      <c r="K68" s="149">
        <f t="shared" si="4"/>
        <v>18696.765651860329</v>
      </c>
      <c r="L68" s="149">
        <f t="shared" si="4"/>
        <v>1757495.9712748709</v>
      </c>
      <c r="M68" s="149">
        <f t="shared" si="4"/>
        <v>0</v>
      </c>
      <c r="N68" s="149">
        <f t="shared" ref="N68:O68" si="5">+$E$67*N77</f>
        <v>0</v>
      </c>
      <c r="O68" s="149">
        <f t="shared" si="5"/>
        <v>0</v>
      </c>
    </row>
    <row r="69" spans="1:15" s="496" customFormat="1" ht="14.5">
      <c r="A69" s="495"/>
      <c r="B69" t="s">
        <v>500</v>
      </c>
      <c r="C69" s="500"/>
      <c r="D69" s="500"/>
      <c r="E69" s="504"/>
      <c r="F69" s="149">
        <f>+E67*F76</f>
        <v>102832.21108523181</v>
      </c>
      <c r="G69" s="149">
        <f t="shared" ref="G69:M69" si="6">+F67*G76</f>
        <v>111058.78797205036</v>
      </c>
      <c r="H69" s="149">
        <f t="shared" si="6"/>
        <v>128259.81237176189</v>
      </c>
      <c r="I69" s="149">
        <f t="shared" si="6"/>
        <v>126951.03877613167</v>
      </c>
      <c r="J69" s="149">
        <f t="shared" si="6"/>
        <v>125642.26518050145</v>
      </c>
      <c r="K69" s="149">
        <f t="shared" si="6"/>
        <v>124333.49158487123</v>
      </c>
      <c r="L69" s="149">
        <f t="shared" si="6"/>
        <v>123024.71798924101</v>
      </c>
      <c r="M69" s="149">
        <f t="shared" si="6"/>
        <v>0</v>
      </c>
      <c r="N69" s="149">
        <f t="shared" ref="N69:O69" si="7">+M67*N76</f>
        <v>0</v>
      </c>
      <c r="O69" s="149">
        <f t="shared" si="7"/>
        <v>0</v>
      </c>
    </row>
    <row r="70" spans="1:15" customFormat="1" ht="15" thickBot="1">
      <c r="A70" s="495"/>
      <c r="B70" t="s">
        <v>501</v>
      </c>
      <c r="C70" s="500"/>
      <c r="D70" s="538">
        <f>IRR(E70:M70)</f>
        <v>6.5716223695467368E-2</v>
      </c>
      <c r="E70" s="536">
        <f>-E67</f>
        <v>-1869676.565186033</v>
      </c>
      <c r="F70" s="537">
        <f>+F68+F69</f>
        <v>121528.97673709215</v>
      </c>
      <c r="G70" s="537">
        <f>+G68+G69</f>
        <v>129755.55362391069</v>
      </c>
      <c r="H70" s="537">
        <f>+H68+H69</f>
        <v>146956.57802362222</v>
      </c>
      <c r="I70" s="537">
        <f>+I68+I69</f>
        <v>145647.804427992</v>
      </c>
      <c r="J70" s="537">
        <f>+J68+J69</f>
        <v>144339.03083236178</v>
      </c>
      <c r="K70" s="537">
        <f>+K68+K69</f>
        <v>143030.25723673156</v>
      </c>
      <c r="L70" s="537">
        <f>+L68+L69</f>
        <v>1880520.6892641119</v>
      </c>
      <c r="M70" s="537">
        <f>+M68+M69</f>
        <v>0</v>
      </c>
      <c r="N70" s="537">
        <f t="shared" ref="N70:O70" si="8">+N68+N69</f>
        <v>0</v>
      </c>
      <c r="O70" s="537">
        <f t="shared" si="8"/>
        <v>0</v>
      </c>
    </row>
    <row r="71" spans="1:15" customFormat="1" ht="15" thickTop="1">
      <c r="A71" s="495"/>
      <c r="C71" s="500"/>
      <c r="D71" s="500"/>
      <c r="E71" s="503"/>
      <c r="F71" s="497"/>
      <c r="G71" s="497"/>
      <c r="H71" s="497"/>
      <c r="I71" s="497"/>
      <c r="J71" s="497"/>
      <c r="K71" s="497"/>
      <c r="L71" s="497"/>
      <c r="M71" s="497"/>
    </row>
    <row r="72" spans="1:15" customFormat="1" ht="14.5">
      <c r="A72" s="495"/>
      <c r="B72" s="533" t="s">
        <v>511</v>
      </c>
      <c r="C72" s="500"/>
      <c r="D72" s="500"/>
      <c r="E72" s="503"/>
      <c r="F72" s="497"/>
      <c r="G72" s="497"/>
      <c r="H72" s="497"/>
      <c r="I72" s="497"/>
      <c r="J72" s="497"/>
      <c r="K72" s="497"/>
      <c r="L72" s="497"/>
      <c r="M72" s="497"/>
    </row>
    <row r="73" spans="1:15" customFormat="1" ht="14.5">
      <c r="A73" s="495"/>
      <c r="B73" t="s">
        <v>512</v>
      </c>
      <c r="C73" s="500"/>
      <c r="D73" s="500"/>
      <c r="E73" s="535">
        <v>0.01</v>
      </c>
      <c r="F73" s="497">
        <f>+E73+F74</f>
        <v>1.4999999999999999E-2</v>
      </c>
      <c r="G73" s="497">
        <f t="shared" ref="G73:M73" si="9">+F73+G74</f>
        <v>0.02</v>
      </c>
      <c r="H73" s="497">
        <f t="shared" si="9"/>
        <v>0.03</v>
      </c>
      <c r="I73" s="497">
        <f t="shared" si="9"/>
        <v>0.03</v>
      </c>
      <c r="J73" s="497">
        <f t="shared" si="9"/>
        <v>0.03</v>
      </c>
      <c r="K73" s="497">
        <f t="shared" si="9"/>
        <v>0.03</v>
      </c>
      <c r="L73" s="497">
        <f t="shared" si="9"/>
        <v>0.03</v>
      </c>
      <c r="M73" s="497">
        <f t="shared" si="9"/>
        <v>0.03</v>
      </c>
      <c r="N73" s="497">
        <f t="shared" ref="N73" si="10">+M73+N74</f>
        <v>0.03</v>
      </c>
      <c r="O73" s="497">
        <f t="shared" ref="O73" si="11">+N73+O74</f>
        <v>0.03</v>
      </c>
    </row>
    <row r="74" spans="1:15" customFormat="1" ht="14.5">
      <c r="A74" s="495"/>
      <c r="B74" t="s">
        <v>514</v>
      </c>
      <c r="C74" s="500"/>
      <c r="D74" s="500"/>
      <c r="E74" s="503"/>
      <c r="F74" s="534">
        <v>5.0000000000000001E-3</v>
      </c>
      <c r="G74" s="534">
        <v>5.0000000000000001E-3</v>
      </c>
      <c r="H74" s="534">
        <v>0.01</v>
      </c>
      <c r="I74" s="534">
        <v>0</v>
      </c>
      <c r="J74" s="534">
        <v>0</v>
      </c>
      <c r="K74" s="534">
        <v>0</v>
      </c>
      <c r="L74" s="534">
        <v>0</v>
      </c>
      <c r="M74" s="534">
        <v>0</v>
      </c>
      <c r="N74" s="534">
        <v>0</v>
      </c>
      <c r="O74" s="534">
        <v>0</v>
      </c>
    </row>
    <row r="75" spans="1:15" customFormat="1" ht="14.5">
      <c r="A75" s="495"/>
      <c r="B75" t="s">
        <v>513</v>
      </c>
      <c r="C75" s="500"/>
      <c r="D75" s="500"/>
      <c r="E75" s="503"/>
      <c r="F75" s="534">
        <v>0.04</v>
      </c>
      <c r="G75" s="497">
        <f>+F75</f>
        <v>0.04</v>
      </c>
      <c r="H75" s="497">
        <f t="shared" ref="H75:M75" si="12">+G75</f>
        <v>0.04</v>
      </c>
      <c r="I75" s="497">
        <f t="shared" si="12"/>
        <v>0.04</v>
      </c>
      <c r="J75" s="497">
        <f t="shared" si="12"/>
        <v>0.04</v>
      </c>
      <c r="K75" s="497">
        <f t="shared" si="12"/>
        <v>0.04</v>
      </c>
      <c r="L75" s="497">
        <f t="shared" si="12"/>
        <v>0.04</v>
      </c>
      <c r="M75" s="497">
        <f t="shared" si="12"/>
        <v>0.04</v>
      </c>
      <c r="N75" s="497">
        <f t="shared" ref="N75:O75" si="13">+M75</f>
        <v>0.04</v>
      </c>
      <c r="O75" s="497">
        <f t="shared" si="13"/>
        <v>0.04</v>
      </c>
    </row>
    <row r="76" spans="1:15" customFormat="1" ht="14.5">
      <c r="A76" s="495"/>
      <c r="B76" t="s">
        <v>474</v>
      </c>
      <c r="C76" s="500"/>
      <c r="D76" s="500"/>
      <c r="E76" s="503"/>
      <c r="F76" s="497">
        <f>+F75+F73</f>
        <v>5.5E-2</v>
      </c>
      <c r="G76" s="497">
        <f t="shared" ref="G76:M76" si="14">+G75+G73</f>
        <v>0.06</v>
      </c>
      <c r="H76" s="497">
        <f t="shared" si="14"/>
        <v>7.0000000000000007E-2</v>
      </c>
      <c r="I76" s="497">
        <f t="shared" si="14"/>
        <v>7.0000000000000007E-2</v>
      </c>
      <c r="J76" s="497">
        <f t="shared" si="14"/>
        <v>7.0000000000000007E-2</v>
      </c>
      <c r="K76" s="497">
        <f t="shared" si="14"/>
        <v>7.0000000000000007E-2</v>
      </c>
      <c r="L76" s="497">
        <f t="shared" si="14"/>
        <v>7.0000000000000007E-2</v>
      </c>
      <c r="M76" s="497">
        <f t="shared" si="14"/>
        <v>7.0000000000000007E-2</v>
      </c>
      <c r="N76" s="497">
        <f t="shared" ref="N76" si="15">+N75+N73</f>
        <v>7.0000000000000007E-2</v>
      </c>
      <c r="O76" s="497">
        <f t="shared" ref="O76" si="16">+O75+O73</f>
        <v>7.0000000000000007E-2</v>
      </c>
    </row>
    <row r="77" spans="1:15" customFormat="1" ht="14.5">
      <c r="A77" s="495"/>
      <c r="B77" t="s">
        <v>515</v>
      </c>
      <c r="C77" s="500"/>
      <c r="D77" s="500"/>
      <c r="E77" s="503"/>
      <c r="F77" s="534">
        <v>0.01</v>
      </c>
      <c r="G77" s="534">
        <v>0.01</v>
      </c>
      <c r="H77" s="534">
        <v>0.01</v>
      </c>
      <c r="I77" s="534">
        <v>0.01</v>
      </c>
      <c r="J77" s="534">
        <v>0.01</v>
      </c>
      <c r="K77" s="534">
        <v>0.01</v>
      </c>
      <c r="L77" s="534">
        <v>0.94</v>
      </c>
      <c r="M77" s="497"/>
      <c r="N77" s="497"/>
      <c r="O77" s="497"/>
    </row>
    <row r="78" spans="1:15" customFormat="1" ht="14.5">
      <c r="A78" s="495"/>
      <c r="C78" s="500"/>
      <c r="D78" s="500"/>
      <c r="E78" s="503"/>
      <c r="F78" s="497"/>
      <c r="G78" s="497"/>
      <c r="H78" s="497"/>
      <c r="I78" s="497"/>
      <c r="J78" s="497"/>
      <c r="K78" s="497"/>
      <c r="L78" s="497"/>
      <c r="M78" s="497"/>
    </row>
    <row r="79" spans="1:15" customFormat="1" ht="14.5">
      <c r="A79" s="495"/>
      <c r="B79" s="530" t="str">
        <f>+I8</f>
        <v>Corporate Bonds</v>
      </c>
      <c r="C79" s="500">
        <v>10</v>
      </c>
      <c r="D79" s="539">
        <v>0.09</v>
      </c>
      <c r="E79" s="501"/>
      <c r="F79" s="496"/>
      <c r="G79" s="496"/>
      <c r="H79" s="496"/>
      <c r="I79" s="496"/>
      <c r="J79" s="496"/>
      <c r="K79" s="496"/>
      <c r="L79" s="496"/>
      <c r="M79" s="496"/>
    </row>
    <row r="80" spans="1:15" customFormat="1" ht="14.5">
      <c r="A80" s="495"/>
      <c r="B80" t="s">
        <v>498</v>
      </c>
      <c r="C80" s="500"/>
      <c r="D80" s="500"/>
      <c r="E80" s="502">
        <f>+M8</f>
        <v>1602579.9130165998</v>
      </c>
      <c r="F80" s="149">
        <f>+E80-F81</f>
        <v>1602579.9130165998</v>
      </c>
      <c r="G80" s="149">
        <f>+F80-G81</f>
        <v>1602579.9130165998</v>
      </c>
      <c r="H80" s="149">
        <f>+G80-H81</f>
        <v>1602579.9130165998</v>
      </c>
      <c r="I80" s="149">
        <f>+H80-I81</f>
        <v>1602579.9130165998</v>
      </c>
      <c r="J80" s="149">
        <f>+I80-J81</f>
        <v>1602579.9130165998</v>
      </c>
      <c r="K80" s="149">
        <f>+J80-K81</f>
        <v>1602579.9130165998</v>
      </c>
      <c r="L80" s="149">
        <f>+K80-L81</f>
        <v>1602579.9130165998</v>
      </c>
      <c r="M80" s="149">
        <f>+L80-M81</f>
        <v>0</v>
      </c>
      <c r="N80" s="149">
        <f t="shared" ref="N80:O80" si="17">+M80-N81</f>
        <v>0</v>
      </c>
      <c r="O80" s="149">
        <f t="shared" si="17"/>
        <v>0</v>
      </c>
    </row>
    <row r="81" spans="1:15" customFormat="1" ht="14.5">
      <c r="A81" s="495"/>
      <c r="B81" t="s">
        <v>499</v>
      </c>
      <c r="C81" s="500"/>
      <c r="D81" s="500"/>
      <c r="E81" s="503"/>
      <c r="F81" s="149">
        <f>+F85*$E$80</f>
        <v>0</v>
      </c>
      <c r="G81" s="149">
        <f t="shared" ref="G81:M81" si="18">+G85*$E$80</f>
        <v>0</v>
      </c>
      <c r="H81" s="149">
        <f t="shared" si="18"/>
        <v>0</v>
      </c>
      <c r="I81" s="149">
        <f t="shared" si="18"/>
        <v>0</v>
      </c>
      <c r="J81" s="149">
        <f t="shared" si="18"/>
        <v>0</v>
      </c>
      <c r="K81" s="149">
        <f t="shared" si="18"/>
        <v>0</v>
      </c>
      <c r="L81" s="149">
        <f t="shared" si="18"/>
        <v>0</v>
      </c>
      <c r="M81" s="149">
        <f t="shared" si="18"/>
        <v>1602579.9130165998</v>
      </c>
      <c r="N81" s="149">
        <f t="shared" ref="N81:O81" si="19">+N85*$E$80</f>
        <v>0</v>
      </c>
      <c r="O81" s="149">
        <f t="shared" si="19"/>
        <v>0</v>
      </c>
    </row>
    <row r="82" spans="1:15" customFormat="1" ht="14.5">
      <c r="A82" s="495"/>
      <c r="B82" t="s">
        <v>500</v>
      </c>
      <c r="C82" s="500"/>
      <c r="D82" s="500"/>
      <c r="E82" s="504"/>
      <c r="F82" s="149">
        <f>+E80*$D$79</f>
        <v>144232.19217149398</v>
      </c>
      <c r="G82" s="149">
        <f t="shared" ref="G82:M82" si="20">+F80*$D$79</f>
        <v>144232.19217149398</v>
      </c>
      <c r="H82" s="149">
        <f t="shared" si="20"/>
        <v>144232.19217149398</v>
      </c>
      <c r="I82" s="149">
        <f t="shared" si="20"/>
        <v>144232.19217149398</v>
      </c>
      <c r="J82" s="149">
        <f t="shared" si="20"/>
        <v>144232.19217149398</v>
      </c>
      <c r="K82" s="149">
        <f t="shared" si="20"/>
        <v>144232.19217149398</v>
      </c>
      <c r="L82" s="149">
        <f t="shared" si="20"/>
        <v>144232.19217149398</v>
      </c>
      <c r="M82" s="149">
        <f t="shared" si="20"/>
        <v>144232.19217149398</v>
      </c>
      <c r="N82" s="149">
        <f t="shared" ref="N82:O82" si="21">+M80*$D$79</f>
        <v>0</v>
      </c>
      <c r="O82" s="149">
        <f t="shared" si="21"/>
        <v>0</v>
      </c>
    </row>
    <row r="83" spans="1:15" customFormat="1" ht="15" thickBot="1">
      <c r="A83" s="495"/>
      <c r="B83" t="s">
        <v>501</v>
      </c>
      <c r="C83" s="500"/>
      <c r="D83" s="500"/>
      <c r="E83" s="503"/>
      <c r="F83" s="505">
        <f>+F82+F81</f>
        <v>144232.19217149398</v>
      </c>
      <c r="G83" s="505">
        <f>+G82+G81</f>
        <v>144232.19217149398</v>
      </c>
      <c r="H83" s="505">
        <f>+H82+H81</f>
        <v>144232.19217149398</v>
      </c>
      <c r="I83" s="505">
        <f>+I82+I81</f>
        <v>144232.19217149398</v>
      </c>
      <c r="J83" s="505">
        <f>+J82+J81</f>
        <v>144232.19217149398</v>
      </c>
      <c r="K83" s="505">
        <f>+K82+K81</f>
        <v>144232.19217149398</v>
      </c>
      <c r="L83" s="505">
        <f>+L82+L81</f>
        <v>144232.19217149398</v>
      </c>
      <c r="M83" s="505">
        <f>+M82+M81</f>
        <v>1746812.1051880938</v>
      </c>
      <c r="N83" s="505">
        <f t="shared" ref="N83:O83" si="22">+N82+N81</f>
        <v>0</v>
      </c>
      <c r="O83" s="505">
        <f t="shared" si="22"/>
        <v>0</v>
      </c>
    </row>
    <row r="84" spans="1:15" customFormat="1" ht="14.5">
      <c r="A84" s="495"/>
      <c r="C84" s="1"/>
      <c r="D84" s="1"/>
      <c r="E84" s="503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customFormat="1" ht="14.5">
      <c r="A85" s="495"/>
      <c r="B85" t="s">
        <v>515</v>
      </c>
      <c r="C85" s="500"/>
      <c r="D85" s="500"/>
      <c r="E85" s="503"/>
      <c r="F85" s="534">
        <v>0</v>
      </c>
      <c r="G85" s="534">
        <v>0</v>
      </c>
      <c r="H85" s="534">
        <v>0</v>
      </c>
      <c r="I85" s="534">
        <v>0</v>
      </c>
      <c r="J85" s="534">
        <v>0</v>
      </c>
      <c r="K85" s="534">
        <v>0</v>
      </c>
      <c r="L85" s="534">
        <v>0</v>
      </c>
      <c r="M85" s="534">
        <v>1</v>
      </c>
      <c r="N85" s="534"/>
      <c r="O85" s="534"/>
    </row>
    <row r="86" spans="1:15" customFormat="1" ht="14.5">
      <c r="A86" s="495"/>
      <c r="C86" s="500"/>
      <c r="D86" s="500"/>
      <c r="E86" s="503"/>
      <c r="F86" s="497"/>
      <c r="G86" s="497"/>
      <c r="H86" s="497"/>
      <c r="I86" s="497"/>
      <c r="J86" s="497"/>
      <c r="K86" s="497"/>
      <c r="L86" s="497"/>
      <c r="M86" s="497"/>
      <c r="N86" s="497"/>
      <c r="O86" s="497"/>
    </row>
    <row r="87" spans="1:15" customFormat="1" ht="14.5">
      <c r="A87" s="495"/>
      <c r="B87" t="s">
        <v>517</v>
      </c>
      <c r="C87" s="500"/>
      <c r="D87" s="500"/>
      <c r="E87" s="503"/>
      <c r="F87" s="549">
        <f>+F69+F82</f>
        <v>247064.40325672581</v>
      </c>
      <c r="G87" s="549">
        <f t="shared" ref="G87:O87" si="23">+G69+G82</f>
        <v>255290.98014354432</v>
      </c>
      <c r="H87" s="549">
        <f t="shared" si="23"/>
        <v>272492.0045432559</v>
      </c>
      <c r="I87" s="549">
        <f t="shared" si="23"/>
        <v>271183.23094762565</v>
      </c>
      <c r="J87" s="549">
        <f t="shared" si="23"/>
        <v>269874.4573519954</v>
      </c>
      <c r="K87" s="549">
        <f t="shared" si="23"/>
        <v>268565.68375636521</v>
      </c>
      <c r="L87" s="549">
        <f t="shared" si="23"/>
        <v>267256.91016073502</v>
      </c>
      <c r="M87" s="549">
        <f t="shared" si="23"/>
        <v>144232.19217149398</v>
      </c>
      <c r="N87" s="549">
        <f t="shared" si="23"/>
        <v>0</v>
      </c>
      <c r="O87" s="549">
        <f t="shared" si="23"/>
        <v>0</v>
      </c>
    </row>
    <row r="88" spans="1:15" customFormat="1" ht="14.5">
      <c r="A88" s="495"/>
      <c r="B88" t="s">
        <v>518</v>
      </c>
      <c r="C88" s="500"/>
      <c r="D88" s="500"/>
      <c r="E88" s="503"/>
      <c r="F88" s="549">
        <f>+F68+F81</f>
        <v>18696.765651860329</v>
      </c>
      <c r="G88" s="549">
        <f t="shared" ref="G88:O88" si="24">+G68+G81</f>
        <v>18696.765651860329</v>
      </c>
      <c r="H88" s="549">
        <f t="shared" si="24"/>
        <v>18696.765651860329</v>
      </c>
      <c r="I88" s="549">
        <f t="shared" si="24"/>
        <v>18696.765651860329</v>
      </c>
      <c r="J88" s="549">
        <f t="shared" si="24"/>
        <v>18696.765651860329</v>
      </c>
      <c r="K88" s="549">
        <f t="shared" si="24"/>
        <v>18696.765651860329</v>
      </c>
      <c r="L88" s="549">
        <f t="shared" si="24"/>
        <v>1757495.9712748709</v>
      </c>
      <c r="M88" s="549">
        <f t="shared" si="24"/>
        <v>1602579.9130165998</v>
      </c>
      <c r="N88" s="549">
        <f t="shared" si="24"/>
        <v>0</v>
      </c>
      <c r="O88" s="549">
        <f t="shared" si="24"/>
        <v>0</v>
      </c>
    </row>
    <row r="89" spans="1:15" customFormat="1" ht="14.5">
      <c r="A89" s="495"/>
      <c r="B89" t="s">
        <v>502</v>
      </c>
      <c r="C89" s="1"/>
      <c r="D89" s="1"/>
      <c r="E89" s="503"/>
      <c r="F89" s="506">
        <f>+F83+F70</f>
        <v>265761.16890858614</v>
      </c>
      <c r="G89" s="506">
        <f>+G83+G70</f>
        <v>273987.74579540465</v>
      </c>
      <c r="H89" s="506">
        <f>+H83+H70</f>
        <v>291188.77019511617</v>
      </c>
      <c r="I89" s="506">
        <f>+I83+I70</f>
        <v>289879.99659948598</v>
      </c>
      <c r="J89" s="506">
        <f>+J83+J70</f>
        <v>288571.22300385579</v>
      </c>
      <c r="K89" s="506">
        <f>+K83+K70</f>
        <v>287262.44940822554</v>
      </c>
      <c r="L89" s="506">
        <f>+L83+L70</f>
        <v>2024752.8814356059</v>
      </c>
      <c r="M89" s="506">
        <f>+M83+M70</f>
        <v>1746812.1051880938</v>
      </c>
      <c r="N89" s="506">
        <f t="shared" ref="N89:O89" si="25">+N83+N70</f>
        <v>0</v>
      </c>
      <c r="O89" s="506">
        <f t="shared" si="25"/>
        <v>0</v>
      </c>
    </row>
    <row r="90" spans="1:15" customFormat="1" ht="14.5">
      <c r="A90" s="495"/>
      <c r="B90" t="s">
        <v>503</v>
      </c>
      <c r="C90" s="1"/>
      <c r="D90" s="1"/>
      <c r="E90" s="503"/>
      <c r="F90" s="506">
        <f>+F80+F67</f>
        <v>3453559.7125507724</v>
      </c>
      <c r="G90" s="506">
        <f>+G80+G67</f>
        <v>3434862.9468989121</v>
      </c>
      <c r="H90" s="506">
        <f>+H80+H67</f>
        <v>3416166.1812470518</v>
      </c>
      <c r="I90" s="506">
        <f>+I80+I67</f>
        <v>3397469.4155951915</v>
      </c>
      <c r="J90" s="506">
        <f>+J80+J67</f>
        <v>3378772.6499433313</v>
      </c>
      <c r="K90" s="506">
        <f>+K80+K67</f>
        <v>3360075.884291471</v>
      </c>
      <c r="L90" s="506">
        <f>+L80+L67</f>
        <v>1602579.9130165998</v>
      </c>
      <c r="M90" s="506">
        <f>+M80+M67</f>
        <v>0</v>
      </c>
      <c r="N90" s="506">
        <f t="shared" ref="N90:O90" si="26">+N80+N67</f>
        <v>0</v>
      </c>
      <c r="O90" s="506">
        <f t="shared" si="26"/>
        <v>0</v>
      </c>
    </row>
    <row r="91" spans="1:15" customFormat="1" ht="14.5">
      <c r="E91" s="503"/>
    </row>
    <row r="92" spans="1:15" s="136" customFormat="1" ht="11.5" customHeight="1">
      <c r="B92" s="150"/>
      <c r="C92" s="150"/>
      <c r="D92" s="150"/>
      <c r="E92" s="150"/>
      <c r="F92" s="150"/>
      <c r="G92" s="150"/>
      <c r="H92" s="72"/>
      <c r="I92" s="72"/>
      <c r="J92" s="72"/>
      <c r="K92" s="72"/>
      <c r="L92" s="148"/>
      <c r="O92" s="149"/>
    </row>
    <row r="93" spans="1:15" s="136" customFormat="1" ht="11.5" customHeight="1">
      <c r="B93" s="150"/>
      <c r="C93" s="150"/>
      <c r="D93" s="150"/>
      <c r="E93" s="150"/>
      <c r="F93" s="150"/>
      <c r="G93" s="150"/>
      <c r="H93" s="72"/>
      <c r="I93" s="72"/>
      <c r="J93" s="72"/>
      <c r="K93" s="72"/>
      <c r="L93" s="148"/>
      <c r="O93" s="149"/>
    </row>
    <row r="94" spans="1:15" ht="11.5" customHeight="1">
      <c r="B94" s="28"/>
      <c r="C94" s="28"/>
      <c r="D94" s="28"/>
      <c r="E94" s="28"/>
      <c r="F94" s="28"/>
      <c r="G94" s="28"/>
      <c r="H94" s="12"/>
      <c r="I94" s="12"/>
      <c r="J94" s="12"/>
      <c r="K94" s="12"/>
    </row>
    <row r="95" spans="1:15" ht="11.5" customHeight="1">
      <c r="B95" s="28"/>
      <c r="C95" s="28"/>
      <c r="D95" s="28"/>
      <c r="E95" s="28"/>
      <c r="F95" s="28"/>
      <c r="G95" s="28"/>
      <c r="H95" s="12"/>
      <c r="I95" s="12"/>
      <c r="J95" s="12"/>
      <c r="K95" s="12"/>
    </row>
    <row r="96" spans="1:15" ht="11.5" customHeight="1">
      <c r="B96" s="28"/>
      <c r="C96" s="28"/>
      <c r="D96" s="28"/>
      <c r="E96" s="28"/>
      <c r="F96" s="28"/>
      <c r="G96" s="28"/>
      <c r="H96" s="12"/>
      <c r="I96" s="12"/>
      <c r="J96" s="12"/>
      <c r="K96" s="12"/>
    </row>
    <row r="97" spans="2:13" ht="11.5" customHeight="1">
      <c r="B97" s="28"/>
      <c r="C97" s="28"/>
      <c r="D97" s="28"/>
      <c r="E97" s="28"/>
      <c r="F97" s="28"/>
      <c r="G97" s="28"/>
      <c r="H97" s="12"/>
      <c r="I97" s="12"/>
      <c r="J97" s="12"/>
      <c r="K97" s="12"/>
    </row>
    <row r="98" spans="2:13" ht="11.5" customHeight="1">
      <c r="B98" s="28"/>
      <c r="C98" s="28"/>
      <c r="D98" s="28"/>
      <c r="E98" s="28"/>
      <c r="F98" s="28"/>
      <c r="G98" s="28"/>
      <c r="H98" s="12"/>
      <c r="I98" s="12"/>
      <c r="J98" s="12"/>
      <c r="K98" s="12"/>
    </row>
    <row r="99" spans="2:13" ht="11.5" customHeight="1">
      <c r="B99" s="28"/>
      <c r="C99" s="28"/>
      <c r="D99" s="28"/>
      <c r="E99" s="28"/>
      <c r="F99" s="28"/>
      <c r="G99" s="28"/>
      <c r="H99" s="12"/>
      <c r="I99" s="12"/>
      <c r="J99" s="12"/>
      <c r="K99" s="12"/>
    </row>
    <row r="100" spans="2:13" ht="11.5" customHeight="1">
      <c r="B100" s="28"/>
      <c r="C100" s="28"/>
      <c r="D100" s="28"/>
      <c r="E100" s="28"/>
      <c r="F100" s="28"/>
      <c r="G100" s="28"/>
      <c r="H100" s="12"/>
      <c r="I100" s="12"/>
      <c r="J100" s="12"/>
      <c r="K100" s="12"/>
    </row>
    <row r="101" spans="2:13" ht="11.5" customHeight="1">
      <c r="B101" s="28"/>
      <c r="C101" s="28"/>
      <c r="D101" s="28"/>
      <c r="E101" s="28"/>
      <c r="F101" s="28"/>
      <c r="G101" s="28"/>
      <c r="H101" s="12"/>
      <c r="I101" s="12"/>
      <c r="J101" s="12"/>
      <c r="K101" s="12"/>
      <c r="L101" s="25"/>
      <c r="M101" s="16"/>
    </row>
    <row r="102" spans="2:13" ht="11.5" customHeight="1">
      <c r="B102" s="28"/>
      <c r="C102" s="28"/>
      <c r="D102" s="28"/>
      <c r="E102" s="28"/>
      <c r="F102" s="28"/>
      <c r="G102" s="28"/>
      <c r="H102" s="12"/>
      <c r="I102" s="12"/>
      <c r="J102" s="12"/>
      <c r="K102" s="12"/>
      <c r="L102" s="25"/>
      <c r="M102" s="16"/>
    </row>
    <row r="103" spans="2:13" ht="11.5" customHeight="1">
      <c r="B103" s="28"/>
      <c r="C103" s="28"/>
      <c r="D103" s="28"/>
      <c r="E103" s="28"/>
      <c r="F103" s="28"/>
      <c r="G103" s="28"/>
      <c r="H103" s="12"/>
      <c r="I103" s="12"/>
      <c r="J103" s="12"/>
      <c r="K103" s="12"/>
      <c r="L103" s="25"/>
      <c r="M103" s="16"/>
    </row>
    <row r="104" spans="2:13" ht="11.5" customHeight="1">
      <c r="B104" s="28"/>
      <c r="C104" s="28"/>
      <c r="D104" s="28"/>
      <c r="E104" s="28"/>
      <c r="F104" s="28"/>
      <c r="G104" s="28"/>
      <c r="H104" s="12"/>
      <c r="I104" s="12"/>
      <c r="J104" s="12"/>
      <c r="K104" s="12"/>
      <c r="L104" s="25"/>
      <c r="M104" s="16"/>
    </row>
    <row r="105" spans="2:13" ht="11.5" customHeight="1">
      <c r="B105" s="28"/>
      <c r="C105" s="28"/>
      <c r="D105" s="28"/>
      <c r="E105" s="28"/>
      <c r="F105" s="28"/>
      <c r="G105" s="28"/>
      <c r="H105" s="12"/>
      <c r="I105" s="12"/>
      <c r="J105" s="12"/>
      <c r="K105" s="12"/>
      <c r="L105" s="25"/>
      <c r="M105" s="16"/>
    </row>
    <row r="106" spans="2:13" ht="11.5" customHeight="1">
      <c r="B106" s="28"/>
      <c r="C106" s="28"/>
      <c r="D106" s="28"/>
      <c r="E106" s="28"/>
      <c r="F106" s="28"/>
      <c r="G106" s="28"/>
      <c r="H106" s="12"/>
      <c r="I106" s="12"/>
      <c r="J106" s="12"/>
      <c r="K106" s="12"/>
      <c r="L106" s="25"/>
      <c r="M106" s="16"/>
    </row>
    <row r="107" spans="2:13" ht="11.5" customHeight="1">
      <c r="B107" s="28"/>
      <c r="C107" s="28"/>
      <c r="D107" s="28"/>
      <c r="E107" s="28"/>
      <c r="F107" s="28"/>
      <c r="G107" s="28"/>
      <c r="H107" s="12"/>
      <c r="I107" s="12"/>
      <c r="J107" s="12"/>
      <c r="K107" s="12"/>
      <c r="L107" s="25"/>
      <c r="M107" s="16"/>
    </row>
    <row r="108" spans="2:13" ht="11.5" customHeight="1">
      <c r="B108" s="28"/>
      <c r="C108" s="28"/>
      <c r="D108" s="28"/>
      <c r="E108" s="28"/>
      <c r="F108" s="28"/>
      <c r="G108" s="28"/>
      <c r="H108" s="12"/>
      <c r="I108" s="12"/>
      <c r="J108" s="12"/>
      <c r="K108" s="12"/>
      <c r="L108" s="25"/>
      <c r="M108" s="16"/>
    </row>
    <row r="109" spans="2:13" ht="11.5" customHeight="1">
      <c r="B109" s="28"/>
      <c r="C109" s="28"/>
      <c r="D109" s="28"/>
      <c r="E109" s="28"/>
      <c r="F109" s="28"/>
      <c r="G109" s="28"/>
      <c r="H109" s="12"/>
      <c r="I109" s="12"/>
      <c r="J109" s="12"/>
      <c r="K109" s="12"/>
      <c r="L109" s="25"/>
      <c r="M109" s="16"/>
    </row>
    <row r="110" spans="2:13" ht="11.5" customHeight="1">
      <c r="B110" s="28"/>
      <c r="C110" s="28"/>
      <c r="D110" s="28"/>
      <c r="E110" s="28"/>
      <c r="F110" s="28"/>
      <c r="G110" s="28"/>
      <c r="H110" s="12"/>
      <c r="I110" s="12"/>
      <c r="J110" s="12"/>
      <c r="K110" s="12"/>
      <c r="L110" s="25"/>
      <c r="M110" s="16"/>
    </row>
    <row r="111" spans="2:13" ht="11.5" customHeight="1">
      <c r="B111" s="28"/>
      <c r="C111" s="28"/>
      <c r="D111" s="28"/>
      <c r="E111" s="28"/>
      <c r="F111" s="28"/>
      <c r="G111" s="28"/>
      <c r="H111" s="12"/>
      <c r="I111" s="12"/>
      <c r="J111" s="12"/>
      <c r="K111" s="12"/>
      <c r="L111" s="25"/>
      <c r="M111" s="16"/>
    </row>
    <row r="112" spans="2:13" ht="11.5" customHeight="1">
      <c r="B112" s="28"/>
      <c r="C112" s="28"/>
      <c r="D112" s="28"/>
      <c r="E112" s="28"/>
      <c r="F112" s="28"/>
      <c r="G112" s="28"/>
      <c r="H112" s="12"/>
      <c r="I112" s="12"/>
      <c r="J112" s="12"/>
      <c r="K112" s="12"/>
      <c r="L112" s="25"/>
      <c r="M112" s="16"/>
    </row>
    <row r="113" spans="2:13" ht="11.5" customHeight="1">
      <c r="B113" s="28"/>
      <c r="C113" s="28"/>
      <c r="D113" s="28"/>
      <c r="E113" s="28"/>
      <c r="F113" s="28"/>
      <c r="G113" s="28"/>
      <c r="H113" s="12"/>
      <c r="I113" s="12"/>
      <c r="J113" s="12"/>
      <c r="K113" s="12"/>
      <c r="L113" s="25"/>
      <c r="M113" s="16"/>
    </row>
    <row r="114" spans="2:13" ht="11.5" customHeight="1">
      <c r="B114" s="28"/>
      <c r="C114" s="28"/>
      <c r="D114" s="28"/>
      <c r="E114" s="28"/>
      <c r="F114" s="28"/>
      <c r="G114" s="28"/>
      <c r="H114" s="12"/>
      <c r="I114" s="12"/>
      <c r="J114" s="12"/>
      <c r="K114" s="12"/>
      <c r="L114" s="25"/>
      <c r="M114" s="16"/>
    </row>
    <row r="115" spans="2:13" ht="11.5" customHeight="1">
      <c r="B115" s="28"/>
      <c r="C115" s="28"/>
      <c r="D115" s="28"/>
      <c r="E115" s="28"/>
      <c r="F115" s="28"/>
      <c r="G115" s="28"/>
      <c r="H115" s="12"/>
      <c r="I115" s="12"/>
      <c r="J115" s="12"/>
      <c r="K115" s="12"/>
      <c r="L115" s="25"/>
      <c r="M115" s="16"/>
    </row>
    <row r="116" spans="2:13" ht="11.5" customHeight="1">
      <c r="B116" s="28"/>
      <c r="C116" s="28"/>
      <c r="D116" s="28"/>
      <c r="E116" s="28"/>
      <c r="F116" s="28"/>
      <c r="G116" s="28"/>
      <c r="H116" s="12"/>
      <c r="I116" s="12"/>
      <c r="J116" s="12"/>
      <c r="K116" s="12"/>
      <c r="L116" s="25"/>
      <c r="M116" s="16"/>
    </row>
    <row r="117" spans="2:13" ht="11.5" customHeight="1">
      <c r="B117" s="28"/>
      <c r="C117" s="28"/>
      <c r="D117" s="28"/>
      <c r="E117" s="28"/>
      <c r="F117" s="28"/>
      <c r="G117" s="28"/>
      <c r="H117" s="12"/>
      <c r="I117" s="12"/>
      <c r="J117" s="12"/>
      <c r="K117" s="12"/>
      <c r="L117" s="25"/>
      <c r="M117" s="16"/>
    </row>
    <row r="118" spans="2:13" ht="11.5" customHeight="1">
      <c r="B118" s="28"/>
      <c r="C118" s="28"/>
      <c r="D118" s="28"/>
      <c r="E118" s="28"/>
      <c r="F118" s="28"/>
      <c r="G118" s="28"/>
      <c r="H118" s="12"/>
      <c r="I118" s="12"/>
      <c r="J118" s="12"/>
      <c r="K118" s="12"/>
      <c r="L118" s="25"/>
      <c r="M118" s="16"/>
    </row>
    <row r="119" spans="2:13" ht="11.5" customHeight="1">
      <c r="B119" s="28"/>
      <c r="C119" s="28"/>
      <c r="D119" s="28"/>
      <c r="E119" s="28"/>
      <c r="F119" s="28"/>
      <c r="G119" s="28"/>
      <c r="H119" s="12"/>
      <c r="I119" s="12"/>
      <c r="J119" s="12"/>
      <c r="K119" s="12"/>
      <c r="L119" s="25"/>
      <c r="M119" s="16"/>
    </row>
    <row r="120" spans="2:13" ht="11.5" customHeight="1">
      <c r="B120" s="28"/>
      <c r="C120" s="28"/>
      <c r="D120" s="28"/>
      <c r="E120" s="28"/>
      <c r="F120" s="28"/>
      <c r="G120" s="28"/>
      <c r="H120" s="12"/>
      <c r="I120" s="12"/>
      <c r="J120" s="12"/>
      <c r="K120" s="12"/>
      <c r="L120" s="25"/>
      <c r="M120" s="16"/>
    </row>
    <row r="121" spans="2:13" ht="11.5" customHeight="1">
      <c r="B121" s="28"/>
      <c r="C121" s="28"/>
      <c r="D121" s="28"/>
      <c r="E121" s="28"/>
      <c r="F121" s="28"/>
      <c r="G121" s="28"/>
      <c r="H121" s="12"/>
      <c r="I121" s="12"/>
      <c r="J121" s="12"/>
      <c r="K121" s="12"/>
      <c r="L121" s="25"/>
      <c r="M121" s="16"/>
    </row>
    <row r="122" spans="2:13" ht="11.5" customHeight="1">
      <c r="B122" s="28"/>
      <c r="C122" s="28"/>
      <c r="D122" s="28"/>
      <c r="E122" s="28"/>
      <c r="F122" s="28"/>
      <c r="G122" s="28"/>
      <c r="H122" s="12"/>
      <c r="I122" s="12"/>
      <c r="J122" s="12"/>
      <c r="K122" s="12"/>
      <c r="L122" s="25"/>
      <c r="M122" s="16"/>
    </row>
    <row r="123" spans="2:13" ht="11.5" customHeight="1">
      <c r="B123" s="28"/>
      <c r="C123" s="28"/>
      <c r="D123" s="28"/>
      <c r="E123" s="28"/>
      <c r="F123" s="28"/>
      <c r="G123" s="28"/>
      <c r="H123" s="12"/>
      <c r="I123" s="12"/>
      <c r="J123" s="12"/>
      <c r="K123" s="12"/>
      <c r="L123" s="25"/>
      <c r="M123" s="16"/>
    </row>
    <row r="124" spans="2:13" ht="11.5" customHeight="1">
      <c r="B124" s="28"/>
      <c r="C124" s="28"/>
      <c r="D124" s="28"/>
      <c r="E124" s="28"/>
      <c r="F124" s="28"/>
      <c r="G124" s="28"/>
      <c r="H124" s="12"/>
      <c r="I124" s="12"/>
      <c r="J124" s="12"/>
      <c r="K124" s="12"/>
      <c r="L124" s="25"/>
      <c r="M124" s="16"/>
    </row>
    <row r="125" spans="2:13" ht="11.5" customHeight="1">
      <c r="B125" s="28"/>
      <c r="C125" s="28"/>
      <c r="D125" s="28"/>
      <c r="E125" s="28"/>
      <c r="F125" s="28"/>
      <c r="G125" s="28"/>
      <c r="H125" s="12"/>
      <c r="I125" s="12"/>
      <c r="J125" s="12"/>
      <c r="K125" s="12"/>
      <c r="L125" s="25"/>
      <c r="M125" s="16"/>
    </row>
    <row r="126" spans="2:13" ht="11.5" customHeight="1">
      <c r="B126" s="28"/>
      <c r="C126" s="28"/>
      <c r="D126" s="28"/>
      <c r="E126" s="28"/>
      <c r="F126" s="28"/>
      <c r="G126" s="28"/>
      <c r="H126" s="12"/>
      <c r="I126" s="12"/>
      <c r="J126" s="12"/>
      <c r="K126" s="12"/>
      <c r="L126" s="25"/>
      <c r="M126" s="16"/>
    </row>
    <row r="127" spans="2:13" ht="11.5" customHeight="1">
      <c r="B127" s="28"/>
      <c r="C127" s="28"/>
      <c r="D127" s="28"/>
      <c r="E127" s="28"/>
      <c r="F127" s="28"/>
      <c r="G127" s="28"/>
      <c r="H127" s="12"/>
      <c r="I127" s="12"/>
      <c r="J127" s="12"/>
      <c r="K127" s="12"/>
      <c r="L127" s="25"/>
      <c r="M127" s="16"/>
    </row>
    <row r="128" spans="2:13" ht="11.5" customHeight="1">
      <c r="B128" s="28"/>
      <c r="C128" s="28"/>
      <c r="D128" s="28"/>
      <c r="E128" s="28"/>
      <c r="F128" s="28"/>
      <c r="G128" s="28"/>
      <c r="H128" s="12"/>
      <c r="I128" s="12"/>
      <c r="J128" s="12"/>
      <c r="K128" s="12"/>
      <c r="L128" s="25"/>
      <c r="M128" s="16"/>
    </row>
    <row r="129" spans="2:13" ht="11.5" customHeight="1">
      <c r="B129" s="28"/>
      <c r="C129" s="28"/>
      <c r="D129" s="28"/>
      <c r="E129" s="28"/>
      <c r="F129" s="28"/>
      <c r="G129" s="28"/>
      <c r="H129" s="12"/>
      <c r="I129" s="12"/>
      <c r="J129" s="12"/>
      <c r="K129" s="12"/>
      <c r="L129" s="25"/>
      <c r="M129" s="16"/>
    </row>
    <row r="130" spans="2:13" ht="11.5" customHeight="1">
      <c r="B130" s="28"/>
      <c r="C130" s="28"/>
      <c r="D130" s="28"/>
      <c r="E130" s="28"/>
      <c r="F130" s="28"/>
      <c r="G130" s="28"/>
      <c r="H130" s="12"/>
      <c r="I130" s="12"/>
      <c r="J130" s="12"/>
      <c r="K130" s="12"/>
      <c r="L130" s="25"/>
      <c r="M130" s="16"/>
    </row>
    <row r="131" spans="2:13" ht="11.5" customHeight="1">
      <c r="B131" s="28"/>
      <c r="C131" s="28"/>
      <c r="D131" s="28"/>
      <c r="E131" s="28"/>
      <c r="F131" s="28"/>
      <c r="G131" s="28"/>
      <c r="H131" s="12"/>
      <c r="I131" s="12"/>
      <c r="J131" s="12"/>
      <c r="K131" s="12"/>
      <c r="L131" s="25"/>
      <c r="M131" s="16"/>
    </row>
    <row r="132" spans="2:13" ht="11.5" customHeight="1">
      <c r="B132" s="28"/>
      <c r="C132" s="28"/>
      <c r="D132" s="28"/>
      <c r="E132" s="28"/>
      <c r="F132" s="28"/>
      <c r="G132" s="28"/>
      <c r="H132" s="12"/>
      <c r="I132" s="12"/>
      <c r="J132" s="12"/>
      <c r="K132" s="12"/>
      <c r="L132" s="25"/>
      <c r="M132" s="16"/>
    </row>
    <row r="133" spans="2:13" ht="11.5" customHeight="1">
      <c r="B133" s="28"/>
      <c r="C133" s="28"/>
      <c r="D133" s="28"/>
      <c r="E133" s="28"/>
      <c r="F133" s="28"/>
      <c r="G133" s="28"/>
      <c r="H133" s="12"/>
      <c r="I133" s="12"/>
      <c r="J133" s="12"/>
      <c r="K133" s="12"/>
      <c r="L133" s="25"/>
      <c r="M133" s="16"/>
    </row>
    <row r="134" spans="2:13" ht="11.5" customHeight="1">
      <c r="B134" s="28"/>
      <c r="C134" s="28"/>
      <c r="D134" s="28"/>
      <c r="E134" s="28"/>
      <c r="F134" s="28"/>
      <c r="G134" s="28"/>
      <c r="H134" s="12"/>
      <c r="I134" s="12"/>
      <c r="J134" s="12"/>
      <c r="K134" s="12"/>
      <c r="L134" s="25"/>
      <c r="M134" s="16"/>
    </row>
    <row r="135" spans="2:13" ht="11.5" customHeight="1">
      <c r="B135" s="28"/>
      <c r="C135" s="28"/>
      <c r="D135" s="28"/>
      <c r="E135" s="28"/>
      <c r="F135" s="28"/>
      <c r="G135" s="28"/>
      <c r="H135" s="12"/>
      <c r="I135" s="12"/>
      <c r="J135" s="12"/>
      <c r="K135" s="12"/>
      <c r="L135" s="25"/>
      <c r="M135" s="16"/>
    </row>
    <row r="136" spans="2:13" ht="11.5" customHeight="1">
      <c r="B136" s="28"/>
      <c r="C136" s="28"/>
      <c r="D136" s="28"/>
      <c r="E136" s="28"/>
      <c r="F136" s="28"/>
      <c r="G136" s="28"/>
      <c r="H136" s="12"/>
      <c r="I136" s="12"/>
      <c r="J136" s="12"/>
      <c r="K136" s="12"/>
      <c r="L136" s="25"/>
      <c r="M136" s="16"/>
    </row>
    <row r="137" spans="2:13" ht="11.5" customHeight="1">
      <c r="B137" s="28"/>
      <c r="C137" s="28"/>
      <c r="D137" s="28"/>
      <c r="E137" s="28"/>
      <c r="F137" s="28"/>
      <c r="G137" s="28"/>
      <c r="H137" s="12"/>
      <c r="I137" s="12"/>
      <c r="J137" s="12"/>
      <c r="K137" s="12"/>
      <c r="L137" s="25"/>
      <c r="M137" s="16"/>
    </row>
    <row r="138" spans="2:13" ht="11.5" customHeight="1">
      <c r="B138" s="28"/>
      <c r="C138" s="28"/>
      <c r="D138" s="28"/>
      <c r="E138" s="28"/>
      <c r="F138" s="28"/>
      <c r="G138" s="28"/>
      <c r="H138" s="12"/>
      <c r="I138" s="12"/>
      <c r="J138" s="12"/>
      <c r="K138" s="12"/>
      <c r="L138" s="25"/>
      <c r="M138" s="16"/>
    </row>
    <row r="139" spans="2:13" ht="11.5" customHeight="1">
      <c r="B139" s="28"/>
      <c r="C139" s="28"/>
      <c r="D139" s="28"/>
      <c r="E139" s="28"/>
      <c r="F139" s="28"/>
      <c r="G139" s="28"/>
      <c r="H139" s="12"/>
      <c r="I139" s="12"/>
      <c r="J139" s="12"/>
      <c r="K139" s="12"/>
      <c r="L139" s="25"/>
      <c r="M139" s="16"/>
    </row>
    <row r="140" spans="2:13" ht="11.5" customHeight="1">
      <c r="B140" s="28"/>
      <c r="C140" s="28"/>
      <c r="D140" s="28"/>
      <c r="E140" s="28"/>
      <c r="F140" s="28"/>
      <c r="G140" s="28"/>
      <c r="H140" s="12"/>
      <c r="I140" s="12"/>
      <c r="J140" s="12"/>
      <c r="K140" s="12"/>
      <c r="L140" s="25"/>
      <c r="M140" s="16"/>
    </row>
    <row r="141" spans="2:13" ht="11.5" customHeight="1">
      <c r="B141" s="28"/>
      <c r="C141" s="28"/>
      <c r="D141" s="28"/>
      <c r="E141" s="28"/>
      <c r="F141" s="28"/>
      <c r="G141" s="28"/>
      <c r="H141" s="12"/>
      <c r="I141" s="12"/>
      <c r="J141" s="12"/>
      <c r="K141" s="12"/>
      <c r="L141" s="25"/>
      <c r="M141" s="16"/>
    </row>
    <row r="142" spans="2:13" ht="11.5" customHeight="1">
      <c r="B142" s="28"/>
      <c r="C142" s="28"/>
      <c r="D142" s="28"/>
      <c r="E142" s="28"/>
      <c r="F142" s="28"/>
      <c r="G142" s="28"/>
      <c r="H142" s="12"/>
      <c r="I142" s="12"/>
      <c r="J142" s="12"/>
      <c r="K142" s="12"/>
      <c r="L142" s="25"/>
      <c r="M142" s="16"/>
    </row>
    <row r="143" spans="2:13" ht="11.5" customHeight="1">
      <c r="B143" s="28"/>
      <c r="C143" s="28"/>
      <c r="D143" s="28"/>
      <c r="E143" s="28"/>
      <c r="F143" s="28"/>
      <c r="G143" s="28"/>
      <c r="H143" s="12"/>
      <c r="I143" s="12"/>
      <c r="J143" s="12"/>
      <c r="K143" s="12"/>
      <c r="L143" s="25"/>
      <c r="M143" s="16"/>
    </row>
    <row r="144" spans="2:13" ht="11.5" customHeight="1">
      <c r="B144" s="28"/>
      <c r="C144" s="28"/>
      <c r="D144" s="28"/>
      <c r="E144" s="28"/>
      <c r="F144" s="28"/>
      <c r="G144" s="28"/>
      <c r="H144" s="12"/>
      <c r="I144" s="12"/>
      <c r="J144" s="12"/>
      <c r="K144" s="12"/>
      <c r="L144" s="25"/>
      <c r="M144" s="16"/>
    </row>
    <row r="145" spans="2:13" ht="11.5" customHeight="1">
      <c r="B145" s="28"/>
      <c r="C145" s="28"/>
      <c r="D145" s="28"/>
      <c r="E145" s="28"/>
      <c r="F145" s="28"/>
      <c r="G145" s="28"/>
      <c r="H145" s="12"/>
      <c r="I145" s="12"/>
      <c r="J145" s="12"/>
      <c r="K145" s="12"/>
      <c r="L145" s="25"/>
      <c r="M145" s="16"/>
    </row>
    <row r="146" spans="2:13" ht="11.5" customHeight="1">
      <c r="B146" s="28"/>
      <c r="C146" s="28"/>
      <c r="D146" s="28"/>
      <c r="E146" s="28"/>
      <c r="F146" s="28"/>
      <c r="G146" s="28"/>
      <c r="H146" s="12"/>
      <c r="I146" s="12"/>
      <c r="J146" s="12"/>
      <c r="K146" s="12"/>
      <c r="L146" s="25"/>
      <c r="M146" s="16"/>
    </row>
    <row r="147" spans="2:13" ht="11.5" customHeight="1">
      <c r="B147" s="28"/>
      <c r="C147" s="28"/>
      <c r="D147" s="28"/>
      <c r="E147" s="28"/>
      <c r="F147" s="28"/>
      <c r="G147" s="28"/>
      <c r="H147" s="12"/>
      <c r="I147" s="12"/>
      <c r="J147" s="12"/>
      <c r="K147" s="12"/>
      <c r="L147" s="25"/>
      <c r="M147" s="16"/>
    </row>
    <row r="148" spans="2:13" ht="11.5" customHeight="1">
      <c r="B148" s="28"/>
      <c r="C148" s="28"/>
      <c r="D148" s="28"/>
      <c r="E148" s="28"/>
      <c r="F148" s="28"/>
      <c r="G148" s="28"/>
      <c r="H148" s="12"/>
      <c r="I148" s="12"/>
      <c r="J148" s="12"/>
      <c r="K148" s="12"/>
      <c r="L148" s="25"/>
      <c r="M148" s="16"/>
    </row>
    <row r="149" spans="2:13" ht="11.5" customHeight="1">
      <c r="B149" s="28"/>
      <c r="C149" s="28"/>
      <c r="D149" s="28"/>
      <c r="E149" s="28"/>
      <c r="F149" s="28"/>
      <c r="G149" s="28"/>
      <c r="H149" s="12"/>
      <c r="I149" s="12"/>
      <c r="J149" s="12"/>
      <c r="K149" s="12"/>
      <c r="L149" s="25"/>
      <c r="M149" s="16"/>
    </row>
    <row r="150" spans="2:13" ht="11.5" customHeight="1">
      <c r="B150" s="28"/>
      <c r="C150" s="28"/>
      <c r="D150" s="28"/>
      <c r="E150" s="28"/>
      <c r="F150" s="28"/>
      <c r="G150" s="28"/>
      <c r="H150" s="12"/>
      <c r="I150" s="12"/>
      <c r="J150" s="12"/>
      <c r="K150" s="12"/>
      <c r="L150" s="25"/>
      <c r="M150" s="16"/>
    </row>
    <row r="151" spans="2:13" ht="17" customHeight="1">
      <c r="B151" s="28"/>
      <c r="C151" s="28"/>
      <c r="D151" s="28"/>
      <c r="E151" s="28"/>
      <c r="F151" s="28"/>
      <c r="G151" s="28"/>
      <c r="H151" s="12"/>
      <c r="I151" s="12"/>
      <c r="J151" s="12"/>
      <c r="K151" s="12"/>
      <c r="L151" s="25"/>
      <c r="M151" s="16"/>
    </row>
    <row r="152" spans="2:13" ht="17" customHeight="1">
      <c r="B152" s="28"/>
      <c r="C152" s="28"/>
      <c r="D152" s="28"/>
      <c r="E152" s="28"/>
      <c r="F152" s="28"/>
      <c r="G152" s="28"/>
      <c r="H152" s="12"/>
      <c r="I152" s="12"/>
      <c r="J152" s="12"/>
      <c r="K152" s="12"/>
      <c r="L152" s="25"/>
      <c r="M152" s="16"/>
    </row>
  </sheetData>
  <mergeCells count="1">
    <mergeCell ref="D15:E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2512D-4080-43A5-8BE4-9013063B0B07}">
  <sheetPr>
    <tabColor theme="4" tint="-0.249977111117893"/>
  </sheetPr>
  <dimension ref="A1:AB163"/>
  <sheetViews>
    <sheetView tabSelected="1" workbookViewId="0">
      <selection activeCell="K10" sqref="K9:K10"/>
    </sheetView>
  </sheetViews>
  <sheetFormatPr defaultRowHeight="14.5"/>
  <cols>
    <col min="1" max="1" width="37.08984375" customWidth="1"/>
    <col min="2" max="2" width="13.36328125" customWidth="1"/>
    <col min="3" max="3" width="11.26953125" customWidth="1"/>
    <col min="4" max="4" width="11.7265625" customWidth="1"/>
    <col min="5" max="5" width="12.81640625" customWidth="1"/>
    <col min="6" max="6" width="12.36328125" customWidth="1"/>
    <col min="7" max="7" width="12.6328125" customWidth="1"/>
    <col min="8" max="8" width="12.26953125" customWidth="1"/>
    <col min="9" max="9" width="11.90625" customWidth="1"/>
    <col min="10" max="10" width="12.26953125" customWidth="1"/>
    <col min="11" max="11" width="12.54296875" bestFit="1" customWidth="1"/>
    <col min="12" max="12" width="2.7265625" customWidth="1"/>
    <col min="13" max="13" width="12.26953125" style="187" customWidth="1"/>
    <col min="14" max="14" width="10.90625" customWidth="1"/>
    <col min="15" max="19" width="12.26953125" customWidth="1"/>
    <col min="20" max="21" width="10.36328125" customWidth="1"/>
    <col min="22" max="22" width="12.36328125" customWidth="1"/>
    <col min="23" max="27" width="10.90625" customWidth="1"/>
    <col min="28" max="28" width="12.36328125" bestFit="1" customWidth="1"/>
  </cols>
  <sheetData>
    <row r="1" spans="1:27" ht="28.75" customHeight="1" thickBot="1">
      <c r="A1" s="180" t="str">
        <f>+'Historical Analysis'!B1</f>
        <v>CEDAR FAIR, L.P. (FUN)</v>
      </c>
      <c r="B1" s="181" t="s">
        <v>330</v>
      </c>
      <c r="C1" s="182" t="s">
        <v>476</v>
      </c>
      <c r="D1" s="183"/>
      <c r="E1" s="183"/>
      <c r="F1" s="184"/>
      <c r="G1" s="185" t="s">
        <v>331</v>
      </c>
      <c r="H1" s="186">
        <v>44651</v>
      </c>
      <c r="U1" s="188" t="s">
        <v>332</v>
      </c>
      <c r="V1" s="188"/>
      <c r="W1" s="35"/>
      <c r="X1" s="35"/>
      <c r="Y1" s="35"/>
      <c r="Z1" s="35"/>
      <c r="AA1" s="35"/>
    </row>
    <row r="2" spans="1:27" ht="18" customHeight="1" thickBot="1">
      <c r="A2" s="189" t="s">
        <v>333</v>
      </c>
      <c r="B2" s="190"/>
      <c r="G2" s="191" t="s">
        <v>334</v>
      </c>
      <c r="H2" s="186">
        <v>44561</v>
      </c>
      <c r="U2" s="192" t="s">
        <v>335</v>
      </c>
    </row>
    <row r="3" spans="1:27" ht="10.5" customHeight="1" thickBot="1"/>
    <row r="4" spans="1:27" ht="16" thickBot="1">
      <c r="A4" s="193" t="s">
        <v>336</v>
      </c>
      <c r="B4" s="194"/>
      <c r="C4" s="194"/>
      <c r="D4" s="194"/>
      <c r="E4" s="194"/>
      <c r="F4" s="194"/>
      <c r="G4" s="194"/>
      <c r="H4" s="195"/>
      <c r="I4" s="194"/>
      <c r="U4" s="196" t="s">
        <v>337</v>
      </c>
      <c r="V4" s="196"/>
      <c r="W4" s="197" t="s">
        <v>75</v>
      </c>
      <c r="X4" s="198"/>
      <c r="Y4" s="198"/>
      <c r="Z4" s="198"/>
      <c r="AA4" s="198"/>
    </row>
    <row r="5" spans="1:27" s="203" customFormat="1" ht="44.5" customHeight="1" thickBot="1">
      <c r="A5" s="199"/>
      <c r="B5" s="200"/>
      <c r="C5" s="201" t="s">
        <v>338</v>
      </c>
      <c r="D5" s="201" t="s">
        <v>339</v>
      </c>
      <c r="E5" s="201" t="s">
        <v>340</v>
      </c>
      <c r="F5" s="201" t="s">
        <v>341</v>
      </c>
      <c r="G5" s="201" t="s">
        <v>342</v>
      </c>
      <c r="H5" s="202" t="s">
        <v>343</v>
      </c>
      <c r="I5" s="201" t="s">
        <v>494</v>
      </c>
      <c r="J5"/>
      <c r="K5"/>
      <c r="M5" s="204"/>
      <c r="U5" s="205" t="s">
        <v>344</v>
      </c>
      <c r="V5" s="205"/>
      <c r="W5" s="206">
        <v>44012</v>
      </c>
      <c r="X5" s="207">
        <v>43830</v>
      </c>
      <c r="Y5" s="207">
        <v>43465</v>
      </c>
      <c r="Z5" s="207">
        <v>43100</v>
      </c>
      <c r="AA5" s="207">
        <v>42735</v>
      </c>
    </row>
    <row r="6" spans="1:27">
      <c r="A6" s="208" t="s">
        <v>345</v>
      </c>
      <c r="B6" s="209"/>
      <c r="C6" s="209">
        <f>+F6+D6-E6</f>
        <v>5363869.9000000004</v>
      </c>
      <c r="D6" s="209">
        <f>+'Historical Analysis'!C51+'Historical Analysis'!C47</f>
        <v>2518936</v>
      </c>
      <c r="E6" s="209">
        <f>+'Historical Analysis'!C26</f>
        <v>207279</v>
      </c>
      <c r="F6" s="209">
        <f>+H6*G6</f>
        <v>3052212.9</v>
      </c>
      <c r="G6" s="210">
        <v>56870</v>
      </c>
      <c r="H6" s="211">
        <v>53.67</v>
      </c>
      <c r="I6" s="212"/>
      <c r="U6" s="36" t="s">
        <v>346</v>
      </c>
      <c r="W6" s="214">
        <f>+'[1]Historical Analysis'!C7</f>
        <v>3028000</v>
      </c>
      <c r="X6" s="215">
        <f>+'[1]Historical Analysis'!D7</f>
        <v>2066000</v>
      </c>
      <c r="Y6" s="215">
        <f>+'[1]Historical Analysis'!E7</f>
        <v>5020000</v>
      </c>
      <c r="Z6" s="215">
        <f>+'[1]Historical Analysis'!F7</f>
        <v>4454000</v>
      </c>
      <c r="AA6" s="215">
        <f>+'[1]Historical Analysis'!G7</f>
        <v>4685000</v>
      </c>
    </row>
    <row r="7" spans="1:27">
      <c r="A7" s="216"/>
      <c r="B7" s="217"/>
      <c r="C7" s="217"/>
      <c r="D7" s="217"/>
      <c r="E7" s="217"/>
      <c r="F7" s="217"/>
      <c r="G7" s="217"/>
      <c r="H7" s="218"/>
      <c r="I7" s="219"/>
      <c r="U7" t="s">
        <v>2</v>
      </c>
      <c r="W7" s="214">
        <f>+'[1]Historical Analysis'!C8</f>
        <v>2603000</v>
      </c>
      <c r="X7" s="215">
        <f>+'[1]Historical Analysis'!D8</f>
        <v>2067000</v>
      </c>
      <c r="Y7" s="215">
        <f>+'[1]Historical Analysis'!E8</f>
        <v>4077000</v>
      </c>
      <c r="Z7" s="215">
        <f>+'[1]Historical Analysis'!F8</f>
        <v>3475000</v>
      </c>
      <c r="AA7" s="215">
        <f>+'[1]Historical Analysis'!G8</f>
        <v>3638000</v>
      </c>
    </row>
    <row r="8" spans="1:27" ht="15" thickBot="1">
      <c r="A8" s="216" t="s">
        <v>347</v>
      </c>
      <c r="B8" s="217"/>
      <c r="C8" s="217">
        <f>+D8+F8-E8</f>
        <v>5878136.1473176777</v>
      </c>
      <c r="D8" s="217">
        <f>+D6</f>
        <v>2518936</v>
      </c>
      <c r="E8" s="217">
        <f>+E6</f>
        <v>207279</v>
      </c>
      <c r="F8" s="217">
        <f>+G8*H8</f>
        <v>3566479.1473176777</v>
      </c>
      <c r="G8" s="217">
        <f>+G6</f>
        <v>56870</v>
      </c>
      <c r="H8" s="218">
        <f>+E37</f>
        <v>62.712838883729169</v>
      </c>
      <c r="I8" s="494">
        <f>+H8/$H$6-1</f>
        <v>0.16848963822860386</v>
      </c>
      <c r="U8" s="36" t="s">
        <v>348</v>
      </c>
      <c r="W8" s="220">
        <f>+W6-W7</f>
        <v>425000</v>
      </c>
      <c r="X8" s="221">
        <f>+X6-X7</f>
        <v>-1000</v>
      </c>
      <c r="Y8" s="221">
        <f>+Y6-Y7</f>
        <v>943000</v>
      </c>
      <c r="Z8" s="221">
        <f>+Z6-Z7</f>
        <v>979000</v>
      </c>
      <c r="AA8" s="221">
        <f>+AA6-AA7</f>
        <v>1047000</v>
      </c>
    </row>
    <row r="9" spans="1:27" ht="15" thickTop="1">
      <c r="A9" s="216" t="s">
        <v>349</v>
      </c>
      <c r="B9" s="217"/>
      <c r="C9" s="217"/>
      <c r="D9" s="217"/>
      <c r="E9" s="217"/>
      <c r="F9" s="217"/>
      <c r="G9" s="217"/>
      <c r="H9" s="485" t="str">
        <f>+B45</f>
        <v>NA</v>
      </c>
      <c r="I9" s="494"/>
      <c r="U9" s="36" t="s">
        <v>350</v>
      </c>
      <c r="W9" s="222">
        <f>+'[1]Historical Analysis'!C10</f>
        <v>676000</v>
      </c>
      <c r="X9" s="223">
        <f>+'[1]Historical Analysis'!D10</f>
        <v>631000</v>
      </c>
      <c r="Y9" s="223">
        <f>+'[1]Historical Analysis'!E10</f>
        <v>746000</v>
      </c>
      <c r="Z9" s="223">
        <f>+'[1]Historical Analysis'!F10</f>
        <v>647000</v>
      </c>
      <c r="AA9" s="223">
        <f>+'[1]Historical Analysis'!G10</f>
        <v>745000</v>
      </c>
    </row>
    <row r="10" spans="1:27">
      <c r="A10" s="224" t="s">
        <v>351</v>
      </c>
      <c r="B10" s="217"/>
      <c r="C10" s="225">
        <f>+B62</f>
        <v>3811015.2040521996</v>
      </c>
      <c r="D10" s="217">
        <f>+D8</f>
        <v>2518936</v>
      </c>
      <c r="E10" s="217">
        <f>+E8</f>
        <v>207279</v>
      </c>
      <c r="F10" s="217">
        <f>+C10-D10+E10</f>
        <v>1499358.2040521996</v>
      </c>
      <c r="G10" s="217">
        <f>+G8</f>
        <v>56870</v>
      </c>
      <c r="H10" s="218">
        <f>+F10/G10</f>
        <v>26.36465982156145</v>
      </c>
      <c r="I10" s="494">
        <f t="shared" ref="I10:I15" si="0">+H10/$H$6-1</f>
        <v>-0.50876355838342746</v>
      </c>
      <c r="U10" s="36" t="s">
        <v>352</v>
      </c>
      <c r="W10" s="214">
        <f>+W8-W9</f>
        <v>-251000</v>
      </c>
      <c r="X10" s="213">
        <f>+X8-X9</f>
        <v>-632000</v>
      </c>
      <c r="Y10" s="213">
        <f>+Y8-Y9</f>
        <v>197000</v>
      </c>
      <c r="Z10" s="213">
        <f>+Z8-Z9</f>
        <v>332000</v>
      </c>
      <c r="AA10" s="213">
        <f>+AA8-AA9</f>
        <v>302000</v>
      </c>
    </row>
    <row r="11" spans="1:27">
      <c r="A11" s="224" t="s">
        <v>353</v>
      </c>
      <c r="B11" s="217"/>
      <c r="C11" s="225"/>
      <c r="D11" s="217"/>
      <c r="E11" s="217"/>
      <c r="F11" s="217"/>
      <c r="G11" s="217"/>
      <c r="H11" s="485" t="s">
        <v>478</v>
      </c>
      <c r="I11" s="494"/>
      <c r="U11" s="36" t="s">
        <v>354</v>
      </c>
      <c r="W11" s="226">
        <f>+'[1]Historical Analysis'!C12</f>
        <v>163000</v>
      </c>
      <c r="X11" s="227">
        <f>+'[1]Historical Analysis'!D12</f>
        <v>128000</v>
      </c>
      <c r="Y11" s="227">
        <f>+'[1]Historical Analysis'!E12</f>
        <v>75000</v>
      </c>
      <c r="Z11" s="227">
        <f>+'[1]Historical Analysis'!F12</f>
        <v>76000</v>
      </c>
      <c r="AA11" s="227">
        <f>+'[1]Historical Analysis'!G12</f>
        <v>80000</v>
      </c>
    </row>
    <row r="12" spans="1:27">
      <c r="A12" s="216" t="s">
        <v>355</v>
      </c>
      <c r="B12" s="217"/>
      <c r="C12" s="217">
        <f>+D12+F12-E12</f>
        <v>7141277.8501782725</v>
      </c>
      <c r="D12" s="217">
        <f>+D6</f>
        <v>2518936</v>
      </c>
      <c r="E12" s="217">
        <f>+E6</f>
        <v>207279</v>
      </c>
      <c r="F12" s="217">
        <f>+D99</f>
        <v>4829620.8501782725</v>
      </c>
      <c r="G12" s="217">
        <f>+G6</f>
        <v>56870</v>
      </c>
      <c r="H12" s="218">
        <f>+F12/G12</f>
        <v>84.923876387871857</v>
      </c>
      <c r="I12" s="494">
        <f t="shared" si="0"/>
        <v>0.58233419764993211</v>
      </c>
      <c r="U12" s="36" t="s">
        <v>356</v>
      </c>
      <c r="W12" s="228">
        <f>+W10-W11</f>
        <v>-414000</v>
      </c>
      <c r="X12" s="37">
        <f>+X10-X11</f>
        <v>-760000</v>
      </c>
      <c r="Y12" s="37">
        <f>+Y10-Y11</f>
        <v>122000</v>
      </c>
      <c r="Z12" s="37">
        <f>+Z10-Z11</f>
        <v>256000</v>
      </c>
      <c r="AA12" s="37">
        <f>+AA10-AA11</f>
        <v>222000</v>
      </c>
    </row>
    <row r="13" spans="1:27">
      <c r="A13" s="216" t="s">
        <v>493</v>
      </c>
      <c r="B13" s="217"/>
      <c r="C13" s="217">
        <f>+D13+F13-E13</f>
        <v>5648050.3407568103</v>
      </c>
      <c r="D13" s="217">
        <f>+D6</f>
        <v>2518936</v>
      </c>
      <c r="E13" s="217">
        <f>+E6</f>
        <v>207279</v>
      </c>
      <c r="F13" s="217">
        <f>+D147</f>
        <v>3336393.3407568103</v>
      </c>
      <c r="G13" s="217">
        <f>+G6</f>
        <v>56870</v>
      </c>
      <c r="H13" s="218">
        <f>+F13/G13</f>
        <v>58.667018476469323</v>
      </c>
      <c r="I13" s="494">
        <f t="shared" si="0"/>
        <v>9.310636252038984E-2</v>
      </c>
      <c r="U13" s="36"/>
      <c r="W13" s="228"/>
      <c r="X13" s="37"/>
      <c r="Y13" s="37"/>
      <c r="Z13" s="37"/>
      <c r="AA13" s="37"/>
    </row>
    <row r="14" spans="1:27">
      <c r="A14" s="229"/>
      <c r="B14" s="230"/>
      <c r="C14" s="231"/>
      <c r="D14" s="231"/>
      <c r="E14" s="231"/>
      <c r="F14" s="231"/>
      <c r="G14" s="231"/>
      <c r="H14" s="232"/>
      <c r="I14" s="494"/>
      <c r="U14" s="36" t="s">
        <v>357</v>
      </c>
      <c r="W14" s="233">
        <f>+'[1]Historical Analysis'!C14</f>
        <v>-458000</v>
      </c>
      <c r="X14" s="234">
        <f>+'[1]Historical Analysis'!D14</f>
        <v>200000</v>
      </c>
      <c r="Y14" s="234">
        <f>+'[1]Historical Analysis'!E14</f>
        <v>-884000</v>
      </c>
      <c r="Z14" s="234">
        <f>+'[1]Historical Analysis'!F14</f>
        <v>-695000</v>
      </c>
      <c r="AA14" s="234">
        <f>+'[1]Historical Analysis'!G14</f>
        <v>-351000</v>
      </c>
    </row>
    <row r="15" spans="1:27" ht="15" thickBot="1">
      <c r="A15" s="235" t="s">
        <v>358</v>
      </c>
      <c r="B15" s="236"/>
      <c r="C15" s="566">
        <f>AVERAGE(C8:C12)</f>
        <v>5610143.067182716</v>
      </c>
      <c r="D15" s="566"/>
      <c r="E15" s="566"/>
      <c r="F15" s="566">
        <f>AVERAGE(F8:F12)</f>
        <v>3298486.0671827164</v>
      </c>
      <c r="G15" s="566"/>
      <c r="H15" s="567">
        <f>AVERAGE(H8:H12)</f>
        <v>58.000458364387498</v>
      </c>
      <c r="I15" s="568">
        <f t="shared" si="0"/>
        <v>8.0686759165036204E-2</v>
      </c>
      <c r="U15" s="36" t="s">
        <v>9</v>
      </c>
      <c r="W15" s="214">
        <f>+W14+W12</f>
        <v>-872000</v>
      </c>
      <c r="X15" s="237">
        <f>+X14+X12</f>
        <v>-560000</v>
      </c>
      <c r="Y15" s="237">
        <f>+Y14+Y12</f>
        <v>-762000</v>
      </c>
      <c r="Z15" s="237">
        <f>+Z14+Z12</f>
        <v>-439000</v>
      </c>
      <c r="AA15" s="237">
        <f>+AA14+AA12</f>
        <v>-129000</v>
      </c>
    </row>
    <row r="16" spans="1:27" ht="15.5" thickTop="1" thickBot="1">
      <c r="U16" s="36" t="s">
        <v>11</v>
      </c>
      <c r="W16" s="220" t="e">
        <f>+W15-#REF!</f>
        <v>#REF!</v>
      </c>
      <c r="X16" s="221" t="e">
        <f>+X15-#REF!</f>
        <v>#REF!</v>
      </c>
      <c r="Y16" s="221" t="e">
        <f>+Y15-#REF!</f>
        <v>#REF!</v>
      </c>
      <c r="Z16" s="221" t="e">
        <f>+Z15-#REF!</f>
        <v>#REF!</v>
      </c>
      <c r="AA16" s="221" t="e">
        <f>+AA15-#REF!</f>
        <v>#REF!</v>
      </c>
    </row>
    <row r="17" spans="1:27" ht="16" thickTop="1">
      <c r="A17" s="238" t="s">
        <v>345</v>
      </c>
      <c r="B17" s="239"/>
      <c r="C17" s="82"/>
      <c r="D17" s="82"/>
      <c r="E17" s="82"/>
      <c r="F17" s="82"/>
      <c r="G17" s="82"/>
      <c r="H17" s="82"/>
      <c r="I17" s="82"/>
      <c r="U17" s="36" t="s">
        <v>359</v>
      </c>
      <c r="W17" s="240">
        <v>103329.27324401138</v>
      </c>
    </row>
    <row r="18" spans="1:27" ht="14.75" customHeight="1" thickBot="1">
      <c r="U18" s="36" t="s">
        <v>360</v>
      </c>
      <c r="W18" s="241" t="e">
        <f>+W16/W17</f>
        <v>#REF!</v>
      </c>
      <c r="X18" s="37"/>
      <c r="Y18" s="37"/>
      <c r="Z18" s="37"/>
      <c r="AA18" s="37"/>
    </row>
    <row r="19" spans="1:27" ht="44" thickBot="1">
      <c r="A19" s="242" t="s">
        <v>361</v>
      </c>
      <c r="B19" s="243" t="s">
        <v>362</v>
      </c>
      <c r="C19" s="244" t="s">
        <v>477</v>
      </c>
      <c r="D19" s="244" t="s">
        <v>363</v>
      </c>
      <c r="E19" s="244" t="s">
        <v>364</v>
      </c>
      <c r="F19" s="245" t="s">
        <v>365</v>
      </c>
      <c r="G19" s="246" t="s">
        <v>366</v>
      </c>
      <c r="H19" s="247" t="s">
        <v>367</v>
      </c>
      <c r="U19" s="205" t="s">
        <v>344</v>
      </c>
      <c r="V19" s="205"/>
      <c r="W19" s="206">
        <f>+W5</f>
        <v>44012</v>
      </c>
      <c r="X19" s="207">
        <v>43830</v>
      </c>
      <c r="Y19" s="207">
        <v>43465</v>
      </c>
      <c r="Z19" s="207">
        <v>43100</v>
      </c>
      <c r="AA19" s="207">
        <v>42735</v>
      </c>
    </row>
    <row r="20" spans="1:27" ht="20" hidden="1" customHeight="1">
      <c r="A20" s="248" t="s">
        <v>368</v>
      </c>
      <c r="B20" s="249" t="s">
        <v>369</v>
      </c>
      <c r="C20" s="250">
        <v>64.37</v>
      </c>
      <c r="D20" s="251">
        <v>32.695999999999998</v>
      </c>
      <c r="E20" s="252">
        <v>2104.6415200000001</v>
      </c>
      <c r="F20" s="253">
        <v>328.71</v>
      </c>
      <c r="G20" s="254"/>
      <c r="H20" s="255">
        <v>2433.3515200000002</v>
      </c>
      <c r="W20" s="256"/>
    </row>
    <row r="21" spans="1:27" ht="30" hidden="1" customHeight="1">
      <c r="A21" s="257" t="s">
        <v>370</v>
      </c>
      <c r="B21" s="258" t="s">
        <v>371</v>
      </c>
      <c r="C21" s="259">
        <v>30.76</v>
      </c>
      <c r="D21" s="260">
        <v>74.518000000000001</v>
      </c>
      <c r="E21" s="252">
        <v>2292.1736800000003</v>
      </c>
      <c r="F21" s="261">
        <v>402.1</v>
      </c>
      <c r="G21" s="262"/>
      <c r="H21" s="263">
        <v>2694.2736800000002</v>
      </c>
      <c r="W21" s="256"/>
    </row>
    <row r="22" spans="1:27" ht="15.75" hidden="1" customHeight="1">
      <c r="A22" s="257" t="s">
        <v>372</v>
      </c>
      <c r="B22" s="258" t="s">
        <v>373</v>
      </c>
      <c r="C22" s="259">
        <v>24.35</v>
      </c>
      <c r="D22" s="260">
        <v>380.96499999999997</v>
      </c>
      <c r="E22" s="252">
        <v>9276.4977500000005</v>
      </c>
      <c r="F22" s="261">
        <v>3647</v>
      </c>
      <c r="G22" s="262"/>
      <c r="H22" s="263">
        <v>12923.49775</v>
      </c>
      <c r="W22" s="256"/>
    </row>
    <row r="23" spans="1:27" ht="30" hidden="1" customHeight="1">
      <c r="A23" s="257" t="s">
        <v>374</v>
      </c>
      <c r="B23" s="258" t="s">
        <v>375</v>
      </c>
      <c r="C23" s="259">
        <v>23.6</v>
      </c>
      <c r="D23" s="260">
        <v>5.2530000000000001</v>
      </c>
      <c r="E23" s="252">
        <v>123.97080000000001</v>
      </c>
      <c r="F23" s="261">
        <v>765.2</v>
      </c>
      <c r="G23" s="262"/>
      <c r="H23" s="263">
        <v>889.1708000000001</v>
      </c>
      <c r="W23" s="256"/>
    </row>
    <row r="24" spans="1:27" ht="20" hidden="1" customHeight="1">
      <c r="A24" s="257" t="s">
        <v>376</v>
      </c>
      <c r="B24" s="258" t="s">
        <v>377</v>
      </c>
      <c r="C24" s="259">
        <v>8.52</v>
      </c>
      <c r="D24" s="260">
        <v>201.8</v>
      </c>
      <c r="E24" s="252">
        <v>1719.336</v>
      </c>
      <c r="F24" s="261">
        <v>925.61</v>
      </c>
      <c r="G24" s="262"/>
      <c r="H24" s="263">
        <v>2644.9459999999999</v>
      </c>
      <c r="W24" s="256"/>
    </row>
    <row r="25" spans="1:27" ht="20" hidden="1" customHeight="1">
      <c r="A25" s="257" t="s">
        <v>378</v>
      </c>
      <c r="B25" s="259" t="s">
        <v>379</v>
      </c>
      <c r="C25" s="259">
        <v>19.920000000000002</v>
      </c>
      <c r="D25" s="260">
        <v>21.282</v>
      </c>
      <c r="E25" s="252">
        <v>423.93744000000004</v>
      </c>
      <c r="F25" s="261">
        <v>198.43</v>
      </c>
      <c r="G25" s="262"/>
      <c r="H25" s="263">
        <v>622.36743999999999</v>
      </c>
      <c r="W25" s="256"/>
    </row>
    <row r="26" spans="1:27" ht="20" hidden="1" customHeight="1">
      <c r="A26" s="257" t="s">
        <v>380</v>
      </c>
      <c r="B26" s="259" t="s">
        <v>381</v>
      </c>
      <c r="C26" s="259">
        <v>67.510000000000005</v>
      </c>
      <c r="D26" s="260">
        <v>216.71100000000001</v>
      </c>
      <c r="E26" s="252">
        <v>14630.159610000002</v>
      </c>
      <c r="F26" s="261">
        <v>1325</v>
      </c>
      <c r="G26" s="262"/>
      <c r="H26" s="263">
        <v>15955.159610000002</v>
      </c>
      <c r="W26" s="256"/>
    </row>
    <row r="27" spans="1:27" ht="20" hidden="1" customHeight="1">
      <c r="A27" s="257" t="s">
        <v>382</v>
      </c>
      <c r="B27" s="264" t="s">
        <v>383</v>
      </c>
      <c r="C27" s="259">
        <v>28.92</v>
      </c>
      <c r="D27" s="260">
        <v>31.791</v>
      </c>
      <c r="E27" s="252">
        <v>919.3957200000001</v>
      </c>
      <c r="F27" s="261">
        <v>626.63</v>
      </c>
      <c r="G27" s="262"/>
      <c r="H27" s="263">
        <v>1546.0257200000001</v>
      </c>
      <c r="W27" s="256"/>
    </row>
    <row r="28" spans="1:27" ht="31" customHeight="1">
      <c r="A28" s="265" t="s">
        <v>384</v>
      </c>
      <c r="B28" s="266" t="s">
        <v>385</v>
      </c>
      <c r="C28" s="266">
        <f>+H6</f>
        <v>53.67</v>
      </c>
      <c r="D28" s="267">
        <f>+G6</f>
        <v>56870</v>
      </c>
      <c r="E28" s="268">
        <f>+D28*C28</f>
        <v>3052212.9</v>
      </c>
      <c r="F28" s="269">
        <f>'[1]Historical Analysis'!C51+'[1]Historical Analysis'!C47</f>
        <v>3978000</v>
      </c>
      <c r="G28" s="269">
        <f>'[1]Historical Analysis'!C24</f>
        <v>960000</v>
      </c>
      <c r="H28" s="270">
        <f>+E28+F28-G28</f>
        <v>6070212.9000000004</v>
      </c>
      <c r="U28" t="s">
        <v>386</v>
      </c>
      <c r="W28" s="271">
        <f>+'[1]Historical Analysis'!D24</f>
        <v>1207000</v>
      </c>
      <c r="X28" s="213">
        <f>+'[1]Historical Analysis'!E24</f>
        <v>893000</v>
      </c>
      <c r="Y28" s="213">
        <f>+'[1]Historical Analysis'!F24</f>
        <v>570000</v>
      </c>
      <c r="Z28" s="213">
        <f>+'[1]Historical Analysis'!G24</f>
        <v>503000</v>
      </c>
      <c r="AA28" s="213">
        <f>+'[1]Historical Analysis'!H24</f>
        <v>482000</v>
      </c>
    </row>
    <row r="29" spans="1:27" ht="15" thickBot="1">
      <c r="U29" s="272" t="s">
        <v>29</v>
      </c>
      <c r="V29" s="273"/>
      <c r="W29" s="274">
        <f>+'[1]Historical Analysis'!D40</f>
        <v>9129000</v>
      </c>
      <c r="X29" s="275">
        <f>+'[1]Historical Analysis'!E40</f>
        <v>8417000</v>
      </c>
      <c r="Y29" s="275">
        <f>+'[1]Historical Analysis'!F40</f>
        <v>7643000</v>
      </c>
      <c r="Z29" s="275">
        <f>+'[1]Historical Analysis'!G40</f>
        <v>7672000</v>
      </c>
      <c r="AA29" s="275">
        <f>+'[1]Historical Analysis'!H40</f>
        <v>7749000</v>
      </c>
    </row>
    <row r="30" spans="1:27" ht="16" thickTop="1">
      <c r="A30" s="238" t="s">
        <v>347</v>
      </c>
      <c r="B30" s="82"/>
      <c r="C30" s="82"/>
      <c r="D30" s="82"/>
      <c r="E30" s="82"/>
      <c r="F30" s="82"/>
      <c r="G30" s="82"/>
      <c r="H30" s="276"/>
      <c r="U30" t="s">
        <v>77</v>
      </c>
      <c r="W30" s="271">
        <f>+'[1]Historical Analysis'!D35</f>
        <v>980000</v>
      </c>
      <c r="X30" s="213">
        <f>+'[1]Historical Analysis'!E35</f>
        <v>843000</v>
      </c>
      <c r="Y30" s="213">
        <f>+'[1]Historical Analysis'!F35</f>
        <v>735000</v>
      </c>
      <c r="Z30" s="213">
        <f>+'[1]Historical Analysis'!G35</f>
        <v>211000</v>
      </c>
      <c r="AA30" s="213">
        <f>+'[1]Historical Analysis'!H35</f>
        <v>186000</v>
      </c>
    </row>
    <row r="31" spans="1:27">
      <c r="A31" s="277"/>
      <c r="B31" s="278"/>
      <c r="C31" s="278"/>
      <c r="D31" s="278"/>
      <c r="E31" s="278"/>
      <c r="F31" s="278"/>
      <c r="G31" s="278"/>
      <c r="H31" s="236"/>
      <c r="U31" t="s">
        <v>41</v>
      </c>
      <c r="W31" s="271">
        <f>+'[1]Historical Analysis'!D55</f>
        <v>5915000</v>
      </c>
      <c r="X31" s="213">
        <f>+'[1]Historical Analysis'!E55</f>
        <v>4450000</v>
      </c>
      <c r="Y31" s="213">
        <f>+'[1]Historical Analysis'!F55</f>
        <v>3966000</v>
      </c>
      <c r="Z31" s="213">
        <f>+'[1]Historical Analysis'!G55</f>
        <v>4141000</v>
      </c>
      <c r="AA31" s="213">
        <f>+'[1]Historical Analysis'!H55</f>
        <v>3841000</v>
      </c>
    </row>
    <row r="32" spans="1:27" ht="16.5" customHeight="1">
      <c r="A32" s="279" t="s">
        <v>387</v>
      </c>
      <c r="B32" s="236"/>
      <c r="C32" s="278"/>
      <c r="D32" s="279" t="s">
        <v>388</v>
      </c>
      <c r="E32" s="236"/>
      <c r="F32" s="278"/>
      <c r="G32" s="278"/>
      <c r="H32" s="278"/>
      <c r="U32" t="s">
        <v>43</v>
      </c>
      <c r="W32" s="271">
        <f>+W29-W31</f>
        <v>3214000</v>
      </c>
      <c r="X32" s="213">
        <f>+X29-X31</f>
        <v>3967000</v>
      </c>
      <c r="Y32" s="213">
        <f>+Y29-Y31</f>
        <v>3677000</v>
      </c>
      <c r="Z32" s="213">
        <f>+Z29-Z31</f>
        <v>3531000</v>
      </c>
      <c r="AA32" s="213">
        <f>+AA29-AA31</f>
        <v>3908000</v>
      </c>
    </row>
    <row r="33" spans="1:28" ht="16.5" customHeight="1">
      <c r="A33" s="236" t="s">
        <v>389</v>
      </c>
      <c r="B33" s="484">
        <v>0.02</v>
      </c>
      <c r="C33" s="236"/>
      <c r="D33" s="236" t="s">
        <v>390</v>
      </c>
      <c r="E33" s="281">
        <v>0</v>
      </c>
      <c r="F33" s="278" t="s">
        <v>391</v>
      </c>
      <c r="G33" s="278"/>
      <c r="H33" s="278"/>
      <c r="W33" s="213"/>
      <c r="X33" s="213"/>
      <c r="Y33" s="213"/>
      <c r="Z33" s="213"/>
      <c r="AA33" s="213"/>
    </row>
    <row r="34" spans="1:28" ht="16.5" customHeight="1">
      <c r="A34" s="236" t="s">
        <v>392</v>
      </c>
      <c r="B34" s="483">
        <v>2.0099999999999998</v>
      </c>
      <c r="C34" s="236"/>
      <c r="D34" s="236"/>
      <c r="E34" s="281"/>
      <c r="F34" s="282"/>
      <c r="G34" s="278"/>
      <c r="H34" s="278"/>
      <c r="U34" s="196" t="s">
        <v>393</v>
      </c>
      <c r="V34" s="196"/>
      <c r="W34" s="197" t="s">
        <v>75</v>
      </c>
      <c r="X34" s="198"/>
      <c r="Y34" s="198"/>
      <c r="Z34" s="198"/>
      <c r="AA34" s="198"/>
    </row>
    <row r="35" spans="1:28" ht="16.5" customHeight="1" thickBot="1">
      <c r="A35" s="236" t="s">
        <v>394</v>
      </c>
      <c r="B35" s="484">
        <v>5.5E-2</v>
      </c>
      <c r="C35" s="236"/>
      <c r="D35" s="236" t="s">
        <v>395</v>
      </c>
      <c r="E35" s="281">
        <v>70.900000000000006</v>
      </c>
      <c r="F35" s="282" t="s">
        <v>396</v>
      </c>
      <c r="G35" s="278"/>
      <c r="H35" s="278"/>
      <c r="U35" s="205" t="s">
        <v>344</v>
      </c>
      <c r="V35" s="205"/>
      <c r="W35" s="206">
        <f>+W19</f>
        <v>44012</v>
      </c>
      <c r="X35" s="207">
        <v>43830</v>
      </c>
      <c r="Y35" s="207">
        <v>43465</v>
      </c>
      <c r="Z35" s="207">
        <v>43100</v>
      </c>
      <c r="AA35" s="207">
        <v>42735</v>
      </c>
    </row>
    <row r="36" spans="1:28" ht="16.5" customHeight="1" thickBot="1">
      <c r="A36" s="236" t="s">
        <v>397</v>
      </c>
      <c r="B36" s="280">
        <f>+B35+B33</f>
        <v>7.4999999999999997E-2</v>
      </c>
      <c r="C36" s="236"/>
      <c r="D36" s="236" t="s">
        <v>398</v>
      </c>
      <c r="E36" s="280">
        <f>+B37</f>
        <v>0.13055</v>
      </c>
      <c r="F36" s="278"/>
      <c r="G36" s="278"/>
      <c r="H36" s="278"/>
      <c r="U36" s="36" t="s">
        <v>399</v>
      </c>
      <c r="W36" s="283">
        <v>-358000</v>
      </c>
      <c r="X36" s="213">
        <v>-369000</v>
      </c>
      <c r="Y36" s="213">
        <v>-297000</v>
      </c>
      <c r="Z36" s="213">
        <v>-298000</v>
      </c>
      <c r="AA36" s="213">
        <v>-211000</v>
      </c>
    </row>
    <row r="37" spans="1:28" ht="16.5" customHeight="1" thickBot="1">
      <c r="A37" s="284" t="s">
        <v>400</v>
      </c>
      <c r="B37" s="285">
        <f>+B33+B34*B35</f>
        <v>0.13055</v>
      </c>
      <c r="C37" s="236"/>
      <c r="D37" s="286" t="s">
        <v>401</v>
      </c>
      <c r="E37" s="287">
        <f>+(E35+E33)/(1+(E36))</f>
        <v>62.712838883729169</v>
      </c>
      <c r="F37" s="282"/>
      <c r="G37" s="278"/>
      <c r="H37" s="278"/>
      <c r="U37" s="36" t="s">
        <v>402</v>
      </c>
      <c r="W37" s="283">
        <v>363000</v>
      </c>
      <c r="X37" s="213">
        <v>364000</v>
      </c>
      <c r="Y37" s="213">
        <v>327000</v>
      </c>
      <c r="Z37" s="213">
        <v>366000</v>
      </c>
      <c r="AA37" s="213">
        <v>342000</v>
      </c>
    </row>
    <row r="38" spans="1:28" ht="16.5" customHeight="1">
      <c r="A38" s="288"/>
      <c r="B38" s="288"/>
      <c r="C38" s="278"/>
      <c r="D38" s="278"/>
      <c r="E38" s="278"/>
      <c r="F38" s="278"/>
      <c r="G38" s="278"/>
      <c r="H38" s="278"/>
    </row>
    <row r="39" spans="1:28" ht="15.5">
      <c r="A39" s="238" t="s">
        <v>349</v>
      </c>
      <c r="B39" s="82"/>
      <c r="C39" s="82"/>
      <c r="D39" s="82"/>
      <c r="E39" s="82"/>
      <c r="F39" s="82"/>
      <c r="G39" s="82"/>
      <c r="H39" s="276"/>
      <c r="I39" s="276"/>
      <c r="U39" s="196" t="s">
        <v>78</v>
      </c>
      <c r="V39" s="196"/>
      <c r="W39" s="197" t="s">
        <v>75</v>
      </c>
      <c r="X39" s="198"/>
      <c r="Y39" s="198"/>
      <c r="Z39" s="198"/>
      <c r="AA39" s="198"/>
      <c r="AB39" s="196" t="s">
        <v>403</v>
      </c>
    </row>
    <row r="40" spans="1:28" ht="15" thickBot="1">
      <c r="A40" s="289"/>
      <c r="B40" s="289"/>
      <c r="C40" s="289"/>
      <c r="D40" s="289"/>
      <c r="E40" s="289"/>
      <c r="F40" s="289"/>
      <c r="G40" s="289"/>
      <c r="H40" s="289"/>
      <c r="U40" s="205" t="s">
        <v>344</v>
      </c>
      <c r="V40" s="205"/>
      <c r="W40" s="206">
        <f>+W19</f>
        <v>44012</v>
      </c>
      <c r="X40" s="207">
        <v>43830</v>
      </c>
      <c r="Y40" s="207">
        <v>43465</v>
      </c>
      <c r="Z40" s="207">
        <v>43100</v>
      </c>
      <c r="AA40" s="207">
        <v>42735</v>
      </c>
      <c r="AB40" s="207"/>
    </row>
    <row r="41" spans="1:28">
      <c r="A41" s="279" t="s">
        <v>404</v>
      </c>
      <c r="B41" s="289"/>
      <c r="C41" s="289"/>
      <c r="D41" s="279" t="s">
        <v>405</v>
      </c>
      <c r="E41" s="289"/>
      <c r="F41" s="289"/>
      <c r="G41" s="289"/>
      <c r="H41" s="289"/>
      <c r="U41" s="36" t="s">
        <v>406</v>
      </c>
      <c r="W41" s="290">
        <f>+W6/X6-1</f>
        <v>0.46563407550822844</v>
      </c>
      <c r="X41" s="290">
        <f>+X6/Y6-1</f>
        <v>-0.58844621513944229</v>
      </c>
      <c r="Y41" s="290">
        <f>+Y6/Z6-1</f>
        <v>0.12707678491243835</v>
      </c>
      <c r="Z41" s="290">
        <f>+Z6/AA6-1</f>
        <v>-4.9306296691568829E-2</v>
      </c>
      <c r="AB41" s="291">
        <f>AVERAGE(W41:AA41)</f>
        <v>-1.1260412852586082E-2</v>
      </c>
    </row>
    <row r="42" spans="1:28">
      <c r="A42" s="289" t="s">
        <v>407</v>
      </c>
      <c r="B42" s="292">
        <f>+F42</f>
        <v>0</v>
      </c>
      <c r="C42" s="289"/>
      <c r="D42" s="289" t="s">
        <v>408</v>
      </c>
      <c r="E42" s="289"/>
      <c r="F42" s="292">
        <v>0</v>
      </c>
      <c r="G42" s="289" t="s">
        <v>391</v>
      </c>
      <c r="H42" s="289"/>
      <c r="U42" s="36" t="s">
        <v>409</v>
      </c>
      <c r="W42" s="290">
        <f>+W7/W6</f>
        <v>0.85964332892998674</v>
      </c>
      <c r="X42" s="290">
        <f>+X7/X6</f>
        <v>1.000484027105518</v>
      </c>
      <c r="Y42" s="290">
        <f>+Y7/Y6</f>
        <v>0.81215139442231077</v>
      </c>
      <c r="Z42" s="290">
        <f>+Z7/Z6</f>
        <v>0.78019757521329147</v>
      </c>
      <c r="AA42" s="290">
        <f>+AA7/AA6</f>
        <v>0.77652081109925297</v>
      </c>
      <c r="AB42" s="291">
        <f>AVERAGE(W42:AA42)</f>
        <v>0.84579942735407199</v>
      </c>
    </row>
    <row r="43" spans="1:28">
      <c r="A43" s="289" t="s">
        <v>410</v>
      </c>
      <c r="B43" s="293">
        <f>+B37</f>
        <v>0.13055</v>
      </c>
      <c r="C43" s="289"/>
      <c r="D43" s="289" t="s">
        <v>411</v>
      </c>
      <c r="E43" s="289"/>
      <c r="F43" s="292">
        <f>+F44+F42</f>
        <v>53.67</v>
      </c>
      <c r="G43" s="289"/>
      <c r="H43" s="289"/>
      <c r="U43" s="36" t="s">
        <v>412</v>
      </c>
      <c r="W43" s="290">
        <f>+W9/W6</f>
        <v>0.22324966974900926</v>
      </c>
      <c r="X43" s="290">
        <f>+X9/X6</f>
        <v>0.30542110358180058</v>
      </c>
      <c r="Y43" s="290">
        <f>+Y9/Y6</f>
        <v>0.14860557768924304</v>
      </c>
      <c r="Z43" s="290">
        <f>+Z9/Z6</f>
        <v>0.14526268522676247</v>
      </c>
      <c r="AA43" s="290">
        <f>+AA9/AA6</f>
        <v>0.15901814300960512</v>
      </c>
      <c r="AB43" s="291">
        <f>AVERAGE(W43:AA43)</f>
        <v>0.19631143585128408</v>
      </c>
    </row>
    <row r="44" spans="1:28" ht="15" thickBot="1">
      <c r="A44" s="289" t="s">
        <v>413</v>
      </c>
      <c r="B44" s="280">
        <v>7.4999999999999997E-2</v>
      </c>
      <c r="C44" s="289"/>
      <c r="D44" s="289" t="s">
        <v>414</v>
      </c>
      <c r="E44" s="289"/>
      <c r="F44" s="294">
        <f>+C28</f>
        <v>53.67</v>
      </c>
      <c r="G44" s="289"/>
      <c r="H44" s="289"/>
      <c r="U44" s="36" t="s">
        <v>79</v>
      </c>
      <c r="W44" s="290">
        <f>+W37/W6</f>
        <v>0.11988110964332893</v>
      </c>
      <c r="X44" s="290">
        <f>+X37/X6</f>
        <v>0.17618586640851888</v>
      </c>
      <c r="Y44" s="290">
        <f>+Y37/Y6</f>
        <v>6.5139442231075692E-2</v>
      </c>
      <c r="Z44" s="290">
        <f>+Z37/Z6</f>
        <v>8.2173327346205652E-2</v>
      </c>
      <c r="AA44" s="290">
        <f>+AA37/AA6</f>
        <v>7.2998932764140878E-2</v>
      </c>
      <c r="AB44" s="291">
        <f>AVERAGE(W44:AA44)</f>
        <v>0.103275735678654</v>
      </c>
    </row>
    <row r="45" spans="1:28" ht="15" thickBot="1">
      <c r="A45" s="286" t="s">
        <v>415</v>
      </c>
      <c r="B45" s="569" t="s">
        <v>478</v>
      </c>
      <c r="C45" s="289"/>
      <c r="D45" s="236" t="s">
        <v>416</v>
      </c>
      <c r="E45" s="289"/>
      <c r="F45" s="295">
        <f>+(F42+(F43-F44))/F44</f>
        <v>0</v>
      </c>
      <c r="G45" s="289"/>
      <c r="H45" s="289"/>
      <c r="U45" s="36" t="s">
        <v>80</v>
      </c>
      <c r="W45" s="290">
        <f>-W36/W6</f>
        <v>0.11822985468956407</v>
      </c>
      <c r="X45" s="290">
        <f>-X36/X6</f>
        <v>0.17860600193610843</v>
      </c>
      <c r="Y45" s="290">
        <f>-Y36/Y6</f>
        <v>5.9163346613545817E-2</v>
      </c>
      <c r="Z45" s="290">
        <f>-Z36/Z6</f>
        <v>6.690615177368657E-2</v>
      </c>
      <c r="AA45" s="290">
        <f>-AA36/AA6</f>
        <v>4.5037353255069371E-2</v>
      </c>
      <c r="AB45" s="291">
        <f>AVERAGE(W45:AA45)</f>
        <v>9.3588541653594842E-2</v>
      </c>
    </row>
    <row r="46" spans="1:28" ht="18" customHeight="1">
      <c r="A46" s="296"/>
      <c r="B46" s="296"/>
      <c r="C46" s="289"/>
      <c r="D46" s="289"/>
      <c r="E46" s="289"/>
      <c r="F46" s="289"/>
      <c r="G46" s="289"/>
      <c r="H46" s="289"/>
      <c r="W46" s="36"/>
    </row>
    <row r="47" spans="1:28" ht="15.5">
      <c r="A47" s="238" t="s">
        <v>351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28" ht="8.25" customHeight="1">
      <c r="A48" s="297"/>
      <c r="B48" s="230"/>
      <c r="C48" s="230"/>
      <c r="D48" s="230"/>
      <c r="E48" s="230"/>
      <c r="F48" s="230"/>
      <c r="G48" s="230"/>
      <c r="H48" s="230"/>
      <c r="I48" s="230"/>
      <c r="J48" s="230"/>
      <c r="K48" s="230"/>
      <c r="L48" s="36"/>
    </row>
    <row r="49" spans="1:14" ht="14" customHeight="1" thickBot="1">
      <c r="A49" s="298"/>
      <c r="B49" s="230"/>
      <c r="C49" s="299"/>
      <c r="D49" s="299"/>
      <c r="E49" s="299"/>
      <c r="F49" s="299"/>
      <c r="G49" s="299"/>
      <c r="H49" s="230"/>
      <c r="I49" s="230"/>
      <c r="J49" s="230"/>
      <c r="K49" s="230"/>
      <c r="L49" s="36"/>
      <c r="M49" s="300" t="s">
        <v>417</v>
      </c>
      <c r="N49" s="300"/>
    </row>
    <row r="50" spans="1:14" ht="57.75" customHeight="1" thickBot="1">
      <c r="A50" s="301" t="s">
        <v>361</v>
      </c>
      <c r="B50" s="302" t="s">
        <v>362</v>
      </c>
      <c r="C50" s="303" t="s">
        <v>483</v>
      </c>
      <c r="D50" s="304" t="s">
        <v>363</v>
      </c>
      <c r="E50" s="304" t="s">
        <v>418</v>
      </c>
      <c r="F50" s="305" t="s">
        <v>484</v>
      </c>
      <c r="G50" s="306" t="s">
        <v>485</v>
      </c>
      <c r="H50" s="307" t="s">
        <v>367</v>
      </c>
      <c r="I50" s="307" t="s">
        <v>487</v>
      </c>
      <c r="J50" s="307" t="s">
        <v>419</v>
      </c>
      <c r="K50" s="306" t="s">
        <v>420</v>
      </c>
      <c r="L50" s="36"/>
      <c r="M50" s="308"/>
      <c r="N50" s="309"/>
    </row>
    <row r="51" spans="1:14" ht="15.65" customHeight="1">
      <c r="A51" s="310" t="s">
        <v>486</v>
      </c>
      <c r="B51" s="311" t="s">
        <v>479</v>
      </c>
      <c r="C51" s="312">
        <v>44</v>
      </c>
      <c r="D51" s="313">
        <v>86240</v>
      </c>
      <c r="E51" s="313">
        <f t="shared" ref="E51:E53" si="1">+D51*C51</f>
        <v>3794560</v>
      </c>
      <c r="F51" s="314">
        <v>2830000</v>
      </c>
      <c r="G51" s="315">
        <v>335580</v>
      </c>
      <c r="H51" s="316">
        <f t="shared" ref="H51:H53" si="2">+E51+F51-G51</f>
        <v>6288980</v>
      </c>
      <c r="I51" s="316">
        <v>518440</v>
      </c>
      <c r="J51" s="317">
        <f t="shared" ref="J51:J55" si="3">+H51/I51</f>
        <v>12.130584059871923</v>
      </c>
      <c r="K51" s="318">
        <v>2.3199999999999998</v>
      </c>
      <c r="L51" s="36"/>
      <c r="M51" s="319"/>
      <c r="N51" s="320"/>
    </row>
    <row r="52" spans="1:14" ht="15.65" customHeight="1">
      <c r="A52" s="310" t="s">
        <v>488</v>
      </c>
      <c r="B52" s="311" t="s">
        <v>480</v>
      </c>
      <c r="C52" s="312">
        <v>74.77</v>
      </c>
      <c r="D52" s="313">
        <v>75650</v>
      </c>
      <c r="E52" s="313">
        <f t="shared" si="1"/>
        <v>5656350.5</v>
      </c>
      <c r="F52" s="314">
        <v>2240000</v>
      </c>
      <c r="G52" s="315">
        <v>443710</v>
      </c>
      <c r="H52" s="316">
        <f t="shared" si="2"/>
        <v>7452640.5</v>
      </c>
      <c r="I52" s="316">
        <v>603450</v>
      </c>
      <c r="J52" s="317">
        <f t="shared" si="3"/>
        <v>12.350054685558041</v>
      </c>
      <c r="K52" s="318">
        <v>2.2000000000000002</v>
      </c>
      <c r="L52" s="36"/>
      <c r="M52" s="319"/>
      <c r="N52" s="320"/>
    </row>
    <row r="53" spans="1:14" ht="15.65" customHeight="1">
      <c r="A53" s="321" t="s">
        <v>481</v>
      </c>
      <c r="B53" s="322" t="s">
        <v>482</v>
      </c>
      <c r="C53" s="323">
        <v>50.44</v>
      </c>
      <c r="D53" s="324">
        <v>48570</v>
      </c>
      <c r="E53" s="313">
        <f t="shared" si="1"/>
        <v>2449870.7999999998</v>
      </c>
      <c r="F53" s="325">
        <v>1760000</v>
      </c>
      <c r="G53" s="326">
        <v>25791</v>
      </c>
      <c r="H53" s="316">
        <f t="shared" si="2"/>
        <v>4184079.8</v>
      </c>
      <c r="I53" s="316">
        <v>330250</v>
      </c>
      <c r="J53" s="317">
        <f t="shared" si="3"/>
        <v>12.669431642694928</v>
      </c>
      <c r="K53" s="327">
        <v>1.87</v>
      </c>
      <c r="L53" s="36"/>
      <c r="M53" s="319"/>
      <c r="N53" s="328"/>
    </row>
    <row r="54" spans="1:14" ht="15.65" customHeight="1">
      <c r="A54" s="321"/>
      <c r="B54" s="322"/>
      <c r="C54" s="323"/>
      <c r="D54" s="324"/>
      <c r="E54" s="313"/>
      <c r="F54" s="325"/>
      <c r="G54" s="326"/>
      <c r="H54" s="316"/>
      <c r="I54" s="316"/>
      <c r="J54" s="317"/>
      <c r="K54" s="327"/>
      <c r="L54" s="36"/>
      <c r="M54" s="319"/>
      <c r="N54" s="328"/>
    </row>
    <row r="55" spans="1:14" ht="15.65" customHeight="1">
      <c r="A55" s="321" t="s">
        <v>489</v>
      </c>
      <c r="B55" s="329" t="s">
        <v>490</v>
      </c>
      <c r="C55" s="323">
        <v>140.11000000000001</v>
      </c>
      <c r="D55" s="324">
        <v>1820000</v>
      </c>
      <c r="E55" s="313">
        <f>+D55*C55</f>
        <v>255000200.00000003</v>
      </c>
      <c r="F55" s="325">
        <v>54130000</v>
      </c>
      <c r="G55" s="326">
        <v>14440000</v>
      </c>
      <c r="H55" s="316">
        <f>+E55+F55-G55</f>
        <v>294690200</v>
      </c>
      <c r="I55" s="316">
        <v>10560000</v>
      </c>
      <c r="J55" s="317">
        <f t="shared" si="3"/>
        <v>27.906268939393939</v>
      </c>
      <c r="K55" s="327" t="s">
        <v>491</v>
      </c>
      <c r="L55" s="36"/>
      <c r="M55" s="319"/>
      <c r="N55" s="328"/>
    </row>
    <row r="56" spans="1:14" ht="15.65" customHeight="1">
      <c r="A56" s="321"/>
      <c r="B56" s="329"/>
      <c r="C56" s="323"/>
      <c r="D56" s="324"/>
      <c r="E56" s="313"/>
      <c r="F56" s="325"/>
      <c r="G56" s="326"/>
      <c r="H56" s="316"/>
      <c r="I56" s="316"/>
      <c r="J56" s="317"/>
      <c r="K56" s="327"/>
      <c r="L56" s="36"/>
      <c r="M56" s="319"/>
      <c r="N56" s="328"/>
    </row>
    <row r="57" spans="1:14" ht="9.5" customHeight="1" thickBot="1">
      <c r="A57" s="330"/>
      <c r="B57" s="330"/>
      <c r="C57" s="330"/>
      <c r="D57" s="330"/>
      <c r="E57" s="330"/>
      <c r="F57" s="330"/>
      <c r="G57" s="330"/>
      <c r="H57" s="330"/>
      <c r="I57" s="330"/>
      <c r="J57" s="331"/>
      <c r="K57" s="332"/>
      <c r="L57" s="36"/>
      <c r="M57" s="36"/>
    </row>
    <row r="58" spans="1:14" ht="15.65" customHeight="1" thickBot="1">
      <c r="A58" s="333" t="str">
        <f>+A1</f>
        <v>CEDAR FAIR, L.P. (FUN)</v>
      </c>
      <c r="B58" s="334" t="s">
        <v>385</v>
      </c>
      <c r="C58" s="335">
        <f>+C28</f>
        <v>53.67</v>
      </c>
      <c r="D58" s="336">
        <f>D28</f>
        <v>56870</v>
      </c>
      <c r="E58" s="336">
        <f>+D58*C58</f>
        <v>3052212.9</v>
      </c>
      <c r="F58" s="337">
        <f>+F28</f>
        <v>3978000</v>
      </c>
      <c r="G58" s="338">
        <f>+G28</f>
        <v>960000</v>
      </c>
      <c r="H58" s="339">
        <f>+F58+E58-G58</f>
        <v>6070212.9000000004</v>
      </c>
      <c r="I58" s="337">
        <f>+'Historical Analysis'!C86</f>
        <v>307753</v>
      </c>
      <c r="J58" s="340">
        <f>+H58/I58</f>
        <v>19.724301306567281</v>
      </c>
      <c r="K58" s="341">
        <f>+B34</f>
        <v>2.0099999999999998</v>
      </c>
      <c r="L58" s="36"/>
      <c r="M58" s="319"/>
    </row>
    <row r="59" spans="1:14">
      <c r="A59" s="342"/>
      <c r="B59" s="343"/>
      <c r="C59" s="344"/>
      <c r="D59" s="344"/>
      <c r="E59" s="343"/>
      <c r="F59" s="343"/>
      <c r="G59" s="343"/>
      <c r="H59" s="343"/>
      <c r="I59" s="343"/>
      <c r="J59" s="345"/>
      <c r="K59" s="343"/>
    </row>
    <row r="60" spans="1:14">
      <c r="A60" s="342" t="s">
        <v>421</v>
      </c>
      <c r="B60" s="346">
        <f>+I58</f>
        <v>307753</v>
      </c>
      <c r="C60" s="347">
        <f>+J60</f>
        <v>12.38335679604163</v>
      </c>
      <c r="D60" s="348"/>
      <c r="E60" s="343"/>
      <c r="F60" s="343"/>
      <c r="G60" s="343"/>
      <c r="H60" s="343"/>
      <c r="I60" s="390" t="s">
        <v>522</v>
      </c>
      <c r="J60" s="347">
        <f>AVERAGE(J51:J53)</f>
        <v>12.38335679604163</v>
      </c>
      <c r="K60" s="347">
        <f>AVERAGE(K51:K58)</f>
        <v>2.0999999999999996</v>
      </c>
      <c r="L60" s="349"/>
    </row>
    <row r="61" spans="1:14" ht="15" thickBot="1">
      <c r="A61" s="342"/>
      <c r="B61" s="343"/>
      <c r="C61" s="343"/>
      <c r="D61" s="343"/>
      <c r="E61" s="342"/>
      <c r="F61" s="350"/>
      <c r="G61" s="350"/>
      <c r="H61" s="343"/>
      <c r="I61" s="390" t="s">
        <v>523</v>
      </c>
      <c r="J61" s="347">
        <f>AVERAGE(J51:J55)</f>
        <v>16.264084831879707</v>
      </c>
      <c r="K61" s="343"/>
    </row>
    <row r="62" spans="1:14" ht="15" thickBot="1">
      <c r="A62" s="351" t="s">
        <v>492</v>
      </c>
      <c r="B62" s="352">
        <f>+B60*C60</f>
        <v>3811015.2040521996</v>
      </c>
      <c r="C62" s="353" t="s">
        <v>423</v>
      </c>
      <c r="D62" s="354">
        <f>+H10</f>
        <v>26.36465982156145</v>
      </c>
      <c r="E62" s="342"/>
      <c r="F62" s="350"/>
      <c r="G62" s="350"/>
      <c r="H62" s="343"/>
      <c r="I62" s="343"/>
      <c r="J62" s="355"/>
      <c r="K62" s="355"/>
    </row>
    <row r="63" spans="1:14">
      <c r="A63" s="230"/>
      <c r="B63" s="230"/>
      <c r="C63" s="230"/>
      <c r="D63" s="230"/>
      <c r="E63" s="230"/>
      <c r="F63" s="230"/>
      <c r="G63" s="230"/>
      <c r="H63" s="230"/>
      <c r="I63" s="230"/>
      <c r="J63" s="230"/>
      <c r="K63" s="230"/>
    </row>
    <row r="64" spans="1:14" ht="15.5">
      <c r="A64" s="356" t="s">
        <v>424</v>
      </c>
      <c r="B64" s="357"/>
      <c r="C64" s="357"/>
      <c r="D64" s="357"/>
      <c r="E64" s="357"/>
      <c r="F64" s="357"/>
      <c r="G64" s="357"/>
      <c r="H64" s="357"/>
      <c r="I64" s="357"/>
      <c r="J64" s="357"/>
      <c r="K64" s="357"/>
    </row>
    <row r="65" spans="1:25" ht="4.5" customHeight="1">
      <c r="A65" s="230"/>
      <c r="B65" s="230"/>
      <c r="C65" s="230"/>
      <c r="D65" s="230"/>
      <c r="E65" s="230"/>
      <c r="F65" s="230"/>
      <c r="G65" s="230"/>
      <c r="H65" s="230"/>
      <c r="I65" s="230"/>
      <c r="J65" s="230"/>
    </row>
    <row r="66" spans="1:25" ht="11.25" customHeight="1" thickBot="1">
      <c r="A66" s="230"/>
      <c r="B66" s="230"/>
      <c r="C66" s="299"/>
      <c r="D66" s="299"/>
      <c r="E66" s="299"/>
      <c r="F66" s="299"/>
      <c r="G66" s="299"/>
      <c r="H66" s="358"/>
      <c r="I66" s="299"/>
      <c r="J66" s="230"/>
      <c r="X66" s="187"/>
      <c r="Y66" s="187"/>
    </row>
    <row r="67" spans="1:25" ht="45" customHeight="1" thickBot="1">
      <c r="A67" s="359" t="s">
        <v>425</v>
      </c>
      <c r="B67" s="360" t="s">
        <v>426</v>
      </c>
      <c r="C67" s="361"/>
      <c r="D67" s="362" t="s">
        <v>427</v>
      </c>
      <c r="E67" s="363" t="s">
        <v>359</v>
      </c>
      <c r="F67" s="363" t="s">
        <v>428</v>
      </c>
      <c r="G67" s="363" t="s">
        <v>429</v>
      </c>
      <c r="H67" s="363" t="s">
        <v>430</v>
      </c>
      <c r="I67" s="363" t="s">
        <v>431</v>
      </c>
      <c r="J67" s="364" t="s">
        <v>419</v>
      </c>
    </row>
    <row r="68" spans="1:25" s="373" customFormat="1" ht="14.5" customHeight="1">
      <c r="A68" s="365"/>
      <c r="B68" s="366"/>
      <c r="C68" s="367"/>
      <c r="D68" s="368"/>
      <c r="E68" s="369"/>
      <c r="F68" s="370"/>
      <c r="G68" s="371"/>
      <c r="H68" s="370"/>
      <c r="I68" s="370"/>
      <c r="J68" s="372"/>
      <c r="K68"/>
      <c r="M68" s="187"/>
      <c r="N68"/>
      <c r="O68"/>
      <c r="P68"/>
      <c r="Q68"/>
      <c r="R68"/>
      <c r="S68"/>
    </row>
    <row r="69" spans="1:25" s="373" customFormat="1" ht="14.5" customHeight="1">
      <c r="A69" s="365"/>
      <c r="B69" s="366"/>
      <c r="C69" s="367"/>
      <c r="D69" s="368"/>
      <c r="E69" s="369"/>
      <c r="F69" s="370"/>
      <c r="G69" s="371"/>
      <c r="H69" s="370"/>
      <c r="I69" s="370"/>
      <c r="J69" s="372"/>
      <c r="K69"/>
      <c r="M69" s="187"/>
      <c r="N69"/>
      <c r="O69"/>
      <c r="P69"/>
      <c r="Q69"/>
      <c r="R69"/>
      <c r="S69"/>
    </row>
    <row r="70" spans="1:25" s="373" customFormat="1" ht="14.5" customHeight="1" thickBot="1">
      <c r="A70" s="375"/>
      <c r="B70" s="376"/>
      <c r="C70" s="377"/>
      <c r="D70" s="378"/>
      <c r="E70" s="379"/>
      <c r="F70" s="380"/>
      <c r="G70" s="381"/>
      <c r="H70" s="382"/>
      <c r="I70" s="380"/>
      <c r="J70" s="383"/>
      <c r="K70" s="374"/>
      <c r="M70" s="187"/>
      <c r="N70"/>
      <c r="O70"/>
      <c r="P70"/>
      <c r="Q70"/>
      <c r="R70"/>
      <c r="S70"/>
    </row>
    <row r="71" spans="1:25" ht="15" thickBot="1">
      <c r="A71" s="230"/>
      <c r="B71" s="230"/>
      <c r="C71" s="230"/>
      <c r="D71" s="230"/>
      <c r="E71" s="230"/>
      <c r="F71" s="230"/>
      <c r="G71" s="230"/>
      <c r="H71" s="230"/>
      <c r="I71" s="384" t="s">
        <v>422</v>
      </c>
      <c r="J71" s="385"/>
      <c r="K71" s="349"/>
    </row>
    <row r="72" spans="1:25" ht="13.25" customHeight="1" thickBot="1">
      <c r="A72" s="386" t="s">
        <v>492</v>
      </c>
      <c r="B72" s="387"/>
      <c r="C72" s="388" t="s">
        <v>423</v>
      </c>
      <c r="D72" s="389"/>
      <c r="E72" s="230"/>
      <c r="F72" s="343"/>
      <c r="G72" s="355"/>
      <c r="H72" s="390"/>
      <c r="I72" s="391">
        <f>+I58</f>
        <v>307753</v>
      </c>
      <c r="J72" s="392"/>
    </row>
    <row r="74" spans="1:25" ht="15.5">
      <c r="A74" s="356" t="s">
        <v>355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</row>
    <row r="75" spans="1:25" ht="11.5" customHeight="1">
      <c r="A75" s="393"/>
      <c r="B75" s="394"/>
      <c r="C75" s="394"/>
      <c r="D75" s="395" t="s">
        <v>432</v>
      </c>
      <c r="E75" s="396">
        <v>1</v>
      </c>
      <c r="F75" s="396">
        <v>2</v>
      </c>
      <c r="G75" s="396">
        <v>3</v>
      </c>
      <c r="H75" s="396">
        <v>4</v>
      </c>
      <c r="I75" s="396">
        <v>5</v>
      </c>
      <c r="J75" s="396">
        <v>6</v>
      </c>
      <c r="K75" s="397"/>
    </row>
    <row r="76" spans="1:25" ht="15" thickBot="1">
      <c r="A76" s="398"/>
      <c r="B76" s="399" t="s">
        <v>433</v>
      </c>
      <c r="C76" s="400"/>
      <c r="D76" s="400"/>
      <c r="E76" s="399" t="s">
        <v>93</v>
      </c>
      <c r="F76" s="400"/>
      <c r="G76" s="400"/>
      <c r="H76" s="401"/>
      <c r="I76" s="402" t="s">
        <v>434</v>
      </c>
      <c r="J76" s="403"/>
      <c r="K76" s="397"/>
    </row>
    <row r="77" spans="1:25" ht="15" thickBot="1">
      <c r="A77" s="404"/>
      <c r="B77" s="405">
        <v>43830</v>
      </c>
      <c r="C77" s="406">
        <v>44196</v>
      </c>
      <c r="D77" s="406">
        <v>44561</v>
      </c>
      <c r="E77" s="487">
        <v>44926</v>
      </c>
      <c r="F77" s="407">
        <f>+E77+365</f>
        <v>45291</v>
      </c>
      <c r="G77" s="407">
        <f>+F77+365</f>
        <v>45656</v>
      </c>
      <c r="H77" s="488">
        <f>+G77+366</f>
        <v>46022</v>
      </c>
      <c r="I77" s="408">
        <f>+H77+365</f>
        <v>46387</v>
      </c>
      <c r="J77" s="409">
        <f>+I77+365</f>
        <v>46752</v>
      </c>
      <c r="K77" s="397"/>
    </row>
    <row r="78" spans="1:25">
      <c r="A78" s="230" t="s">
        <v>435</v>
      </c>
      <c r="B78" s="410">
        <f>+Projections!J7</f>
        <v>1474925</v>
      </c>
      <c r="C78" s="410">
        <f>+Projections!K7</f>
        <v>181555</v>
      </c>
      <c r="D78" s="410">
        <f>+Projections!L7</f>
        <v>1338219</v>
      </c>
      <c r="E78" s="489">
        <f>+Projections!M7</f>
        <v>1472040.9000000001</v>
      </c>
      <c r="F78" s="410">
        <f>+Projections!N7</f>
        <v>1545642.9450000003</v>
      </c>
      <c r="G78" s="410">
        <f>+Projections!O7</f>
        <v>1622925.0922500005</v>
      </c>
      <c r="H78" s="411">
        <f>+Projections!P7</f>
        <v>1704071.3468625005</v>
      </c>
      <c r="I78" s="412">
        <f>+Projections!Q7</f>
        <v>1789274.9142056257</v>
      </c>
      <c r="J78" s="410">
        <f>+Projections!R7</f>
        <v>1878738.6599159071</v>
      </c>
      <c r="K78" s="397"/>
    </row>
    <row r="79" spans="1:25">
      <c r="A79" s="230" t="s">
        <v>81</v>
      </c>
      <c r="B79" s="413"/>
      <c r="C79" s="413">
        <f>+C78/B78-1</f>
        <v>-0.87690560536976458</v>
      </c>
      <c r="D79" s="413">
        <f>+D78/C78-1</f>
        <v>6.370873839883231</v>
      </c>
      <c r="E79" s="490">
        <f>E78/D78-1</f>
        <v>0.10000000000000009</v>
      </c>
      <c r="F79" s="413">
        <f t="shared" ref="F79:J79" si="4">F78/E78-1</f>
        <v>5.0000000000000044E-2</v>
      </c>
      <c r="G79" s="413">
        <f t="shared" si="4"/>
        <v>5.0000000000000044E-2</v>
      </c>
      <c r="H79" s="414">
        <f t="shared" si="4"/>
        <v>5.0000000000000044E-2</v>
      </c>
      <c r="I79" s="415">
        <f t="shared" si="4"/>
        <v>5.0000000000000044E-2</v>
      </c>
      <c r="J79" s="413">
        <f t="shared" si="4"/>
        <v>5.0000000000000044E-2</v>
      </c>
      <c r="K79" s="397"/>
      <c r="L79" s="416"/>
    </row>
    <row r="80" spans="1:25">
      <c r="A80" s="230" t="s">
        <v>436</v>
      </c>
      <c r="B80" s="410">
        <f>-Projections!J10</f>
        <v>-126264</v>
      </c>
      <c r="C80" s="410">
        <f>-Projections!K10</f>
        <v>-27991</v>
      </c>
      <c r="D80" s="410">
        <f>-Projections!L10</f>
        <v>-112466</v>
      </c>
      <c r="E80" s="489">
        <f>-Projections!M10</f>
        <v>-123712.6</v>
      </c>
      <c r="F80" s="410">
        <f>-Projections!N10</f>
        <v>-130222.28937039913</v>
      </c>
      <c r="G80" s="410">
        <f>-Projections!O10</f>
        <v>-136733.4038389191</v>
      </c>
      <c r="H80" s="411">
        <f>-Projections!P10</f>
        <v>-143570.07403086507</v>
      </c>
      <c r="I80" s="412">
        <f>-Projections!Q10</f>
        <v>-150748.57773240833</v>
      </c>
      <c r="J80" s="410">
        <f>-Projections!R10</f>
        <v>-158286.00661902875</v>
      </c>
      <c r="K80" s="397"/>
    </row>
    <row r="81" spans="1:24">
      <c r="A81" s="230" t="s">
        <v>437</v>
      </c>
      <c r="B81" s="417">
        <f>-Projections!J14</f>
        <v>-1034908</v>
      </c>
      <c r="C81" s="417">
        <f>-Projections!K14</f>
        <v>-613449</v>
      </c>
      <c r="D81" s="417">
        <f>-Projections!L14</f>
        <v>-1066803</v>
      </c>
      <c r="E81" s="491">
        <f>-Projections!M14</f>
        <v>-977001.12904763676</v>
      </c>
      <c r="F81" s="417">
        <f>-Projections!N14</f>
        <v>-1025851.1855000188</v>
      </c>
      <c r="G81" s="417">
        <f>-Projections!O14</f>
        <v>-1077143.7447750198</v>
      </c>
      <c r="H81" s="418">
        <f>-Projections!P14</f>
        <v>-1131000.9320137708</v>
      </c>
      <c r="I81" s="419">
        <f>-Projections!Q14</f>
        <v>-1187550.9786144595</v>
      </c>
      <c r="J81" s="417">
        <f>-Projections!R14</f>
        <v>-1246928.5275451825</v>
      </c>
      <c r="K81" s="397"/>
    </row>
    <row r="82" spans="1:24" ht="15" thickBot="1">
      <c r="A82" s="230" t="s">
        <v>438</v>
      </c>
      <c r="B82" s="420">
        <f t="shared" ref="B82:C82" si="5">SUM(B78:B81)</f>
        <v>313753</v>
      </c>
      <c r="C82" s="420">
        <f t="shared" si="5"/>
        <v>-459885.87690560537</v>
      </c>
      <c r="D82" s="420">
        <f>SUM(D78:D81)</f>
        <v>158956.37087383983</v>
      </c>
      <c r="E82" s="489">
        <f>E78+E80+E81</f>
        <v>371327.17095236329</v>
      </c>
      <c r="F82" s="410">
        <f>F78+F80+F81</f>
        <v>389569.47012958233</v>
      </c>
      <c r="G82" s="410">
        <f t="shared" ref="G82:J82" si="6">G78+G80+G81</f>
        <v>409047.94363606162</v>
      </c>
      <c r="H82" s="411">
        <f t="shared" si="6"/>
        <v>429500.34081786475</v>
      </c>
      <c r="I82" s="412">
        <f t="shared" si="6"/>
        <v>450975.35785875772</v>
      </c>
      <c r="J82" s="410">
        <f t="shared" si="6"/>
        <v>473524.12575169583</v>
      </c>
      <c r="K82" s="397"/>
      <c r="X82" s="37"/>
    </row>
    <row r="83" spans="1:24" ht="15" thickBot="1">
      <c r="A83" s="230" t="s">
        <v>439</v>
      </c>
      <c r="B83" s="421">
        <v>0.22</v>
      </c>
      <c r="C83" s="230"/>
      <c r="D83" s="420"/>
      <c r="E83" s="489">
        <f>-E82*$B$83</f>
        <v>-81691.977609519919</v>
      </c>
      <c r="F83" s="410">
        <f t="shared" ref="F83:J83" si="7">-F82*$B$83</f>
        <v>-85705.283428508119</v>
      </c>
      <c r="G83" s="410">
        <f t="shared" si="7"/>
        <v>-89990.547599933561</v>
      </c>
      <c r="H83" s="411">
        <f t="shared" si="7"/>
        <v>-94490.074979930243</v>
      </c>
      <c r="I83" s="412">
        <f t="shared" si="7"/>
        <v>-99214.578728926703</v>
      </c>
      <c r="J83" s="410">
        <f t="shared" si="7"/>
        <v>-104175.30766537308</v>
      </c>
      <c r="K83" s="397"/>
    </row>
    <row r="84" spans="1:24">
      <c r="A84" s="230" t="s">
        <v>440</v>
      </c>
      <c r="B84" s="230"/>
      <c r="C84" s="230"/>
      <c r="D84" s="486"/>
      <c r="E84" s="489">
        <f>+Projections!M24</f>
        <v>162866.13338650326</v>
      </c>
      <c r="F84" s="410">
        <f>+Projections!N24</f>
        <v>171009.44005582845</v>
      </c>
      <c r="G84" s="410">
        <f>+Projections!O24</f>
        <v>179559.91205861987</v>
      </c>
      <c r="H84" s="411">
        <f>+Projections!P24</f>
        <v>188537.90766155088</v>
      </c>
      <c r="I84" s="412">
        <f>+Projections!Q24</f>
        <v>197964.80304462844</v>
      </c>
      <c r="J84" s="410">
        <f>+Projections!R24</f>
        <v>207863.04319685989</v>
      </c>
      <c r="K84" s="397"/>
    </row>
    <row r="85" spans="1:24">
      <c r="A85" s="230" t="s">
        <v>441</v>
      </c>
      <c r="B85" s="230"/>
      <c r="C85" s="230"/>
      <c r="D85" s="486"/>
      <c r="E85" s="489">
        <f>+Projections!M25</f>
        <v>10144.614717570379</v>
      </c>
      <c r="F85" s="410">
        <f>+Projections!N25</f>
        <v>10651.845453448899</v>
      </c>
      <c r="G85" s="410">
        <f>+Projections!O25</f>
        <v>11184.437726121345</v>
      </c>
      <c r="H85" s="411">
        <f>+Projections!P25</f>
        <v>11743.659612427413</v>
      </c>
      <c r="I85" s="412">
        <f>+Projections!Q25</f>
        <v>12330.842593048783</v>
      </c>
      <c r="J85" s="410">
        <f>+Projections!R25</f>
        <v>12947.384722701223</v>
      </c>
      <c r="K85" s="397"/>
    </row>
    <row r="86" spans="1:24">
      <c r="A86" s="230" t="s">
        <v>442</v>
      </c>
      <c r="B86" s="230"/>
      <c r="C86" s="230"/>
      <c r="D86" s="486"/>
      <c r="E86" s="489">
        <f>Projections!M26</f>
        <v>-205012.41153783826</v>
      </c>
      <c r="F86" s="410">
        <f>Projections!N26</f>
        <v>-215263.03211473019</v>
      </c>
      <c r="G86" s="410">
        <f>Projections!O26</f>
        <v>-226026.18372046671</v>
      </c>
      <c r="H86" s="411">
        <f>Projections!P26</f>
        <v>-237327.49290649005</v>
      </c>
      <c r="I86" s="412">
        <f>Projections!Q26</f>
        <v>-249193.86755181456</v>
      </c>
      <c r="J86" s="410">
        <f>Projections!R26</f>
        <v>-261653.56092940533</v>
      </c>
      <c r="K86" s="397"/>
    </row>
    <row r="87" spans="1:24" ht="15" thickBot="1">
      <c r="A87" s="230" t="s">
        <v>443</v>
      </c>
      <c r="B87" s="230"/>
      <c r="C87" s="230"/>
      <c r="D87" s="486"/>
      <c r="E87" s="424">
        <f>SUM(E82:E86)</f>
        <v>257633.52990907876</v>
      </c>
      <c r="F87" s="422">
        <f t="shared" ref="F87:J87" si="8">SUM(F82:F86)</f>
        <v>270262.44009562139</v>
      </c>
      <c r="G87" s="422">
        <f t="shared" si="8"/>
        <v>283775.56210040255</v>
      </c>
      <c r="H87" s="492">
        <f t="shared" si="8"/>
        <v>297964.34020542278</v>
      </c>
      <c r="I87" s="423">
        <f t="shared" si="8"/>
        <v>312862.55721569376</v>
      </c>
      <c r="J87" s="424">
        <f t="shared" si="8"/>
        <v>328505.68507647858</v>
      </c>
      <c r="K87" s="397"/>
    </row>
    <row r="88" spans="1:24" ht="7.5" customHeight="1" thickTop="1">
      <c r="A88" s="425"/>
      <c r="B88" s="425"/>
      <c r="C88" s="425"/>
      <c r="D88" s="417"/>
      <c r="E88" s="417"/>
      <c r="F88" s="417"/>
      <c r="G88" s="417"/>
      <c r="H88" s="417"/>
      <c r="I88" s="419"/>
      <c r="J88" s="410"/>
      <c r="K88" s="397"/>
    </row>
    <row r="89" spans="1:24">
      <c r="A89" s="426" t="s">
        <v>76</v>
      </c>
      <c r="B89" s="426"/>
      <c r="C89" s="426"/>
      <c r="D89" s="427">
        <f>+Projections!L34</f>
        <v>307753</v>
      </c>
      <c r="E89" s="427">
        <f>E82+E84</f>
        <v>534193.30433886661</v>
      </c>
      <c r="F89" s="427">
        <f t="shared" ref="F89:J89" si="9">F82+F84</f>
        <v>560578.91018541076</v>
      </c>
      <c r="G89" s="427">
        <f t="shared" si="9"/>
        <v>588607.85569468152</v>
      </c>
      <c r="H89" s="427">
        <f t="shared" si="9"/>
        <v>618038.24847941566</v>
      </c>
      <c r="I89" s="428">
        <f t="shared" si="9"/>
        <v>648940.16090338619</v>
      </c>
      <c r="J89" s="429">
        <f t="shared" si="9"/>
        <v>681387.16894855571</v>
      </c>
      <c r="K89" s="397"/>
    </row>
    <row r="90" spans="1:24" ht="12" customHeight="1">
      <c r="A90" s="430" t="s">
        <v>444</v>
      </c>
      <c r="B90" s="430"/>
      <c r="C90" s="430"/>
      <c r="D90" s="431">
        <f>+D6</f>
        <v>2518936</v>
      </c>
      <c r="E90" s="431">
        <f>[1]Projections!O46</f>
        <v>3779100</v>
      </c>
      <c r="F90" s="431">
        <f>[1]Projections!P46</f>
        <v>3580200</v>
      </c>
      <c r="G90" s="431">
        <f>[1]Projections!Q46</f>
        <v>3381300</v>
      </c>
      <c r="H90" s="431">
        <f>[1]Projections!R46</f>
        <v>3182400</v>
      </c>
      <c r="I90" s="432">
        <f>[1]Projections!S46</f>
        <v>2983500</v>
      </c>
      <c r="J90" s="433">
        <f>[1]Projections!T46</f>
        <v>2784600</v>
      </c>
      <c r="K90" s="397"/>
    </row>
    <row r="91" spans="1:24" ht="7.5" customHeight="1">
      <c r="A91" s="230"/>
      <c r="B91" s="230"/>
      <c r="C91" s="230"/>
      <c r="D91" s="230"/>
      <c r="E91" s="230"/>
      <c r="F91" s="230"/>
      <c r="G91" s="230"/>
      <c r="H91" s="230"/>
      <c r="I91" s="434"/>
      <c r="J91" s="230"/>
      <c r="K91" s="397"/>
    </row>
    <row r="92" spans="1:24" ht="15" thickBot="1">
      <c r="A92" s="435" t="s">
        <v>445</v>
      </c>
      <c r="B92" s="436" t="s">
        <v>446</v>
      </c>
      <c r="C92" s="230"/>
      <c r="D92" s="437" t="s">
        <v>447</v>
      </c>
      <c r="E92" s="230"/>
      <c r="F92" s="230"/>
      <c r="G92" s="230"/>
      <c r="H92" s="230"/>
      <c r="I92" s="434"/>
      <c r="J92" s="230"/>
      <c r="K92" s="397"/>
    </row>
    <row r="93" spans="1:24">
      <c r="A93" s="230" t="s">
        <v>448</v>
      </c>
      <c r="B93" s="392">
        <f>+J60</f>
        <v>12.38335679604163</v>
      </c>
      <c r="C93" s="230"/>
      <c r="D93" s="438"/>
      <c r="E93" s="439" t="s">
        <v>449</v>
      </c>
      <c r="F93" s="230"/>
      <c r="G93" s="230"/>
      <c r="H93" s="230"/>
      <c r="I93" s="440">
        <f>+B93*I89</f>
        <v>8036057.551747296</v>
      </c>
      <c r="J93" s="230"/>
      <c r="K93" s="397"/>
    </row>
    <row r="94" spans="1:24">
      <c r="A94" s="230" t="s">
        <v>450</v>
      </c>
      <c r="B94" s="441">
        <f>J105</f>
        <v>7.7097431017345147E-2</v>
      </c>
      <c r="C94" s="230" t="s">
        <v>451</v>
      </c>
      <c r="D94" s="442">
        <v>0.05</v>
      </c>
      <c r="E94" s="439" t="s">
        <v>452</v>
      </c>
      <c r="F94" s="230"/>
      <c r="G94" s="230"/>
      <c r="H94" s="230"/>
      <c r="I94" s="412">
        <f>J87/(B94-D94)</f>
        <v>12123130.228330543</v>
      </c>
      <c r="J94" s="230"/>
      <c r="K94" s="397"/>
    </row>
    <row r="95" spans="1:24">
      <c r="A95" s="230" t="s">
        <v>422</v>
      </c>
      <c r="B95" s="230"/>
      <c r="C95" s="230"/>
      <c r="D95" s="443"/>
      <c r="E95" s="230"/>
      <c r="F95" s="230"/>
      <c r="G95" s="230"/>
      <c r="H95" s="230"/>
      <c r="I95" s="444">
        <f>AVERAGE(I93:I94)</f>
        <v>10079593.890038919</v>
      </c>
      <c r="J95" s="230"/>
      <c r="K95" s="397"/>
    </row>
    <row r="96" spans="1:24">
      <c r="A96" s="230" t="s">
        <v>453</v>
      </c>
      <c r="B96" s="230"/>
      <c r="C96" s="230"/>
      <c r="D96" s="231"/>
      <c r="E96" s="230"/>
      <c r="F96" s="230"/>
      <c r="G96" s="230"/>
      <c r="H96" s="230"/>
      <c r="I96" s="440">
        <f>-I90</f>
        <v>-2983500</v>
      </c>
      <c r="J96" s="230"/>
      <c r="K96" s="397"/>
    </row>
    <row r="97" spans="1:15" ht="15" thickBot="1">
      <c r="A97" s="230" t="s">
        <v>454</v>
      </c>
      <c r="B97" s="230"/>
      <c r="C97" s="230"/>
      <c r="D97" s="230"/>
      <c r="E97" s="230"/>
      <c r="F97" s="230"/>
      <c r="G97" s="230"/>
      <c r="H97" s="230"/>
      <c r="I97" s="445">
        <f>+I95+I96</f>
        <v>7096093.8900389187</v>
      </c>
      <c r="J97" s="230"/>
    </row>
    <row r="98" spans="1:15" ht="15.5" thickTop="1" thickBot="1">
      <c r="A98" s="446" t="s">
        <v>455</v>
      </c>
      <c r="B98" s="447">
        <f>+B106</f>
        <v>0.13055</v>
      </c>
      <c r="C98" s="448"/>
      <c r="D98" s="449"/>
      <c r="E98" s="449">
        <f>+E87</f>
        <v>257633.52990907876</v>
      </c>
      <c r="F98" s="449">
        <f t="shared" ref="F98:H98" si="10">+F87</f>
        <v>270262.44009562139</v>
      </c>
      <c r="G98" s="449">
        <f t="shared" si="10"/>
        <v>283775.56210040255</v>
      </c>
      <c r="H98" s="449">
        <f t="shared" si="10"/>
        <v>297964.34020542278</v>
      </c>
      <c r="I98" s="450">
        <f>+I87+I97</f>
        <v>7408956.4472546121</v>
      </c>
      <c r="J98" s="230"/>
    </row>
    <row r="99" spans="1:15" ht="15.5" thickTop="1" thickBot="1">
      <c r="A99" s="386" t="s">
        <v>456</v>
      </c>
      <c r="B99" s="451"/>
      <c r="C99" s="451"/>
      <c r="D99" s="452">
        <f>SUM(E99:I99)</f>
        <v>4829620.8501782725</v>
      </c>
      <c r="E99" s="453">
        <f>E98/((1+B98)^E75)</f>
        <v>227883.35757735505</v>
      </c>
      <c r="F99" s="453">
        <f>F98/((1+B98)^F75)</f>
        <v>211449.24795756335</v>
      </c>
      <c r="G99" s="453">
        <f>G98/(1+B98)^G75</f>
        <v>196383.80465741592</v>
      </c>
      <c r="H99" s="453">
        <f>H98/(1+B98)^H75</f>
        <v>182391.75170517608</v>
      </c>
      <c r="I99" s="454">
        <f>+I98/(1+B98)^I75</f>
        <v>4011512.6882807622</v>
      </c>
      <c r="J99" s="230"/>
    </row>
    <row r="100" spans="1:15" ht="15" thickBot="1">
      <c r="A100" s="230"/>
      <c r="B100" s="230"/>
      <c r="C100" s="388" t="s">
        <v>457</v>
      </c>
      <c r="D100" s="455">
        <f>+D99/G6</f>
        <v>84.923876387871857</v>
      </c>
      <c r="E100" s="230"/>
      <c r="F100" s="230"/>
      <c r="G100" s="230"/>
      <c r="H100" s="230"/>
      <c r="I100" s="230"/>
      <c r="J100" s="230"/>
      <c r="M100" s="187" t="s">
        <v>458</v>
      </c>
      <c r="N100" s="213">
        <f>+'[1]Historical Analysis'!C47</f>
        <v>10000</v>
      </c>
      <c r="O100" s="213">
        <f>'[1]Historical Analysis'!D47</f>
        <v>260000</v>
      </c>
    </row>
    <row r="101" spans="1:15" ht="15" thickBot="1">
      <c r="A101" s="230"/>
      <c r="B101" s="230"/>
      <c r="C101" s="230"/>
      <c r="D101" s="230"/>
      <c r="E101" s="230"/>
      <c r="F101" s="230"/>
      <c r="G101" s="230"/>
      <c r="H101" s="230"/>
      <c r="I101" s="230"/>
      <c r="J101" s="230"/>
      <c r="N101" s="213"/>
      <c r="O101" s="213"/>
    </row>
    <row r="102" spans="1:15" ht="15" thickBot="1">
      <c r="A102" s="456" t="s">
        <v>459</v>
      </c>
      <c r="B102" s="457"/>
      <c r="C102" s="230"/>
      <c r="D102" s="453"/>
      <c r="E102" s="456" t="s">
        <v>460</v>
      </c>
      <c r="F102" s="458" t="s">
        <v>461</v>
      </c>
      <c r="G102" s="458" t="s">
        <v>462</v>
      </c>
      <c r="H102" s="458" t="s">
        <v>463</v>
      </c>
      <c r="I102" s="458" t="s">
        <v>464</v>
      </c>
      <c r="J102" s="459" t="s">
        <v>451</v>
      </c>
      <c r="M102" s="187" t="s">
        <v>465</v>
      </c>
      <c r="N102" s="213">
        <f>+'[1]Historical Analysis'!C51</f>
        <v>3968000</v>
      </c>
      <c r="O102" s="213">
        <f>+'[1]Historical Analysis'!D51</f>
        <v>4224000</v>
      </c>
    </row>
    <row r="103" spans="1:15">
      <c r="A103" s="460" t="s">
        <v>466</v>
      </c>
      <c r="B103" s="461">
        <f>+B33</f>
        <v>0.02</v>
      </c>
      <c r="C103" s="230"/>
      <c r="D103" s="453"/>
      <c r="E103" s="460" t="s">
        <v>77</v>
      </c>
      <c r="F103" s="429">
        <f>+F58</f>
        <v>3978000</v>
      </c>
      <c r="G103" s="462">
        <f>F103/F105</f>
        <v>0.56584346115606254</v>
      </c>
      <c r="H103" s="463">
        <f>B111</f>
        <v>4.626244343891403E-2</v>
      </c>
      <c r="I103" s="464">
        <f>H103*(1-B83)</f>
        <v>3.6084705882352942E-2</v>
      </c>
      <c r="J103" s="465">
        <f>+I103*G103</f>
        <v>2.0418294871269119E-2</v>
      </c>
      <c r="M103" s="187" t="s">
        <v>467</v>
      </c>
      <c r="N103" s="213">
        <f>SUM(N100:N102)</f>
        <v>3978000</v>
      </c>
      <c r="O103" s="213">
        <f>SUM(O100:O102)</f>
        <v>4484000</v>
      </c>
    </row>
    <row r="104" spans="1:15">
      <c r="A104" s="460" t="s">
        <v>468</v>
      </c>
      <c r="B104" s="461">
        <f>+B35</f>
        <v>5.5E-2</v>
      </c>
      <c r="C104" s="230"/>
      <c r="D104" s="453"/>
      <c r="E104" s="460" t="s">
        <v>469</v>
      </c>
      <c r="F104" s="429">
        <f>+E28</f>
        <v>3052212.9</v>
      </c>
      <c r="G104" s="462">
        <f>F104/F105</f>
        <v>0.4341565388439374</v>
      </c>
      <c r="H104" s="463">
        <f>+B106</f>
        <v>0.13055</v>
      </c>
      <c r="I104" s="466">
        <f>H104</f>
        <v>0.13055</v>
      </c>
      <c r="J104" s="465">
        <f>+I104*G104</f>
        <v>5.6679136146076024E-2</v>
      </c>
      <c r="O104" s="37">
        <f>AVERAGE(N103:O103)</f>
        <v>4231000</v>
      </c>
    </row>
    <row r="105" spans="1:15" ht="15" thickBot="1">
      <c r="A105" s="460" t="s">
        <v>470</v>
      </c>
      <c r="B105" s="467">
        <f>+K58</f>
        <v>2.0099999999999998</v>
      </c>
      <c r="C105" s="230"/>
      <c r="D105" s="453"/>
      <c r="E105" s="468"/>
      <c r="F105" s="469">
        <f>SUM(F103:F104)</f>
        <v>7030212.9000000004</v>
      </c>
      <c r="G105" s="470">
        <f>+G103+G104</f>
        <v>1</v>
      </c>
      <c r="H105" s="471"/>
      <c r="I105" s="472"/>
      <c r="J105" s="473">
        <f>SUM(J103:J104)</f>
        <v>7.7097431017345147E-2</v>
      </c>
    </row>
    <row r="106" spans="1:15" ht="15" thickBot="1">
      <c r="A106" s="468" t="s">
        <v>471</v>
      </c>
      <c r="B106" s="474">
        <f>B103+B105*B104</f>
        <v>0.13055</v>
      </c>
      <c r="C106" s="230"/>
      <c r="D106" s="453"/>
      <c r="E106" s="439"/>
      <c r="F106" s="230"/>
      <c r="G106" s="230"/>
      <c r="H106" s="230"/>
      <c r="I106" s="230"/>
      <c r="J106" s="230"/>
    </row>
    <row r="107" spans="1:15" ht="17" customHeight="1" thickBot="1">
      <c r="B107" s="165"/>
      <c r="D107" s="475"/>
      <c r="E107" s="476"/>
    </row>
    <row r="108" spans="1:15" ht="15" thickBot="1">
      <c r="A108" s="477" t="s">
        <v>472</v>
      </c>
      <c r="B108" s="457"/>
      <c r="D108" s="475"/>
      <c r="E108" s="476"/>
    </row>
    <row r="109" spans="1:15">
      <c r="A109" s="478" t="s">
        <v>473</v>
      </c>
      <c r="B109" s="479">
        <f>+F58</f>
        <v>3978000</v>
      </c>
      <c r="D109" s="475"/>
      <c r="E109" s="476"/>
    </row>
    <row r="110" spans="1:15">
      <c r="A110" s="480" t="s">
        <v>474</v>
      </c>
      <c r="B110" s="481">
        <f>+'Historical Analysis'!C12</f>
        <v>184032</v>
      </c>
    </row>
    <row r="111" spans="1:15" ht="15" thickBot="1">
      <c r="A111" s="482" t="s">
        <v>475</v>
      </c>
      <c r="B111" s="493">
        <f>B110/B109</f>
        <v>4.626244343891403E-2</v>
      </c>
    </row>
    <row r="114" spans="1:13" ht="15.5">
      <c r="A114" s="356" t="s">
        <v>495</v>
      </c>
      <c r="B114" s="82"/>
      <c r="C114" s="82"/>
      <c r="D114" s="82"/>
      <c r="E114" s="82"/>
      <c r="F114" s="82"/>
      <c r="G114" s="82"/>
      <c r="H114" s="82"/>
      <c r="I114" s="82"/>
      <c r="J114" s="82"/>
      <c r="K114" s="82"/>
    </row>
    <row r="115" spans="1:13" ht="11.5" customHeight="1">
      <c r="A115" s="394"/>
      <c r="B115" s="544"/>
      <c r="C115" s="544"/>
      <c r="D115" s="544"/>
      <c r="E115" s="396">
        <v>1</v>
      </c>
      <c r="F115" s="396">
        <v>2</v>
      </c>
      <c r="G115" s="396">
        <v>3</v>
      </c>
      <c r="H115" s="396">
        <v>4</v>
      </c>
      <c r="I115" s="396">
        <v>5</v>
      </c>
      <c r="J115" s="396">
        <v>6</v>
      </c>
      <c r="M115"/>
    </row>
    <row r="116" spans="1:13">
      <c r="A116" s="192" t="s">
        <v>504</v>
      </c>
      <c r="B116" s="544"/>
      <c r="C116" s="544"/>
      <c r="D116" s="544"/>
      <c r="E116" s="545"/>
      <c r="F116" s="403"/>
      <c r="G116" s="403"/>
      <c r="H116" s="403"/>
      <c r="I116" s="546" t="s">
        <v>434</v>
      </c>
      <c r="J116" s="403"/>
      <c r="M116"/>
    </row>
    <row r="117" spans="1:13" ht="15" thickBot="1">
      <c r="B117" s="544"/>
      <c r="C117" s="544"/>
      <c r="D117" s="544"/>
      <c r="E117" s="547">
        <f>+E77</f>
        <v>44926</v>
      </c>
      <c r="F117" s="547">
        <f t="shared" ref="F117:J117" si="11">+F77</f>
        <v>45291</v>
      </c>
      <c r="G117" s="547">
        <f t="shared" si="11"/>
        <v>45656</v>
      </c>
      <c r="H117" s="547">
        <f t="shared" si="11"/>
        <v>46022</v>
      </c>
      <c r="I117" s="548">
        <f t="shared" si="11"/>
        <v>46387</v>
      </c>
      <c r="J117" s="547">
        <f t="shared" si="11"/>
        <v>46752</v>
      </c>
      <c r="M117"/>
    </row>
    <row r="118" spans="1:13">
      <c r="A118" t="s">
        <v>435</v>
      </c>
      <c r="B118" s="544"/>
      <c r="C118" s="544"/>
      <c r="D118" s="572"/>
      <c r="E118" s="508">
        <f>+E78</f>
        <v>1472040.9000000001</v>
      </c>
      <c r="F118" s="508">
        <f t="shared" ref="F118:J118" si="12">+F78</f>
        <v>1545642.9450000003</v>
      </c>
      <c r="G118" s="508">
        <f t="shared" si="12"/>
        <v>1622925.0922500005</v>
      </c>
      <c r="H118" s="508">
        <f t="shared" si="12"/>
        <v>1704071.3468625005</v>
      </c>
      <c r="I118" s="509">
        <f t="shared" si="12"/>
        <v>1789274.9142056257</v>
      </c>
      <c r="J118" s="510">
        <f t="shared" si="12"/>
        <v>1878738.6599159071</v>
      </c>
      <c r="M118"/>
    </row>
    <row r="119" spans="1:13">
      <c r="A119" t="s">
        <v>436</v>
      </c>
      <c r="B119" s="544"/>
      <c r="C119" s="544"/>
      <c r="D119" s="572"/>
      <c r="E119" s="508">
        <f>+E80</f>
        <v>-123712.6</v>
      </c>
      <c r="F119" s="508">
        <f t="shared" ref="F119:J119" si="13">+F80</f>
        <v>-130222.28937039913</v>
      </c>
      <c r="G119" s="508">
        <f t="shared" si="13"/>
        <v>-136733.4038389191</v>
      </c>
      <c r="H119" s="508">
        <f t="shared" si="13"/>
        <v>-143570.07403086507</v>
      </c>
      <c r="I119" s="509">
        <f t="shared" si="13"/>
        <v>-150748.57773240833</v>
      </c>
      <c r="J119" s="510">
        <f t="shared" si="13"/>
        <v>-158286.00661902875</v>
      </c>
      <c r="M119"/>
    </row>
    <row r="120" spans="1:13">
      <c r="A120" t="s">
        <v>437</v>
      </c>
      <c r="B120" s="544"/>
      <c r="C120" s="544"/>
      <c r="D120" s="572"/>
      <c r="E120" s="511">
        <f>+E81</f>
        <v>-977001.12904763676</v>
      </c>
      <c r="F120" s="511">
        <f t="shared" ref="F120:J120" si="14">+F81</f>
        <v>-1025851.1855000188</v>
      </c>
      <c r="G120" s="511">
        <f t="shared" si="14"/>
        <v>-1077143.7447750198</v>
      </c>
      <c r="H120" s="511">
        <f t="shared" si="14"/>
        <v>-1131000.9320137708</v>
      </c>
      <c r="I120" s="512">
        <f t="shared" si="14"/>
        <v>-1187550.9786144595</v>
      </c>
      <c r="J120" s="513">
        <f t="shared" si="14"/>
        <v>-1246928.5275451825</v>
      </c>
      <c r="M120"/>
    </row>
    <row r="121" spans="1:13">
      <c r="A121" t="s">
        <v>524</v>
      </c>
      <c r="B121" s="544"/>
      <c r="C121" s="544"/>
      <c r="D121" s="573">
        <v>0.03</v>
      </c>
      <c r="E121" s="508">
        <f>+$D$121*E118</f>
        <v>44161.226999999999</v>
      </c>
      <c r="F121" s="508">
        <f t="shared" ref="F121:J121" si="15">+$D$121*F118</f>
        <v>46369.28835000001</v>
      </c>
      <c r="G121" s="508">
        <f t="shared" si="15"/>
        <v>48687.752767500009</v>
      </c>
      <c r="H121" s="508">
        <f t="shared" si="15"/>
        <v>51122.140405875012</v>
      </c>
      <c r="I121" s="509">
        <f t="shared" si="15"/>
        <v>53678.247426168768</v>
      </c>
      <c r="J121" s="510">
        <f t="shared" si="15"/>
        <v>56362.159797477208</v>
      </c>
      <c r="M121"/>
    </row>
    <row r="122" spans="1:13">
      <c r="A122" t="s">
        <v>438</v>
      </c>
      <c r="B122" s="544"/>
      <c r="C122" s="544"/>
      <c r="D122" s="574"/>
      <c r="E122" s="575">
        <f>+E118+E119+E120+E121</f>
        <v>415488.3979523633</v>
      </c>
      <c r="F122" s="575">
        <f t="shared" ref="F122:J122" si="16">+F118+F119+F120+F121</f>
        <v>435938.75847958232</v>
      </c>
      <c r="G122" s="575">
        <f t="shared" si="16"/>
        <v>457735.69640356163</v>
      </c>
      <c r="H122" s="575">
        <f t="shared" si="16"/>
        <v>480622.48122373974</v>
      </c>
      <c r="I122" s="528">
        <f t="shared" si="16"/>
        <v>504653.60528492648</v>
      </c>
      <c r="J122" s="576">
        <f t="shared" si="16"/>
        <v>529886.28554917302</v>
      </c>
      <c r="L122" s="37"/>
      <c r="M122"/>
    </row>
    <row r="123" spans="1:13">
      <c r="A123" t="s">
        <v>505</v>
      </c>
      <c r="B123" s="544"/>
      <c r="C123" s="544"/>
      <c r="D123" s="544"/>
      <c r="E123" s="511">
        <f>-'Trans, S&amp;U, Proforma BS'!F87</f>
        <v>-247064.40325672581</v>
      </c>
      <c r="F123" s="511">
        <f>-'Trans, S&amp;U, Proforma BS'!G87</f>
        <v>-255290.98014354432</v>
      </c>
      <c r="G123" s="511">
        <f>-'Trans, S&amp;U, Proforma BS'!H87</f>
        <v>-272492.0045432559</v>
      </c>
      <c r="H123" s="511">
        <f>-'Trans, S&amp;U, Proforma BS'!I87</f>
        <v>-271183.23094762565</v>
      </c>
      <c r="I123" s="512">
        <f>-'Trans, S&amp;U, Proforma BS'!J87</f>
        <v>-269874.4573519954</v>
      </c>
      <c r="J123" s="513">
        <f>-'Trans, S&amp;U, Proforma BS'!K87</f>
        <v>-268565.68375636521</v>
      </c>
      <c r="L123" s="37"/>
      <c r="M123"/>
    </row>
    <row r="124" spans="1:13">
      <c r="A124" t="s">
        <v>9</v>
      </c>
      <c r="B124" s="544"/>
      <c r="C124" s="544"/>
      <c r="D124" s="544"/>
      <c r="E124" s="508">
        <f t="shared" ref="E124:J124" si="17">+E122+E123</f>
        <v>168423.99469563749</v>
      </c>
      <c r="F124" s="508">
        <f t="shared" si="17"/>
        <v>180647.778336038</v>
      </c>
      <c r="G124" s="508">
        <f t="shared" si="17"/>
        <v>185243.69186030573</v>
      </c>
      <c r="H124" s="508">
        <f t="shared" si="17"/>
        <v>209439.25027611409</v>
      </c>
      <c r="I124" s="509">
        <f t="shared" si="17"/>
        <v>234779.14793293108</v>
      </c>
      <c r="J124" s="510">
        <f t="shared" si="17"/>
        <v>261320.60179280781</v>
      </c>
      <c r="L124" s="37"/>
      <c r="M124"/>
    </row>
    <row r="125" spans="1:13">
      <c r="A125" t="s">
        <v>439</v>
      </c>
      <c r="B125" s="544"/>
      <c r="C125" s="544"/>
      <c r="D125" s="544"/>
      <c r="E125" s="511">
        <f>-E124*$B$83</f>
        <v>-37053.278833040247</v>
      </c>
      <c r="F125" s="511">
        <f t="shared" ref="F125:J125" si="18">-F124*$B$83</f>
        <v>-39742.511233928359</v>
      </c>
      <c r="G125" s="511">
        <f t="shared" si="18"/>
        <v>-40753.612209267259</v>
      </c>
      <c r="H125" s="511">
        <f t="shared" si="18"/>
        <v>-46076.635060745102</v>
      </c>
      <c r="I125" s="512">
        <f t="shared" si="18"/>
        <v>-51651.412545244835</v>
      </c>
      <c r="J125" s="513">
        <f t="shared" si="18"/>
        <v>-57490.532394417714</v>
      </c>
      <c r="M125"/>
    </row>
    <row r="126" spans="1:13">
      <c r="A126" t="s">
        <v>11</v>
      </c>
      <c r="B126" s="544"/>
      <c r="C126" s="544"/>
      <c r="D126" s="544"/>
      <c r="E126" s="508">
        <f t="shared" ref="E126:J126" si="19">+E124+E125</f>
        <v>131370.71586259725</v>
      </c>
      <c r="F126" s="508">
        <f t="shared" si="19"/>
        <v>140905.26710210965</v>
      </c>
      <c r="G126" s="508">
        <f t="shared" si="19"/>
        <v>144490.07965103845</v>
      </c>
      <c r="H126" s="508">
        <f t="shared" si="19"/>
        <v>163362.61521536898</v>
      </c>
      <c r="I126" s="509">
        <f t="shared" si="19"/>
        <v>183127.73538768623</v>
      </c>
      <c r="J126" s="510">
        <f t="shared" si="19"/>
        <v>203830.0693983901</v>
      </c>
      <c r="M126"/>
    </row>
    <row r="127" spans="1:13">
      <c r="A127" t="s">
        <v>526</v>
      </c>
      <c r="B127" s="544"/>
      <c r="C127" s="544"/>
      <c r="D127" s="544"/>
      <c r="E127" s="508">
        <f>-E123</f>
        <v>247064.40325672581</v>
      </c>
      <c r="F127" s="508">
        <f t="shared" ref="F127:J127" si="20">-F123</f>
        <v>255290.98014354432</v>
      </c>
      <c r="G127" s="508">
        <f t="shared" si="20"/>
        <v>272492.0045432559</v>
      </c>
      <c r="H127" s="508">
        <f t="shared" si="20"/>
        <v>271183.23094762565</v>
      </c>
      <c r="I127" s="509">
        <f t="shared" si="20"/>
        <v>269874.4573519954</v>
      </c>
      <c r="J127" s="510">
        <f t="shared" si="20"/>
        <v>268565.68375636521</v>
      </c>
      <c r="M127"/>
    </row>
    <row r="128" spans="1:13">
      <c r="A128" t="s">
        <v>440</v>
      </c>
      <c r="B128" s="544"/>
      <c r="C128" s="544"/>
      <c r="D128" s="544"/>
      <c r="E128" s="508">
        <f>E84</f>
        <v>162866.13338650326</v>
      </c>
      <c r="F128" s="508">
        <f t="shared" ref="F128:J128" si="21">F84</f>
        <v>171009.44005582845</v>
      </c>
      <c r="G128" s="508">
        <f t="shared" si="21"/>
        <v>179559.91205861987</v>
      </c>
      <c r="H128" s="508">
        <f t="shared" si="21"/>
        <v>188537.90766155088</v>
      </c>
      <c r="I128" s="509">
        <f t="shared" si="21"/>
        <v>197964.80304462844</v>
      </c>
      <c r="J128" s="510">
        <f t="shared" si="21"/>
        <v>207863.04319685989</v>
      </c>
      <c r="M128"/>
    </row>
    <row r="129" spans="1:13">
      <c r="A129" t="s">
        <v>506</v>
      </c>
      <c r="B129" s="544"/>
      <c r="C129" s="544"/>
      <c r="D129" s="544"/>
      <c r="E129" s="508">
        <f>+'Trans, S&amp;U, Proforma BS'!$G$9/7</f>
        <v>26150.34</v>
      </c>
      <c r="F129" s="508">
        <f>+'Trans, S&amp;U, Proforma BS'!$G$9/7</f>
        <v>26150.34</v>
      </c>
      <c r="G129" s="508">
        <f>+'Trans, S&amp;U, Proforma BS'!$G$9/7</f>
        <v>26150.34</v>
      </c>
      <c r="H129" s="508">
        <f>+'Trans, S&amp;U, Proforma BS'!$G$9/7</f>
        <v>26150.34</v>
      </c>
      <c r="I129" s="509">
        <f>+'Trans, S&amp;U, Proforma BS'!$G$9/7+H129</f>
        <v>52300.68</v>
      </c>
      <c r="J129" s="510"/>
      <c r="M129"/>
    </row>
    <row r="130" spans="1:13">
      <c r="A130" s="1" t="s">
        <v>441</v>
      </c>
      <c r="B130" s="544"/>
      <c r="C130" s="544"/>
      <c r="D130" s="544"/>
      <c r="E130" s="508">
        <f>+E85</f>
        <v>10144.614717570379</v>
      </c>
      <c r="F130" s="508">
        <f t="shared" ref="F130:J130" si="22">+F85</f>
        <v>10651.845453448899</v>
      </c>
      <c r="G130" s="508">
        <f t="shared" si="22"/>
        <v>11184.437726121345</v>
      </c>
      <c r="H130" s="508">
        <f t="shared" si="22"/>
        <v>11743.659612427413</v>
      </c>
      <c r="I130" s="509">
        <f t="shared" si="22"/>
        <v>12330.842593048783</v>
      </c>
      <c r="J130" s="510">
        <f t="shared" si="22"/>
        <v>12947.384722701223</v>
      </c>
      <c r="M130"/>
    </row>
    <row r="131" spans="1:13">
      <c r="A131" t="s">
        <v>442</v>
      </c>
      <c r="B131" s="544"/>
      <c r="C131" s="544"/>
      <c r="D131" s="544"/>
      <c r="E131" s="508">
        <f>+E86</f>
        <v>-205012.41153783826</v>
      </c>
      <c r="F131" s="508">
        <f t="shared" ref="F131:J131" si="23">+F86</f>
        <v>-215263.03211473019</v>
      </c>
      <c r="G131" s="508">
        <f t="shared" si="23"/>
        <v>-226026.18372046671</v>
      </c>
      <c r="H131" s="508">
        <f t="shared" si="23"/>
        <v>-237327.49290649005</v>
      </c>
      <c r="I131" s="509">
        <f t="shared" si="23"/>
        <v>-249193.86755181456</v>
      </c>
      <c r="J131" s="510">
        <f t="shared" si="23"/>
        <v>-261653.56092940533</v>
      </c>
      <c r="M131"/>
    </row>
    <row r="132" spans="1:13" ht="15" customHeight="1" thickBot="1">
      <c r="A132" t="s">
        <v>507</v>
      </c>
      <c r="B132" s="544"/>
      <c r="C132" s="544"/>
      <c r="D132" s="544"/>
      <c r="E132" s="514">
        <f t="shared" ref="E132:J132" si="24">SUM(E126:E131)</f>
        <v>372583.79568555835</v>
      </c>
      <c r="F132" s="514">
        <f t="shared" si="24"/>
        <v>388744.84064020112</v>
      </c>
      <c r="G132" s="514">
        <f t="shared" si="24"/>
        <v>407850.59025856887</v>
      </c>
      <c r="H132" s="514">
        <f t="shared" si="24"/>
        <v>423650.26053048292</v>
      </c>
      <c r="I132" s="515">
        <f t="shared" si="24"/>
        <v>466404.65082554438</v>
      </c>
      <c r="J132" s="516">
        <f t="shared" si="24"/>
        <v>431552.62014491117</v>
      </c>
      <c r="M132"/>
    </row>
    <row r="133" spans="1:13" ht="15" customHeight="1" thickTop="1">
      <c r="A133" s="507" t="s">
        <v>508</v>
      </c>
      <c r="B133" s="544"/>
      <c r="C133" s="544"/>
      <c r="D133" s="544"/>
      <c r="E133" s="511">
        <f>-'Trans, S&amp;U, Proforma BS'!F88</f>
        <v>-18696.765651860329</v>
      </c>
      <c r="F133" s="511">
        <f>-'Trans, S&amp;U, Proforma BS'!G88</f>
        <v>-18696.765651860329</v>
      </c>
      <c r="G133" s="511">
        <f>-'Trans, S&amp;U, Proforma BS'!H88</f>
        <v>-18696.765651860329</v>
      </c>
      <c r="H133" s="511">
        <f>-'Trans, S&amp;U, Proforma BS'!I88</f>
        <v>-18696.765651860329</v>
      </c>
      <c r="I133" s="512">
        <f>-'Trans, S&amp;U, Proforma BS'!J88</f>
        <v>-18696.765651860329</v>
      </c>
      <c r="J133" s="513">
        <f>-'Trans, S&amp;U, Proforma BS'!K88</f>
        <v>-18696.765651860329</v>
      </c>
      <c r="M133"/>
    </row>
    <row r="134" spans="1:13" ht="15" customHeight="1">
      <c r="A134" t="s">
        <v>455</v>
      </c>
      <c r="D134" s="508"/>
      <c r="E134" s="508">
        <f t="shared" ref="E134:J134" si="25">+E132+E133</f>
        <v>353887.03003369801</v>
      </c>
      <c r="F134" s="508">
        <f t="shared" si="25"/>
        <v>370048.07498834078</v>
      </c>
      <c r="G134" s="508">
        <f t="shared" si="25"/>
        <v>389153.82460670854</v>
      </c>
      <c r="H134" s="508">
        <f t="shared" si="25"/>
        <v>404953.49487862259</v>
      </c>
      <c r="I134" s="509">
        <f t="shared" si="25"/>
        <v>447707.88517368404</v>
      </c>
      <c r="J134" s="510">
        <f t="shared" si="25"/>
        <v>412855.85449305084</v>
      </c>
      <c r="M134"/>
    </row>
    <row r="135" spans="1:13" ht="15" customHeight="1">
      <c r="D135" s="508"/>
      <c r="E135" s="508"/>
      <c r="F135" s="508"/>
      <c r="G135" s="508"/>
      <c r="H135" s="508"/>
      <c r="I135" s="509"/>
      <c r="J135" s="510"/>
      <c r="M135"/>
    </row>
    <row r="136" spans="1:13" ht="15" customHeight="1">
      <c r="A136" s="517" t="s">
        <v>76</v>
      </c>
      <c r="B136" s="517"/>
      <c r="C136" s="517"/>
      <c r="D136" s="518"/>
      <c r="E136" s="518">
        <f t="shared" ref="E136:J136" si="26">+E122+E128</f>
        <v>578354.53133886657</v>
      </c>
      <c r="F136" s="518">
        <f t="shared" si="26"/>
        <v>606948.1985354108</v>
      </c>
      <c r="G136" s="518">
        <f t="shared" si="26"/>
        <v>637295.60846218152</v>
      </c>
      <c r="H136" s="518">
        <f t="shared" si="26"/>
        <v>669160.38888529059</v>
      </c>
      <c r="I136" s="519">
        <f t="shared" si="26"/>
        <v>702618.40832955495</v>
      </c>
      <c r="J136" s="520">
        <f t="shared" si="26"/>
        <v>737749.3287460329</v>
      </c>
      <c r="M136"/>
    </row>
    <row r="137" spans="1:13" ht="12" customHeight="1">
      <c r="A137" s="521" t="s">
        <v>509</v>
      </c>
      <c r="B137" s="521"/>
      <c r="C137" s="521"/>
      <c r="D137" s="498"/>
      <c r="E137" s="498">
        <f>+'Trans, S&amp;U, Proforma BS'!F90</f>
        <v>3453559.7125507724</v>
      </c>
      <c r="F137" s="498">
        <f>+'Trans, S&amp;U, Proforma BS'!G90</f>
        <v>3434862.9468989121</v>
      </c>
      <c r="G137" s="498">
        <f>+'Trans, S&amp;U, Proforma BS'!H90</f>
        <v>3416166.1812470518</v>
      </c>
      <c r="H137" s="498">
        <f>+'Trans, S&amp;U, Proforma BS'!I90</f>
        <v>3397469.4155951915</v>
      </c>
      <c r="I137" s="522">
        <f>+'Trans, S&amp;U, Proforma BS'!J90</f>
        <v>3378772.6499433313</v>
      </c>
      <c r="J137" s="523">
        <f>+'Trans, S&amp;U, Proforma BS'!K90</f>
        <v>3360075.884291471</v>
      </c>
      <c r="M137"/>
    </row>
    <row r="138" spans="1:13" ht="7.5" customHeight="1">
      <c r="I138" s="524"/>
      <c r="M138"/>
    </row>
    <row r="139" spans="1:13" ht="15" thickBot="1">
      <c r="A139" s="525" t="s">
        <v>445</v>
      </c>
      <c r="B139" s="526" t="s">
        <v>446</v>
      </c>
      <c r="I139" s="524"/>
      <c r="M139"/>
    </row>
    <row r="140" spans="1:13">
      <c r="A140" t="s">
        <v>448</v>
      </c>
      <c r="B140" s="565">
        <f>+J60</f>
        <v>12.38335679604163</v>
      </c>
      <c r="I140" s="527">
        <f>+B140*I136</f>
        <v>8700774.4418117478</v>
      </c>
      <c r="M140"/>
    </row>
    <row r="141" spans="1:13">
      <c r="A141" t="str">
        <f>+A94</f>
        <v xml:space="preserve">  Perpetuity Method </v>
      </c>
      <c r="B141" s="571">
        <f>B94</f>
        <v>7.7097431017345147E-2</v>
      </c>
      <c r="I141" s="527">
        <f>+I94</f>
        <v>12123130.228330543</v>
      </c>
      <c r="M141"/>
    </row>
    <row r="142" spans="1:13">
      <c r="B142" s="565"/>
      <c r="I142" s="570">
        <f>AVERAGE(I140:I141)</f>
        <v>10411952.335071146</v>
      </c>
      <c r="M142"/>
    </row>
    <row r="143" spans="1:13">
      <c r="A143" t="s">
        <v>453</v>
      </c>
      <c r="I143" s="527">
        <f>-I137</f>
        <v>-3378772.6499433313</v>
      </c>
      <c r="M143"/>
    </row>
    <row r="144" spans="1:13">
      <c r="A144" t="s">
        <v>510</v>
      </c>
      <c r="D144" s="37"/>
      <c r="I144" s="529">
        <v>0</v>
      </c>
      <c r="M144"/>
    </row>
    <row r="145" spans="1:13">
      <c r="I145" s="527">
        <f>SUM(I142:I144)</f>
        <v>7033179.6851278152</v>
      </c>
      <c r="M145"/>
    </row>
    <row r="146" spans="1:13" ht="15" thickBot="1">
      <c r="A146" s="517" t="s">
        <v>455</v>
      </c>
      <c r="B146" s="550"/>
      <c r="C146" s="550"/>
      <c r="D146" s="518">
        <f>-'Trans, S&amp;U, Proforma BS'!M10</f>
        <v>-2812541.9017973673</v>
      </c>
      <c r="E146" s="518">
        <f>+E134</f>
        <v>353887.03003369801</v>
      </c>
      <c r="F146" s="518">
        <f>+F134</f>
        <v>370048.07498834078</v>
      </c>
      <c r="G146" s="518">
        <f>+G134</f>
        <v>389153.82460670854</v>
      </c>
      <c r="H146" s="518">
        <f>+H134</f>
        <v>404953.49487862259</v>
      </c>
      <c r="I146" s="518">
        <f>+I145+I134</f>
        <v>7480887.5703014992</v>
      </c>
      <c r="M146"/>
    </row>
    <row r="147" spans="1:13" ht="15" thickBot="1">
      <c r="A147" s="560" t="s">
        <v>519</v>
      </c>
      <c r="B147" s="551"/>
      <c r="C147" s="562">
        <v>0.25</v>
      </c>
      <c r="D147" s="559">
        <f>SUM(E147:I147)</f>
        <v>3336393.3407568103</v>
      </c>
      <c r="E147" s="563">
        <f>E146/((1+$C$147)^E115)</f>
        <v>283109.62402695842</v>
      </c>
      <c r="F147" s="563">
        <f>F146/((1+$C$147)^F115)</f>
        <v>236830.76799253811</v>
      </c>
      <c r="G147" s="563">
        <f>G146/((1+$C$147)^G115)</f>
        <v>199246.75819863478</v>
      </c>
      <c r="H147" s="563">
        <f>H146/((1+$C$147)^H115)</f>
        <v>165868.9515022838</v>
      </c>
      <c r="I147" s="563">
        <f>I146/((1+$C$147)^I115)</f>
        <v>2451337.2390363952</v>
      </c>
      <c r="M147"/>
    </row>
    <row r="148" spans="1:13" ht="15" thickBot="1">
      <c r="A148" s="560"/>
      <c r="B148" s="551"/>
      <c r="C148" s="577" t="s">
        <v>525</v>
      </c>
      <c r="D148" s="578">
        <f>+D147/G13</f>
        <v>58.667018476469323</v>
      </c>
      <c r="E148" s="563"/>
      <c r="F148" s="563"/>
      <c r="G148" s="563"/>
      <c r="H148" s="563"/>
      <c r="I148" s="563"/>
      <c r="M148"/>
    </row>
    <row r="149" spans="1:13" ht="15" thickBot="1">
      <c r="A149" s="560" t="s">
        <v>521</v>
      </c>
      <c r="D149" s="564">
        <f>+D146+D147</f>
        <v>523851.43895944301</v>
      </c>
      <c r="E149" s="563"/>
      <c r="F149" s="563"/>
      <c r="G149" s="563"/>
      <c r="H149" s="563"/>
      <c r="I149" s="563"/>
      <c r="M149"/>
    </row>
    <row r="150" spans="1:13" ht="15" thickBot="1">
      <c r="A150" s="544"/>
      <c r="B150" s="551"/>
      <c r="C150" s="552"/>
      <c r="D150" s="553"/>
      <c r="E150" s="544"/>
      <c r="F150" s="544"/>
      <c r="G150" s="544"/>
      <c r="H150" s="544"/>
      <c r="I150" s="544"/>
      <c r="M150"/>
    </row>
    <row r="151" spans="1:13" ht="15" thickBot="1">
      <c r="A151" s="560" t="s">
        <v>520</v>
      </c>
      <c r="B151" s="551"/>
      <c r="C151" s="561">
        <f>IRR(D146:I146)</f>
        <v>0.30135817255416808</v>
      </c>
      <c r="D151" s="553"/>
      <c r="E151" s="544"/>
      <c r="F151" s="544"/>
      <c r="G151" s="544"/>
      <c r="H151" s="544"/>
      <c r="I151" s="544"/>
      <c r="M151"/>
    </row>
    <row r="152" spans="1:13">
      <c r="A152" s="544"/>
      <c r="B152" s="551"/>
      <c r="C152" s="552"/>
      <c r="D152" s="553"/>
      <c r="E152" s="544"/>
      <c r="F152" s="544"/>
      <c r="G152" s="544"/>
      <c r="H152" s="544"/>
      <c r="I152" s="544"/>
      <c r="M152"/>
    </row>
    <row r="153" spans="1:13">
      <c r="A153" s="544"/>
      <c r="B153" s="551"/>
      <c r="C153" s="544"/>
      <c r="D153" s="553"/>
      <c r="E153" s="554"/>
      <c r="F153" s="544"/>
      <c r="G153" s="544"/>
      <c r="H153" s="544"/>
      <c r="I153" s="544"/>
      <c r="M153"/>
    </row>
    <row r="154" spans="1:13">
      <c r="A154" s="544"/>
      <c r="B154" s="551"/>
      <c r="C154" s="544"/>
      <c r="D154" s="553"/>
      <c r="E154" s="554"/>
      <c r="F154" s="544"/>
      <c r="G154" s="544"/>
      <c r="H154" s="544"/>
      <c r="I154" s="544"/>
      <c r="M154"/>
    </row>
    <row r="155" spans="1:13">
      <c r="A155" s="544"/>
      <c r="B155" s="555"/>
      <c r="C155" s="544"/>
      <c r="D155" s="556"/>
      <c r="E155" s="557"/>
      <c r="F155" s="544"/>
      <c r="G155" s="544"/>
      <c r="H155" s="544"/>
      <c r="I155" s="544"/>
      <c r="M155"/>
    </row>
    <row r="156" spans="1:13">
      <c r="A156" s="544"/>
      <c r="B156" s="558"/>
      <c r="C156" s="544"/>
      <c r="D156" s="553"/>
      <c r="E156" s="544"/>
      <c r="F156" s="544"/>
      <c r="G156" s="544"/>
      <c r="H156" s="544"/>
      <c r="I156" s="544"/>
      <c r="M156"/>
    </row>
    <row r="157" spans="1:13">
      <c r="A157" s="544"/>
      <c r="B157" s="558"/>
      <c r="C157" s="544"/>
      <c r="D157" s="553"/>
      <c r="E157" s="544"/>
      <c r="F157" s="544"/>
      <c r="G157" s="544"/>
      <c r="H157" s="544"/>
      <c r="I157" s="544"/>
      <c r="M157"/>
    </row>
    <row r="158" spans="1:13">
      <c r="A158" s="544"/>
      <c r="B158" s="558"/>
      <c r="C158" s="544"/>
      <c r="D158" s="553"/>
      <c r="E158" s="544"/>
      <c r="F158" s="544"/>
      <c r="G158" s="544"/>
      <c r="H158" s="544"/>
      <c r="I158" s="544"/>
      <c r="M158"/>
    </row>
    <row r="159" spans="1:13" ht="12.65" customHeight="1">
      <c r="A159" s="544"/>
      <c r="B159" s="558"/>
      <c r="C159" s="544"/>
      <c r="D159" s="553"/>
      <c r="E159" s="544"/>
      <c r="F159" s="544"/>
      <c r="G159" s="544"/>
      <c r="H159" s="544"/>
      <c r="I159" s="544"/>
      <c r="M159"/>
    </row>
    <row r="160" spans="1:13">
      <c r="A160" s="544"/>
      <c r="B160" s="558"/>
      <c r="C160" s="544"/>
      <c r="D160" s="553"/>
      <c r="E160" s="544"/>
      <c r="F160" s="544"/>
      <c r="G160" s="544"/>
      <c r="H160" s="544"/>
      <c r="I160" s="544"/>
      <c r="L160" s="187"/>
      <c r="M160"/>
    </row>
    <row r="161" spans="1:4">
      <c r="A161" s="544"/>
      <c r="B161" s="558"/>
      <c r="C161" s="544"/>
      <c r="D161" s="553"/>
    </row>
    <row r="162" spans="1:4">
      <c r="A162" s="544"/>
      <c r="B162" s="558"/>
      <c r="C162" s="544"/>
      <c r="D162" s="553"/>
    </row>
    <row r="163" spans="1:4">
      <c r="A163" s="544"/>
      <c r="B163" s="558"/>
      <c r="C163" s="544"/>
      <c r="D163" s="553"/>
    </row>
  </sheetData>
  <mergeCells count="7">
    <mergeCell ref="E76:H76"/>
    <mergeCell ref="B70:C70"/>
    <mergeCell ref="B76:D76"/>
    <mergeCell ref="M49:N49"/>
    <mergeCell ref="B67:C67"/>
    <mergeCell ref="B68:C68"/>
    <mergeCell ref="B69:C69"/>
  </mergeCells>
  <hyperlinks>
    <hyperlink ref="C1" r:id="rId1" xr:uid="{7A09A879-8863-40DE-954B-ACF5A3AD5368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2064F-496F-4672-A27B-C24FAFADFE9A}">
  <sheetPr>
    <tabColor rgb="FF00B050"/>
  </sheetPr>
  <dimension ref="A1:AJ51"/>
  <sheetViews>
    <sheetView workbookViewId="0">
      <selection activeCell="B16" sqref="B16"/>
    </sheetView>
  </sheetViews>
  <sheetFormatPr defaultRowHeight="14.5"/>
  <cols>
    <col min="1" max="1" width="51" bestFit="1" customWidth="1"/>
    <col min="2" max="3" width="14" bestFit="1" customWidth="1"/>
    <col min="4" max="12" width="13.36328125" bestFit="1" customWidth="1"/>
    <col min="13" max="13" width="11.36328125" bestFit="1" customWidth="1"/>
    <col min="14" max="14" width="12.26953125" bestFit="1" customWidth="1"/>
    <col min="15" max="15" width="11.36328125" bestFit="1" customWidth="1"/>
    <col min="16" max="16" width="10.7265625" bestFit="1" customWidth="1"/>
    <col min="17" max="17" width="12.26953125" bestFit="1" customWidth="1"/>
    <col min="18" max="18" width="10.7265625" bestFit="1" customWidth="1"/>
    <col min="19" max="21" width="12.26953125" bestFit="1" customWidth="1"/>
    <col min="22" max="22" width="10.7265625" bestFit="1" customWidth="1"/>
    <col min="23" max="23" width="12.26953125" bestFit="1" customWidth="1"/>
    <col min="24" max="36" width="10.7265625" bestFit="1" customWidth="1"/>
  </cols>
  <sheetData>
    <row r="1" spans="1:36">
      <c r="A1" t="s">
        <v>95</v>
      </c>
      <c r="B1" s="42">
        <v>44561</v>
      </c>
      <c r="C1" s="42">
        <v>44196</v>
      </c>
      <c r="D1" s="42">
        <v>43830</v>
      </c>
      <c r="E1" s="42">
        <v>43465</v>
      </c>
      <c r="F1" s="42">
        <v>43100</v>
      </c>
      <c r="G1" s="42">
        <v>42735</v>
      </c>
      <c r="H1" s="42">
        <v>42369</v>
      </c>
      <c r="I1" s="42">
        <v>42004</v>
      </c>
      <c r="J1" s="42">
        <v>41639</v>
      </c>
      <c r="K1" s="42">
        <v>41274</v>
      </c>
      <c r="L1" s="42">
        <v>40908</v>
      </c>
      <c r="M1" s="42">
        <v>40543</v>
      </c>
      <c r="N1" s="42">
        <v>40178</v>
      </c>
      <c r="O1" s="42">
        <v>39813</v>
      </c>
      <c r="P1" s="42">
        <v>39447</v>
      </c>
      <c r="Q1" s="42">
        <v>39082</v>
      </c>
      <c r="R1" s="42">
        <v>38717</v>
      </c>
      <c r="S1" s="42">
        <v>38352</v>
      </c>
      <c r="T1" s="42">
        <v>37986</v>
      </c>
      <c r="U1" s="42">
        <v>37621</v>
      </c>
      <c r="V1" s="42">
        <v>37256</v>
      </c>
      <c r="W1" s="42">
        <v>36891</v>
      </c>
      <c r="X1" s="42">
        <v>36525</v>
      </c>
      <c r="Y1" s="42">
        <v>36160</v>
      </c>
      <c r="Z1" s="42">
        <v>35795</v>
      </c>
      <c r="AA1" s="42">
        <v>35430</v>
      </c>
      <c r="AB1" s="42">
        <v>35064</v>
      </c>
      <c r="AC1" s="42">
        <v>34699</v>
      </c>
      <c r="AD1" s="42">
        <v>34334</v>
      </c>
      <c r="AE1" s="42">
        <v>33969</v>
      </c>
      <c r="AF1" s="42">
        <v>33603</v>
      </c>
      <c r="AG1" s="42">
        <v>33238</v>
      </c>
      <c r="AH1" s="42">
        <v>32873</v>
      </c>
      <c r="AI1" s="42">
        <v>32508</v>
      </c>
      <c r="AJ1" s="42">
        <v>32142</v>
      </c>
    </row>
    <row r="2" spans="1:36">
      <c r="A2" t="s">
        <v>96</v>
      </c>
      <c r="B2" s="36">
        <v>1338219000</v>
      </c>
      <c r="C2" s="36">
        <v>181555000</v>
      </c>
      <c r="D2" s="36">
        <v>1474925000</v>
      </c>
      <c r="E2" s="36">
        <v>1348530000</v>
      </c>
      <c r="F2" s="36">
        <v>1321967000</v>
      </c>
      <c r="G2" s="36">
        <v>1288721000</v>
      </c>
      <c r="H2" s="36">
        <v>1235778000</v>
      </c>
      <c r="I2" s="36">
        <v>1159605000</v>
      </c>
      <c r="J2" s="36">
        <v>1134572000</v>
      </c>
      <c r="K2" s="36">
        <v>1068454000</v>
      </c>
      <c r="L2" s="36">
        <v>1028472000</v>
      </c>
      <c r="M2" s="36">
        <v>977592000</v>
      </c>
      <c r="N2" s="36">
        <v>916075000</v>
      </c>
      <c r="O2" s="36">
        <v>996232000</v>
      </c>
      <c r="P2" s="36">
        <v>986973000</v>
      </c>
      <c r="Q2" s="36">
        <v>831389000</v>
      </c>
      <c r="R2" s="36">
        <v>568707000</v>
      </c>
      <c r="S2" s="36">
        <v>541972000</v>
      </c>
      <c r="T2" s="36">
        <v>509976000</v>
      </c>
      <c r="U2" s="36">
        <v>502851000</v>
      </c>
      <c r="V2" s="36">
        <v>477256000</v>
      </c>
      <c r="W2" s="36">
        <v>472920000</v>
      </c>
      <c r="X2" s="36">
        <v>438000000</v>
      </c>
      <c r="Y2" s="36">
        <v>419500000</v>
      </c>
      <c r="Z2" s="36">
        <v>264100000</v>
      </c>
      <c r="AA2" s="36">
        <v>250500000</v>
      </c>
      <c r="AB2" s="36">
        <v>218200000</v>
      </c>
      <c r="AC2" s="36">
        <v>198400000</v>
      </c>
      <c r="AD2" s="36">
        <v>178900000</v>
      </c>
      <c r="AE2" s="36">
        <v>153000000</v>
      </c>
      <c r="AF2" s="36">
        <v>128000000</v>
      </c>
      <c r="AG2" s="36">
        <v>122000000</v>
      </c>
      <c r="AH2" s="36">
        <v>120000000</v>
      </c>
      <c r="AI2" s="36">
        <v>103200000</v>
      </c>
      <c r="AJ2" s="36">
        <v>102800000</v>
      </c>
    </row>
    <row r="3" spans="1:36">
      <c r="A3" t="s">
        <v>97</v>
      </c>
      <c r="B3" s="36">
        <v>1338219000</v>
      </c>
      <c r="C3" s="36">
        <v>181555000</v>
      </c>
      <c r="D3" s="36">
        <v>1474925000</v>
      </c>
      <c r="E3" s="36">
        <v>1348530000</v>
      </c>
      <c r="F3" s="36">
        <v>1321967000</v>
      </c>
      <c r="G3" s="36">
        <v>1288721000</v>
      </c>
      <c r="H3" s="36">
        <v>1235778000</v>
      </c>
      <c r="I3" s="36">
        <v>1159605000</v>
      </c>
      <c r="J3" s="36">
        <v>1134572000</v>
      </c>
      <c r="K3" s="36">
        <v>1068454000</v>
      </c>
      <c r="L3" s="36">
        <v>1028472000</v>
      </c>
      <c r="M3" s="36">
        <v>977592000</v>
      </c>
      <c r="N3" s="36">
        <v>916075000</v>
      </c>
      <c r="O3" s="36">
        <v>996232000</v>
      </c>
      <c r="P3" s="36">
        <v>986973000</v>
      </c>
      <c r="Q3" s="36">
        <v>831389000</v>
      </c>
      <c r="R3" s="36">
        <v>568707000</v>
      </c>
      <c r="S3" s="36">
        <v>541972000</v>
      </c>
      <c r="T3" s="36">
        <v>509976000</v>
      </c>
      <c r="U3" s="36">
        <v>502851000</v>
      </c>
      <c r="V3" s="36">
        <v>477256000</v>
      </c>
      <c r="W3" s="36">
        <v>472920000</v>
      </c>
      <c r="X3" s="36">
        <v>438000000</v>
      </c>
      <c r="Y3" s="36">
        <v>419500000</v>
      </c>
      <c r="Z3" s="36">
        <v>264100000</v>
      </c>
      <c r="AA3" s="36">
        <v>250500000</v>
      </c>
      <c r="AB3" s="36">
        <v>218200000</v>
      </c>
      <c r="AC3" s="36">
        <v>198400000</v>
      </c>
      <c r="AD3" s="36">
        <v>178900000</v>
      </c>
      <c r="AE3" s="36">
        <v>153000000</v>
      </c>
      <c r="AF3" s="36">
        <v>128000000</v>
      </c>
      <c r="AG3" s="36">
        <v>122000000</v>
      </c>
      <c r="AH3" s="36">
        <v>120000000</v>
      </c>
      <c r="AI3" s="36">
        <v>103200000</v>
      </c>
      <c r="AJ3" s="36">
        <v>102800000</v>
      </c>
    </row>
    <row r="4" spans="1:36">
      <c r="A4" t="s">
        <v>98</v>
      </c>
      <c r="B4" s="36">
        <v>112466000</v>
      </c>
      <c r="C4" s="36">
        <v>27991000</v>
      </c>
      <c r="D4" s="36">
        <v>126264000</v>
      </c>
      <c r="E4" s="36">
        <v>114733000</v>
      </c>
      <c r="F4" s="36">
        <v>110811000</v>
      </c>
      <c r="G4" s="36">
        <v>106608000</v>
      </c>
      <c r="H4" s="36">
        <v>104827000</v>
      </c>
      <c r="I4" s="36">
        <v>95208000</v>
      </c>
      <c r="J4" s="36">
        <v>91772000</v>
      </c>
      <c r="K4" s="36">
        <v>95048000</v>
      </c>
      <c r="L4" s="36">
        <v>522908000</v>
      </c>
      <c r="M4" s="36">
        <v>498021000</v>
      </c>
      <c r="N4" s="36">
        <v>487668000</v>
      </c>
      <c r="O4" s="36">
        <v>90626000</v>
      </c>
      <c r="P4" s="36">
        <v>511679000</v>
      </c>
      <c r="Q4" s="36">
        <v>420466000</v>
      </c>
      <c r="R4" s="36">
        <v>301249000</v>
      </c>
      <c r="S4" s="36">
        <v>298783000</v>
      </c>
      <c r="T4" s="36">
        <v>269611000</v>
      </c>
      <c r="U4" s="36">
        <v>269517000</v>
      </c>
      <c r="V4" s="36">
        <v>264258000</v>
      </c>
      <c r="W4" s="36">
        <v>255438000</v>
      </c>
      <c r="X4" s="36">
        <v>235300000</v>
      </c>
      <c r="Y4" s="36">
        <v>226900000</v>
      </c>
      <c r="Z4" s="36">
        <v>134800000</v>
      </c>
      <c r="AA4" s="36">
        <v>121400000</v>
      </c>
      <c r="AB4" s="36">
        <v>103700000</v>
      </c>
      <c r="AC4" s="36">
        <v>94000000</v>
      </c>
      <c r="AD4" s="36">
        <v>85900000</v>
      </c>
      <c r="AE4" s="36">
        <v>74000000</v>
      </c>
      <c r="AF4" s="36">
        <v>60100000</v>
      </c>
      <c r="AG4" s="36">
        <v>57500000</v>
      </c>
      <c r="AH4" s="36">
        <v>56500000</v>
      </c>
      <c r="AI4" s="36">
        <v>51000000</v>
      </c>
      <c r="AJ4" s="36">
        <v>51500000</v>
      </c>
    </row>
    <row r="5" spans="1:36">
      <c r="A5" t="s">
        <v>99</v>
      </c>
      <c r="B5" s="36">
        <v>1225753000</v>
      </c>
      <c r="C5" s="36">
        <v>153564000</v>
      </c>
      <c r="D5" s="36">
        <v>1348661000</v>
      </c>
      <c r="E5" s="36">
        <v>1233797000</v>
      </c>
      <c r="F5" s="36">
        <v>1211156000</v>
      </c>
      <c r="G5" s="36">
        <v>1182113000</v>
      </c>
      <c r="H5" s="36">
        <v>1130951000</v>
      </c>
      <c r="I5" s="36">
        <v>1064397000</v>
      </c>
      <c r="J5" s="36">
        <v>1042800000</v>
      </c>
      <c r="K5" s="36">
        <v>973406000</v>
      </c>
      <c r="L5" s="36">
        <v>505564000</v>
      </c>
      <c r="M5" s="36">
        <v>479571000</v>
      </c>
      <c r="N5" s="36">
        <v>428407000</v>
      </c>
      <c r="O5" s="36">
        <v>905606000</v>
      </c>
      <c r="P5" s="36">
        <v>475294000</v>
      </c>
      <c r="Q5" s="36">
        <v>410923000</v>
      </c>
      <c r="R5" s="36">
        <v>267458000</v>
      </c>
      <c r="S5" s="36">
        <v>243189000</v>
      </c>
      <c r="T5" s="36">
        <v>240365000</v>
      </c>
      <c r="U5" s="36">
        <v>233334000</v>
      </c>
      <c r="V5" s="36">
        <v>212998000</v>
      </c>
      <c r="W5" s="36">
        <v>217482000</v>
      </c>
      <c r="X5" s="36">
        <v>202700000</v>
      </c>
      <c r="Y5" s="36">
        <v>192600000</v>
      </c>
      <c r="Z5" s="36">
        <v>129300000</v>
      </c>
      <c r="AA5" s="36">
        <v>129100000</v>
      </c>
      <c r="AB5" s="36">
        <v>114500000</v>
      </c>
      <c r="AC5" s="36">
        <v>104400000</v>
      </c>
      <c r="AD5" s="36">
        <v>93000000</v>
      </c>
      <c r="AE5" s="36">
        <v>79000000</v>
      </c>
      <c r="AF5" s="36">
        <v>67900000</v>
      </c>
      <c r="AG5" s="36">
        <v>64500000</v>
      </c>
      <c r="AH5" s="36">
        <v>63500000</v>
      </c>
      <c r="AI5" s="36">
        <v>52200000</v>
      </c>
      <c r="AJ5" s="36">
        <v>51300000</v>
      </c>
    </row>
    <row r="6" spans="1:36">
      <c r="A6" t="s">
        <v>100</v>
      </c>
      <c r="B6" s="36">
        <v>1066803000</v>
      </c>
      <c r="C6" s="36">
        <v>613449000</v>
      </c>
      <c r="D6" s="36">
        <v>1034908000</v>
      </c>
      <c r="E6" s="36">
        <v>933212000</v>
      </c>
      <c r="F6" s="36">
        <v>905094000</v>
      </c>
      <c r="G6" s="36">
        <v>852587000</v>
      </c>
      <c r="H6" s="36">
        <v>814747000</v>
      </c>
      <c r="I6" s="36">
        <v>777229000</v>
      </c>
      <c r="J6" s="36">
        <v>747243000</v>
      </c>
      <c r="K6" s="36">
        <v>717053000</v>
      </c>
      <c r="L6" s="36">
        <v>264231000</v>
      </c>
      <c r="M6" s="36">
        <v>260797000</v>
      </c>
      <c r="N6" s="36">
        <v>238120000</v>
      </c>
      <c r="O6" s="36">
        <v>676270000</v>
      </c>
      <c r="P6" s="36">
        <v>320723000</v>
      </c>
      <c r="Q6" s="36">
        <v>191427000</v>
      </c>
      <c r="R6" s="36">
        <v>130136000</v>
      </c>
      <c r="S6" s="36">
        <v>125359000</v>
      </c>
      <c r="T6" s="36">
        <v>115216000</v>
      </c>
      <c r="U6" s="36">
        <v>112142000</v>
      </c>
      <c r="V6" s="36">
        <v>114441000</v>
      </c>
      <c r="W6" s="36">
        <v>94139000</v>
      </c>
      <c r="X6" s="36">
        <v>86000000</v>
      </c>
      <c r="Y6" s="36">
        <v>80000000</v>
      </c>
      <c r="Z6" s="36">
        <v>53000000</v>
      </c>
      <c r="AA6" s="36">
        <v>48100000</v>
      </c>
      <c r="AB6" s="36">
        <v>41500000</v>
      </c>
      <c r="AC6" s="36">
        <v>36300000</v>
      </c>
      <c r="AD6" s="36">
        <v>35600000</v>
      </c>
      <c r="AE6" s="36">
        <v>29800000</v>
      </c>
      <c r="AF6" s="36">
        <v>25400000</v>
      </c>
      <c r="AG6" s="36">
        <v>24100000</v>
      </c>
      <c r="AH6" s="36">
        <v>23900000</v>
      </c>
      <c r="AI6" s="36">
        <v>22000000</v>
      </c>
      <c r="AJ6" s="36">
        <v>21200000</v>
      </c>
    </row>
    <row r="7" spans="1:36">
      <c r="A7" t="s">
        <v>101</v>
      </c>
      <c r="B7" s="36">
        <v>219758000</v>
      </c>
      <c r="C7" s="36">
        <v>108118000</v>
      </c>
      <c r="D7" s="36">
        <v>222252000</v>
      </c>
      <c r="E7" s="36">
        <v>193333000</v>
      </c>
      <c r="F7" s="36">
        <v>193770000</v>
      </c>
      <c r="G7" s="36">
        <v>181830000</v>
      </c>
      <c r="H7" s="36">
        <v>171490000</v>
      </c>
      <c r="I7" s="36">
        <v>156864000</v>
      </c>
      <c r="J7" s="36">
        <v>152412000</v>
      </c>
      <c r="K7" s="36">
        <v>138311000</v>
      </c>
      <c r="L7" s="36">
        <v>140426000</v>
      </c>
      <c r="M7" s="36">
        <v>134001000</v>
      </c>
      <c r="N7" s="36">
        <v>128473000</v>
      </c>
      <c r="O7" s="36">
        <v>131882000</v>
      </c>
      <c r="P7" s="36">
        <v>135202000</v>
      </c>
      <c r="Q7" s="36">
        <v>100724000</v>
      </c>
      <c r="R7" s="36">
        <v>74371000</v>
      </c>
      <c r="S7" s="36">
        <v>70171000</v>
      </c>
      <c r="T7" s="36">
        <v>64658000</v>
      </c>
      <c r="U7" s="36">
        <v>63231000</v>
      </c>
      <c r="V7" s="36">
        <v>71955000</v>
      </c>
      <c r="W7" s="36">
        <v>54567000</v>
      </c>
      <c r="X7" s="36">
        <v>50900000</v>
      </c>
      <c r="Y7" s="36">
        <v>47900000</v>
      </c>
      <c r="Z7" s="36">
        <v>31500000</v>
      </c>
      <c r="AA7" s="36">
        <v>29000000</v>
      </c>
      <c r="AB7" s="36">
        <v>24800000</v>
      </c>
      <c r="AC7" s="36">
        <v>21300000</v>
      </c>
      <c r="AD7" s="36">
        <v>21100000</v>
      </c>
      <c r="AE7" s="36">
        <v>17400000</v>
      </c>
      <c r="AF7" s="36">
        <v>15100000</v>
      </c>
      <c r="AG7" s="36">
        <v>14400000</v>
      </c>
      <c r="AH7" s="36">
        <v>14700000</v>
      </c>
      <c r="AI7" s="36">
        <v>12900000</v>
      </c>
      <c r="AJ7" s="36">
        <v>12400000</v>
      </c>
    </row>
    <row r="8" spans="1:36">
      <c r="A8" t="s">
        <v>102</v>
      </c>
      <c r="B8" s="36">
        <v>148803000</v>
      </c>
      <c r="C8" s="36">
        <v>157549000</v>
      </c>
      <c r="D8" s="36">
        <v>170456000</v>
      </c>
      <c r="E8" s="36">
        <v>155529000</v>
      </c>
      <c r="F8" s="36">
        <v>153222000</v>
      </c>
      <c r="G8" s="36">
        <v>131876000</v>
      </c>
      <c r="H8" s="36">
        <v>125631000</v>
      </c>
      <c r="I8" s="36">
        <v>124286000</v>
      </c>
      <c r="J8" s="36">
        <v>122487000</v>
      </c>
      <c r="K8" s="36">
        <v>127339000</v>
      </c>
      <c r="L8" s="36">
        <v>123805000</v>
      </c>
      <c r="M8" s="36">
        <v>126796000</v>
      </c>
      <c r="N8" s="36">
        <v>132745000</v>
      </c>
      <c r="O8" s="36">
        <v>125838000</v>
      </c>
      <c r="P8" s="36">
        <v>130623000</v>
      </c>
      <c r="Q8" s="36">
        <v>90703000</v>
      </c>
      <c r="R8" s="36">
        <v>55765000</v>
      </c>
      <c r="S8" s="36">
        <v>50690000</v>
      </c>
      <c r="T8" s="36">
        <v>44693000</v>
      </c>
      <c r="U8" s="36">
        <v>41682000</v>
      </c>
      <c r="V8" s="36">
        <v>42486000</v>
      </c>
      <c r="W8" s="36">
        <v>39572000</v>
      </c>
      <c r="X8" s="36">
        <v>35100000</v>
      </c>
      <c r="Y8" s="36">
        <v>32100000</v>
      </c>
      <c r="Z8" s="36">
        <v>21500000</v>
      </c>
      <c r="AA8" s="36">
        <v>19100000</v>
      </c>
      <c r="AB8" s="36">
        <v>16700000</v>
      </c>
      <c r="AC8" s="36">
        <v>15000000</v>
      </c>
      <c r="AD8" s="36">
        <v>14500000</v>
      </c>
      <c r="AE8" s="36">
        <v>12400000</v>
      </c>
      <c r="AF8" s="36">
        <v>10300000</v>
      </c>
      <c r="AG8" s="36">
        <v>9700000</v>
      </c>
      <c r="AH8" s="36">
        <v>9200000</v>
      </c>
      <c r="AI8" s="36">
        <v>9100000</v>
      </c>
      <c r="AJ8" s="36">
        <v>8800000</v>
      </c>
    </row>
    <row r="9" spans="1:36">
      <c r="A9" t="s">
        <v>103</v>
      </c>
      <c r="B9" s="36">
        <v>148803000</v>
      </c>
      <c r="C9" s="36">
        <v>157549000</v>
      </c>
      <c r="D9" s="36">
        <v>170456000</v>
      </c>
      <c r="E9" s="36">
        <v>155529000</v>
      </c>
      <c r="F9" s="36">
        <v>153222000</v>
      </c>
      <c r="G9" s="36">
        <v>131876000</v>
      </c>
      <c r="H9" s="36">
        <v>125631000</v>
      </c>
      <c r="I9" s="36">
        <v>124286000</v>
      </c>
      <c r="J9" s="36">
        <v>122487000</v>
      </c>
      <c r="K9" s="36">
        <v>127339000</v>
      </c>
      <c r="L9" s="36">
        <v>123805000</v>
      </c>
      <c r="M9" s="36">
        <v>126796000</v>
      </c>
      <c r="N9" s="36">
        <v>132745000</v>
      </c>
      <c r="O9" s="36">
        <v>125838000</v>
      </c>
      <c r="P9" s="36">
        <v>130623000</v>
      </c>
      <c r="Q9" s="36">
        <v>90703000</v>
      </c>
      <c r="R9" s="36">
        <v>55765000</v>
      </c>
      <c r="S9" s="36">
        <v>50690000</v>
      </c>
      <c r="T9" s="36">
        <v>44693000</v>
      </c>
      <c r="U9" s="36">
        <v>41682000</v>
      </c>
      <c r="V9" s="36">
        <v>42486000</v>
      </c>
      <c r="W9" s="36">
        <v>39572000</v>
      </c>
      <c r="X9" s="36">
        <v>35100000</v>
      </c>
      <c r="Y9" s="36">
        <v>32100000</v>
      </c>
      <c r="Z9" s="36">
        <v>21500000</v>
      </c>
      <c r="AA9" s="36">
        <v>19100000</v>
      </c>
      <c r="AB9" s="36">
        <v>16700000</v>
      </c>
      <c r="AC9" s="36">
        <v>15000000</v>
      </c>
      <c r="AD9" s="36">
        <v>14500000</v>
      </c>
      <c r="AE9" s="36">
        <v>12400000</v>
      </c>
      <c r="AF9" s="36">
        <v>10300000</v>
      </c>
      <c r="AG9" s="36">
        <v>9700000</v>
      </c>
      <c r="AH9" s="36">
        <v>9200000</v>
      </c>
      <c r="AI9" s="36">
        <v>9100000</v>
      </c>
      <c r="AJ9" s="36">
        <v>8800000</v>
      </c>
    </row>
    <row r="10" spans="1:36">
      <c r="A10" t="s">
        <v>279</v>
      </c>
      <c r="B10" s="36">
        <v>698242000</v>
      </c>
      <c r="C10" s="36">
        <v>347782000</v>
      </c>
      <c r="D10" s="36">
        <v>642200000</v>
      </c>
      <c r="E10" s="36">
        <v>584350000</v>
      </c>
      <c r="F10" s="36">
        <v>558102000</v>
      </c>
      <c r="G10" s="36">
        <v>538881000</v>
      </c>
      <c r="H10" s="36">
        <v>517626000</v>
      </c>
      <c r="I10" s="36">
        <v>496079000</v>
      </c>
      <c r="J10" s="36">
        <v>472344000</v>
      </c>
      <c r="K10" s="36">
        <v>451403000</v>
      </c>
      <c r="N10" s="36">
        <v>-23098000</v>
      </c>
      <c r="O10" s="36">
        <v>418550000</v>
      </c>
      <c r="P10" s="36">
        <v>54898000</v>
      </c>
      <c r="S10" s="36">
        <v>4498000</v>
      </c>
      <c r="T10" s="36">
        <v>5865000</v>
      </c>
      <c r="U10" s="36">
        <v>7229000</v>
      </c>
    </row>
    <row r="11" spans="1:36">
      <c r="A11" t="s">
        <v>104</v>
      </c>
      <c r="B11" s="36">
        <v>158950000</v>
      </c>
      <c r="C11" s="36">
        <v>-459885000</v>
      </c>
      <c r="D11" s="36">
        <v>313753000</v>
      </c>
      <c r="E11" s="36">
        <v>300585000</v>
      </c>
      <c r="F11" s="36">
        <v>306062000</v>
      </c>
      <c r="G11" s="36">
        <v>329526000</v>
      </c>
      <c r="H11" s="36">
        <v>316204000</v>
      </c>
      <c r="I11" s="36">
        <v>287168000</v>
      </c>
      <c r="J11" s="36">
        <v>295557000</v>
      </c>
      <c r="K11" s="36">
        <v>256353000</v>
      </c>
      <c r="L11" s="36">
        <v>241333000</v>
      </c>
      <c r="M11" s="36">
        <v>218774000</v>
      </c>
      <c r="N11" s="36">
        <v>190287000</v>
      </c>
      <c r="O11" s="36">
        <v>229336000</v>
      </c>
      <c r="P11" s="36">
        <v>154571000</v>
      </c>
      <c r="Q11" s="36">
        <v>219496000</v>
      </c>
      <c r="R11" s="36">
        <v>137322000</v>
      </c>
      <c r="S11" s="36">
        <v>117830000</v>
      </c>
      <c r="T11" s="36">
        <v>125149000</v>
      </c>
      <c r="U11" s="36">
        <v>121192000</v>
      </c>
      <c r="V11" s="36">
        <v>98557000</v>
      </c>
      <c r="W11" s="36">
        <v>123343000</v>
      </c>
      <c r="X11" s="36">
        <v>116700000</v>
      </c>
      <c r="Y11" s="36">
        <v>112600000</v>
      </c>
      <c r="Z11" s="36">
        <v>76300000</v>
      </c>
      <c r="AA11" s="36">
        <v>81000000</v>
      </c>
      <c r="AB11" s="36">
        <v>73000000</v>
      </c>
      <c r="AC11" s="36">
        <v>68100000</v>
      </c>
      <c r="AD11" s="36">
        <v>57400000</v>
      </c>
      <c r="AE11" s="36">
        <v>49200000</v>
      </c>
      <c r="AF11" s="36">
        <v>42500000</v>
      </c>
      <c r="AG11" s="36">
        <v>40400000</v>
      </c>
      <c r="AH11" s="36">
        <v>39600000</v>
      </c>
      <c r="AI11" s="36">
        <v>30200000</v>
      </c>
      <c r="AJ11" s="36">
        <v>30100000</v>
      </c>
    </row>
    <row r="12" spans="1:36">
      <c r="A12" t="s">
        <v>105</v>
      </c>
      <c r="B12" s="36">
        <v>-184032000</v>
      </c>
      <c r="C12" s="36">
        <v>-150669000</v>
      </c>
      <c r="D12" s="36">
        <v>-100364000</v>
      </c>
      <c r="E12" s="36">
        <v>-85687000</v>
      </c>
      <c r="F12" s="36">
        <v>-85603000</v>
      </c>
      <c r="G12" s="36">
        <v>-83686000</v>
      </c>
      <c r="H12" s="36">
        <v>-86785000</v>
      </c>
      <c r="I12" s="36">
        <v>-96286000</v>
      </c>
      <c r="J12" s="36">
        <v>-103071000</v>
      </c>
      <c r="K12" s="36">
        <v>-110619000</v>
      </c>
      <c r="L12" s="36">
        <v>-157185000</v>
      </c>
      <c r="M12" s="36">
        <v>-150285000</v>
      </c>
      <c r="N12" s="36">
        <v>-124706000</v>
      </c>
      <c r="O12" s="36">
        <v>-129561000</v>
      </c>
    </row>
    <row r="13" spans="1:36">
      <c r="A13" t="s">
        <v>106</v>
      </c>
      <c r="G13" s="36">
        <v>177000</v>
      </c>
      <c r="H13" s="36">
        <v>64000</v>
      </c>
    </row>
    <row r="14" spans="1:36">
      <c r="A14" t="s">
        <v>107</v>
      </c>
      <c r="B14" s="36">
        <v>184032000</v>
      </c>
      <c r="C14" s="36">
        <v>150669000</v>
      </c>
      <c r="D14" s="36">
        <v>100364000</v>
      </c>
      <c r="E14" s="36">
        <v>85687000</v>
      </c>
      <c r="F14" s="36">
        <v>85603000</v>
      </c>
      <c r="G14" s="36">
        <v>83863000</v>
      </c>
      <c r="H14" s="36">
        <v>86849000</v>
      </c>
      <c r="I14" s="36">
        <v>96286000</v>
      </c>
      <c r="J14" s="36">
        <v>103071000</v>
      </c>
      <c r="K14" s="36">
        <v>110619000</v>
      </c>
      <c r="L14" s="36">
        <v>157185000</v>
      </c>
      <c r="M14" s="36">
        <v>150285000</v>
      </c>
      <c r="N14" s="36">
        <v>124706000</v>
      </c>
      <c r="O14" s="36">
        <v>129561000</v>
      </c>
    </row>
    <row r="15" spans="1:36">
      <c r="A15" t="s">
        <v>108</v>
      </c>
      <c r="B15" s="36">
        <v>-3401000</v>
      </c>
      <c r="C15" s="36">
        <v>-117604000</v>
      </c>
      <c r="D15" s="36">
        <v>1765000</v>
      </c>
      <c r="E15" s="36">
        <v>-53502000</v>
      </c>
      <c r="F15" s="36">
        <v>-3871000</v>
      </c>
      <c r="G15" s="36">
        <v>3266000</v>
      </c>
      <c r="H15" s="36">
        <v>-95005000</v>
      </c>
      <c r="I15" s="36">
        <v>-76782000</v>
      </c>
      <c r="J15" s="36">
        <v>-64039000</v>
      </c>
      <c r="K15" s="36">
        <v>-13153000</v>
      </c>
      <c r="L15" s="36">
        <v>-153000</v>
      </c>
      <c r="M15" s="36">
        <v>-96811000</v>
      </c>
      <c r="N15" s="36">
        <v>-15174000</v>
      </c>
      <c r="O15" s="36">
        <v>-95004000</v>
      </c>
      <c r="P15" s="36">
        <v>-54163000</v>
      </c>
      <c r="Q15" s="36">
        <v>-4638000</v>
      </c>
      <c r="R15" s="36">
        <v>459000</v>
      </c>
      <c r="S15" s="36">
        <v>-35000</v>
      </c>
      <c r="T15" s="36">
        <v>-3138000</v>
      </c>
      <c r="U15" s="36">
        <v>-14878000</v>
      </c>
      <c r="W15" s="36">
        <v>-7827000</v>
      </c>
      <c r="AC15" s="36">
        <v>2100000</v>
      </c>
      <c r="AJ15" s="36">
        <v>-2600000</v>
      </c>
    </row>
    <row r="16" spans="1:36">
      <c r="A16" t="s">
        <v>109</v>
      </c>
      <c r="B16" s="36">
        <v>12694000</v>
      </c>
      <c r="C16" s="36">
        <v>-3655000</v>
      </c>
      <c r="D16" s="36">
        <v>5192000</v>
      </c>
      <c r="E16" s="36">
        <v>-43584000</v>
      </c>
      <c r="F16" s="36">
        <v>31008000</v>
      </c>
      <c r="G16" s="36">
        <v>15853000</v>
      </c>
      <c r="H16" s="36">
        <v>-74132000</v>
      </c>
      <c r="I16" s="36">
        <v>-38811000</v>
      </c>
      <c r="J16" s="36">
        <v>-35824000</v>
      </c>
      <c r="K16" s="36">
        <v>10490000</v>
      </c>
      <c r="L16" s="36">
        <v>-9909000</v>
      </c>
    </row>
    <row r="17" spans="1:36">
      <c r="A17" t="s">
        <v>110</v>
      </c>
      <c r="B17" s="36">
        <v>-16395000</v>
      </c>
      <c r="C17" s="36">
        <v>-114396000</v>
      </c>
      <c r="D17" s="36">
        <v>-4931000</v>
      </c>
      <c r="E17" s="36">
        <v>-11251000</v>
      </c>
      <c r="F17" s="36">
        <v>-35849000</v>
      </c>
      <c r="G17" s="36">
        <v>-12587000</v>
      </c>
      <c r="H17" s="36">
        <v>-20873000</v>
      </c>
      <c r="I17" s="36">
        <v>-38097000</v>
      </c>
      <c r="J17" s="36">
        <v>-28369000</v>
      </c>
      <c r="K17" s="36">
        <v>-23711000</v>
      </c>
      <c r="L17" s="36">
        <v>9756000</v>
      </c>
      <c r="M17" s="36">
        <v>-96811000</v>
      </c>
      <c r="N17" s="36">
        <v>-15174000</v>
      </c>
      <c r="O17" s="36">
        <v>-95413000</v>
      </c>
      <c r="P17" s="36">
        <v>-54163000</v>
      </c>
      <c r="Q17" s="36">
        <v>-4638000</v>
      </c>
      <c r="R17" s="36">
        <v>459000</v>
      </c>
      <c r="S17" s="36">
        <v>-35000</v>
      </c>
      <c r="T17" s="36">
        <v>-3138000</v>
      </c>
      <c r="U17" s="36">
        <v>-14878000</v>
      </c>
      <c r="W17" s="36">
        <v>-7827000</v>
      </c>
      <c r="AC17" s="36">
        <v>2100000</v>
      </c>
      <c r="AJ17" s="36">
        <v>-2600000</v>
      </c>
    </row>
    <row r="18" spans="1:36">
      <c r="A18" t="s">
        <v>111</v>
      </c>
      <c r="B18" s="36">
        <v>10486000</v>
      </c>
      <c r="C18" s="36">
        <v>112134000</v>
      </c>
      <c r="D18" s="36">
        <v>4931000</v>
      </c>
      <c r="E18" s="36">
        <v>10178000</v>
      </c>
      <c r="F18" s="36">
        <v>12728000</v>
      </c>
      <c r="G18" s="36">
        <v>12587000</v>
      </c>
      <c r="H18" s="36">
        <v>20873000</v>
      </c>
      <c r="I18" s="36">
        <v>9757000</v>
      </c>
      <c r="J18" s="36">
        <v>2539000</v>
      </c>
      <c r="K18" s="36">
        <v>30336000</v>
      </c>
      <c r="L18" s="36">
        <v>2565000</v>
      </c>
      <c r="M18" s="36">
        <v>65045000</v>
      </c>
      <c r="N18" s="36">
        <v>4744000</v>
      </c>
      <c r="O18" s="36">
        <v>95413000</v>
      </c>
    </row>
    <row r="19" spans="1:36">
      <c r="A19" t="s">
        <v>112</v>
      </c>
      <c r="B19" s="36">
        <v>5909000</v>
      </c>
      <c r="C19" s="36">
        <v>2262000</v>
      </c>
      <c r="E19" s="36">
        <v>1073000</v>
      </c>
      <c r="F19" s="36">
        <v>23121000</v>
      </c>
      <c r="I19" s="36">
        <v>29261000</v>
      </c>
      <c r="J19" s="36">
        <v>34573000</v>
      </c>
      <c r="L19" s="36">
        <v>-12321000</v>
      </c>
      <c r="M19" s="36">
        <v>31766000</v>
      </c>
      <c r="N19" s="36">
        <v>10430000</v>
      </c>
    </row>
    <row r="20" spans="1:36">
      <c r="A20" t="s">
        <v>113</v>
      </c>
      <c r="B20" s="36">
        <v>-129000</v>
      </c>
      <c r="G20">
        <v>0</v>
      </c>
      <c r="I20" s="36">
        <v>921000</v>
      </c>
      <c r="J20" s="36">
        <v>8743000</v>
      </c>
      <c r="K20" s="36">
        <v>6625000</v>
      </c>
      <c r="M20">
        <v>0</v>
      </c>
    </row>
    <row r="21" spans="1:36">
      <c r="A21" t="s">
        <v>114</v>
      </c>
      <c r="B21" s="36">
        <v>300000</v>
      </c>
      <c r="C21" s="36">
        <v>447000</v>
      </c>
      <c r="D21" s="36">
        <v>1504000</v>
      </c>
      <c r="E21" s="36">
        <v>1333000</v>
      </c>
      <c r="F21" s="36">
        <v>970000</v>
      </c>
      <c r="I21" s="36">
        <v>126000</v>
      </c>
      <c r="J21" s="36">
        <v>154000</v>
      </c>
      <c r="K21" s="36">
        <v>68000</v>
      </c>
      <c r="O21" s="36">
        <v>409000</v>
      </c>
    </row>
    <row r="22" spans="1:36">
      <c r="A22" t="s">
        <v>115</v>
      </c>
      <c r="B22" s="36">
        <v>-28483000</v>
      </c>
      <c r="C22" s="36">
        <v>-728158000</v>
      </c>
      <c r="D22" s="36">
        <v>215154000</v>
      </c>
      <c r="E22" s="36">
        <v>161396000</v>
      </c>
      <c r="F22" s="36">
        <v>216588000</v>
      </c>
      <c r="G22" s="36">
        <v>249106000</v>
      </c>
      <c r="H22" s="36">
        <v>134414000</v>
      </c>
      <c r="I22" s="36">
        <v>114100000</v>
      </c>
      <c r="J22" s="36">
        <v>128447000</v>
      </c>
      <c r="K22" s="36">
        <v>132581000</v>
      </c>
      <c r="L22" s="36">
        <v>83995000</v>
      </c>
      <c r="M22" s="36">
        <v>-28322000</v>
      </c>
      <c r="N22" s="36">
        <v>50407000</v>
      </c>
      <c r="O22" s="36">
        <v>4771000</v>
      </c>
      <c r="P22" s="36">
        <v>9738000</v>
      </c>
      <c r="Q22" s="36">
        <v>126564000</v>
      </c>
      <c r="R22" s="36">
        <v>111576000</v>
      </c>
      <c r="S22" s="36">
        <v>97030000</v>
      </c>
      <c r="T22" s="36">
        <v>103806000</v>
      </c>
      <c r="U22" s="36">
        <v>88576000</v>
      </c>
      <c r="V22" s="36">
        <v>74414000</v>
      </c>
      <c r="W22" s="36">
        <v>94159000</v>
      </c>
      <c r="X22" s="36">
        <v>101400000</v>
      </c>
      <c r="Y22" s="36">
        <v>97900000</v>
      </c>
      <c r="AD22" s="36">
        <v>50900000</v>
      </c>
    </row>
    <row r="23" spans="1:36">
      <c r="A23" t="s">
        <v>116</v>
      </c>
      <c r="B23" s="36">
        <v>20035000</v>
      </c>
      <c r="C23" s="36">
        <v>-137915000</v>
      </c>
      <c r="D23" s="36">
        <v>42789000</v>
      </c>
      <c r="E23" s="36">
        <v>34743000</v>
      </c>
      <c r="F23" s="36">
        <v>1112000</v>
      </c>
      <c r="G23" s="36">
        <v>71418000</v>
      </c>
      <c r="H23" s="36">
        <v>22192000</v>
      </c>
      <c r="I23" s="36">
        <v>9885000</v>
      </c>
      <c r="J23" s="36">
        <v>20243000</v>
      </c>
      <c r="K23" s="36">
        <v>31365000</v>
      </c>
      <c r="L23" s="36">
        <v>11837000</v>
      </c>
      <c r="M23" s="36">
        <v>3245000</v>
      </c>
      <c r="N23" s="36">
        <v>14978000</v>
      </c>
      <c r="O23" s="36">
        <v>-935000</v>
      </c>
      <c r="P23" s="36">
        <v>14229000</v>
      </c>
      <c r="Q23" s="36">
        <v>39087000</v>
      </c>
      <c r="R23" s="36">
        <v>-49276000</v>
      </c>
      <c r="S23" s="36">
        <v>18715000</v>
      </c>
      <c r="T23" s="36">
        <v>17918000</v>
      </c>
      <c r="U23" s="36">
        <v>17159000</v>
      </c>
      <c r="V23" s="36">
        <v>16520000</v>
      </c>
      <c r="W23" s="36">
        <v>16353000</v>
      </c>
      <c r="X23" s="36">
        <v>15600000</v>
      </c>
      <c r="Y23" s="36">
        <v>14500000</v>
      </c>
      <c r="AD23" s="36">
        <v>-11000000</v>
      </c>
    </row>
    <row r="24" spans="1:36">
      <c r="A24" t="s">
        <v>117</v>
      </c>
      <c r="B24" s="36">
        <v>-48518000</v>
      </c>
      <c r="C24" s="36">
        <v>-590237000</v>
      </c>
      <c r="D24" s="36">
        <v>172363000</v>
      </c>
      <c r="E24" s="36">
        <v>126652000</v>
      </c>
      <c r="F24" s="36">
        <v>215474000</v>
      </c>
      <c r="G24" s="36">
        <v>177686000</v>
      </c>
      <c r="H24" s="36">
        <v>112221000</v>
      </c>
      <c r="I24" s="36">
        <v>104214000</v>
      </c>
      <c r="J24" s="36">
        <v>108203000</v>
      </c>
      <c r="K24" s="36">
        <v>101215000</v>
      </c>
      <c r="L24" s="36">
        <v>144315000</v>
      </c>
      <c r="M24" s="36">
        <v>-31567000</v>
      </c>
      <c r="N24" s="36">
        <v>35429000</v>
      </c>
      <c r="O24" s="36">
        <v>5706000</v>
      </c>
      <c r="P24" s="36">
        <v>-4491000</v>
      </c>
      <c r="Q24" s="36">
        <v>87477000</v>
      </c>
      <c r="R24" s="36">
        <v>160852000</v>
      </c>
      <c r="S24" s="36">
        <v>78315000</v>
      </c>
      <c r="T24" s="36">
        <v>85888000</v>
      </c>
      <c r="U24" s="36">
        <v>71417000</v>
      </c>
      <c r="V24" s="36">
        <v>57894000</v>
      </c>
      <c r="W24" s="36">
        <v>77806000</v>
      </c>
      <c r="X24" s="36">
        <v>85800000</v>
      </c>
      <c r="Y24" s="36">
        <v>83400000</v>
      </c>
      <c r="Z24" s="36">
        <v>68500000</v>
      </c>
      <c r="AA24" s="36">
        <v>74200000</v>
      </c>
      <c r="AB24" s="36">
        <v>66100000</v>
      </c>
      <c r="AC24" s="36">
        <v>62800000</v>
      </c>
      <c r="AD24" s="36">
        <v>61900000</v>
      </c>
      <c r="AE24" s="36">
        <v>42900000</v>
      </c>
      <c r="AF24" s="36">
        <v>36000000</v>
      </c>
      <c r="AG24" s="36">
        <v>33200000</v>
      </c>
      <c r="AH24" s="36">
        <v>31600000</v>
      </c>
      <c r="AI24" s="36">
        <v>22600000</v>
      </c>
      <c r="AJ24" s="36">
        <v>12800000</v>
      </c>
    </row>
    <row r="25" spans="1:36">
      <c r="A25" t="s">
        <v>118</v>
      </c>
      <c r="B25" s="36">
        <v>-48518000</v>
      </c>
      <c r="C25" s="36">
        <v>-590243000</v>
      </c>
      <c r="D25" s="36">
        <v>172365000</v>
      </c>
      <c r="E25" s="36">
        <v>126653000</v>
      </c>
      <c r="F25" s="36">
        <v>215476000</v>
      </c>
      <c r="G25" s="36">
        <v>177688000</v>
      </c>
      <c r="H25" s="36">
        <v>112222000</v>
      </c>
      <c r="I25" s="36">
        <v>104215000</v>
      </c>
      <c r="J25" s="36">
        <v>108204000</v>
      </c>
      <c r="K25" s="36">
        <v>101216000</v>
      </c>
      <c r="L25" s="36">
        <v>144316000</v>
      </c>
      <c r="M25" s="36">
        <v>-31567000</v>
      </c>
      <c r="N25" s="36">
        <v>35429000</v>
      </c>
      <c r="O25" s="36">
        <v>5706000</v>
      </c>
      <c r="P25" s="36">
        <v>-4491000</v>
      </c>
      <c r="Q25" s="36">
        <v>87477000</v>
      </c>
      <c r="R25" s="36">
        <v>160852000</v>
      </c>
      <c r="S25" s="36">
        <v>78315000</v>
      </c>
      <c r="T25" s="36">
        <v>85888000</v>
      </c>
      <c r="U25" s="36">
        <v>71417000</v>
      </c>
      <c r="V25" s="36">
        <v>57894000</v>
      </c>
      <c r="W25" s="36">
        <v>77806000</v>
      </c>
      <c r="X25" s="36">
        <v>85800000</v>
      </c>
      <c r="Y25" s="36">
        <v>83400000</v>
      </c>
      <c r="Z25" s="36">
        <v>68500000</v>
      </c>
      <c r="AA25" s="36">
        <v>74200000</v>
      </c>
      <c r="AB25" s="36">
        <v>66100000</v>
      </c>
      <c r="AC25" s="36">
        <v>62800000</v>
      </c>
      <c r="AD25" s="36">
        <v>61900000</v>
      </c>
      <c r="AE25" s="36">
        <v>42900000</v>
      </c>
      <c r="AF25" s="36">
        <v>36000000</v>
      </c>
      <c r="AG25" s="36">
        <v>33200000</v>
      </c>
      <c r="AH25" s="36">
        <v>31600000</v>
      </c>
      <c r="AI25" s="36">
        <v>22600000</v>
      </c>
      <c r="AJ25" s="36">
        <v>12800000</v>
      </c>
    </row>
    <row r="26" spans="1:36">
      <c r="A26" t="s">
        <v>119</v>
      </c>
      <c r="B26" s="36">
        <v>-48518000</v>
      </c>
      <c r="C26" s="36">
        <v>-590243000</v>
      </c>
      <c r="D26" s="36">
        <v>172365000</v>
      </c>
      <c r="E26" s="36">
        <v>126653000</v>
      </c>
      <c r="F26" s="36">
        <v>215476000</v>
      </c>
      <c r="G26" s="36">
        <v>177688000</v>
      </c>
      <c r="H26" s="36">
        <v>112222000</v>
      </c>
      <c r="I26" s="36">
        <v>104215000</v>
      </c>
      <c r="J26" s="36">
        <v>108204000</v>
      </c>
      <c r="K26" s="36">
        <v>101216000</v>
      </c>
      <c r="L26" s="36">
        <v>72158000</v>
      </c>
      <c r="M26" s="36">
        <v>-31567000</v>
      </c>
      <c r="N26" s="36">
        <v>35429000</v>
      </c>
      <c r="O26" s="36">
        <v>5706000</v>
      </c>
      <c r="P26" s="36">
        <v>-4491000</v>
      </c>
      <c r="Q26" s="36">
        <v>87477000</v>
      </c>
      <c r="R26" s="36">
        <v>160852000</v>
      </c>
      <c r="S26" s="36">
        <v>78315000</v>
      </c>
      <c r="T26" s="36">
        <v>85888000</v>
      </c>
      <c r="U26" s="36">
        <v>71417000</v>
      </c>
      <c r="V26" s="36">
        <v>57894000</v>
      </c>
      <c r="W26" s="36">
        <v>77806000</v>
      </c>
      <c r="X26" s="36">
        <v>85800000</v>
      </c>
      <c r="Y26" s="36">
        <v>83400000</v>
      </c>
      <c r="Z26" s="36">
        <v>68500000</v>
      </c>
      <c r="AA26" s="36">
        <v>74200000</v>
      </c>
      <c r="AB26" s="36">
        <v>66100000</v>
      </c>
      <c r="AC26" s="36">
        <v>62800000</v>
      </c>
      <c r="AD26" s="36">
        <v>61900000</v>
      </c>
      <c r="AE26" s="36">
        <v>42900000</v>
      </c>
      <c r="AF26" s="36">
        <v>36000000</v>
      </c>
      <c r="AG26" s="36">
        <v>33200000</v>
      </c>
      <c r="AH26" s="36">
        <v>31600000</v>
      </c>
      <c r="AI26" s="36">
        <v>22600000</v>
      </c>
      <c r="AJ26" s="36">
        <v>12800000</v>
      </c>
    </row>
    <row r="27" spans="1:36">
      <c r="A27" t="s">
        <v>120</v>
      </c>
      <c r="B27" s="36">
        <v>-48518000</v>
      </c>
      <c r="C27" s="36">
        <v>-590243000</v>
      </c>
      <c r="D27" s="36">
        <v>172365000</v>
      </c>
      <c r="E27" s="36">
        <v>126653000</v>
      </c>
      <c r="F27" s="36">
        <v>215476000</v>
      </c>
      <c r="G27" s="36">
        <v>177688000</v>
      </c>
      <c r="H27" s="36">
        <v>112222000</v>
      </c>
      <c r="I27" s="36">
        <v>104215000</v>
      </c>
      <c r="J27" s="36">
        <v>108204000</v>
      </c>
      <c r="K27" s="36">
        <v>101216000</v>
      </c>
      <c r="L27" s="36">
        <v>72158000</v>
      </c>
      <c r="M27" s="36">
        <v>-31567000</v>
      </c>
      <c r="N27" s="36">
        <v>35429000</v>
      </c>
      <c r="O27" s="36">
        <v>5706000</v>
      </c>
      <c r="P27" s="36">
        <v>-4491000</v>
      </c>
      <c r="Q27" s="36">
        <v>87477000</v>
      </c>
      <c r="R27" s="36">
        <v>160852000</v>
      </c>
      <c r="S27" s="36">
        <v>78315000</v>
      </c>
      <c r="T27" s="36">
        <v>85888000</v>
      </c>
      <c r="U27" s="36">
        <v>71417000</v>
      </c>
      <c r="V27" s="36">
        <v>57894000</v>
      </c>
      <c r="W27" s="36">
        <v>77806000</v>
      </c>
      <c r="X27" s="36">
        <v>85800000</v>
      </c>
      <c r="Y27" s="36">
        <v>83400000</v>
      </c>
      <c r="Z27" s="36">
        <v>68500000</v>
      </c>
      <c r="AA27" s="36">
        <v>74200000</v>
      </c>
      <c r="AB27" s="36">
        <v>66100000</v>
      </c>
      <c r="AC27" s="36">
        <v>62800000</v>
      </c>
      <c r="AD27" s="36">
        <v>61900000</v>
      </c>
      <c r="AE27" s="36">
        <v>42900000</v>
      </c>
      <c r="AF27" s="36">
        <v>36000000</v>
      </c>
      <c r="AG27" s="36">
        <v>33200000</v>
      </c>
      <c r="AH27" s="36">
        <v>31600000</v>
      </c>
      <c r="AI27" s="36">
        <v>22600000</v>
      </c>
      <c r="AJ27" s="36">
        <v>12800000</v>
      </c>
    </row>
    <row r="28" spans="1:36">
      <c r="A28" t="s">
        <v>121</v>
      </c>
      <c r="N28">
        <v>0</v>
      </c>
    </row>
    <row r="29" spans="1:36">
      <c r="A29" t="s">
        <v>280</v>
      </c>
      <c r="C29" s="36">
        <v>-6000</v>
      </c>
      <c r="D29" s="36">
        <v>2000</v>
      </c>
      <c r="E29" s="36">
        <v>1000</v>
      </c>
      <c r="F29" s="36">
        <v>2000</v>
      </c>
      <c r="G29" s="36">
        <v>2000</v>
      </c>
      <c r="H29" s="36">
        <v>1000</v>
      </c>
      <c r="I29" s="36">
        <v>1000</v>
      </c>
      <c r="J29" s="36">
        <v>1000</v>
      </c>
      <c r="K29" s="36">
        <v>1000</v>
      </c>
      <c r="L29" s="36">
        <v>1000</v>
      </c>
    </row>
    <row r="30" spans="1:36">
      <c r="A30" t="s">
        <v>122</v>
      </c>
      <c r="B30" s="36">
        <v>-48518000</v>
      </c>
      <c r="C30" s="36">
        <v>-590237000</v>
      </c>
      <c r="D30" s="36">
        <v>172363000</v>
      </c>
      <c r="E30" s="36">
        <v>126652000</v>
      </c>
      <c r="F30" s="36">
        <v>215474000</v>
      </c>
      <c r="G30" s="36">
        <v>177686000</v>
      </c>
      <c r="H30" s="36">
        <v>112221000</v>
      </c>
      <c r="I30" s="36">
        <v>104214000</v>
      </c>
      <c r="J30" s="36">
        <v>108203000</v>
      </c>
      <c r="K30" s="36">
        <v>101215000</v>
      </c>
      <c r="L30" s="36">
        <v>72158000</v>
      </c>
      <c r="M30" s="36">
        <v>-31567000</v>
      </c>
      <c r="N30" s="36">
        <v>35429000</v>
      </c>
      <c r="O30" s="36">
        <v>5706000</v>
      </c>
      <c r="P30" s="36">
        <v>-4491000</v>
      </c>
      <c r="Q30" s="36">
        <v>87477000</v>
      </c>
      <c r="R30" s="36">
        <v>160852000</v>
      </c>
      <c r="S30" s="36">
        <v>78315000</v>
      </c>
      <c r="T30" s="36">
        <v>85888000</v>
      </c>
      <c r="U30" s="36">
        <v>71417000</v>
      </c>
      <c r="V30" s="36">
        <v>57894000</v>
      </c>
      <c r="W30" s="36">
        <v>77806000</v>
      </c>
      <c r="X30" s="36">
        <v>85800000</v>
      </c>
      <c r="Y30" s="36">
        <v>83400000</v>
      </c>
      <c r="Z30" s="36">
        <v>68500000</v>
      </c>
      <c r="AA30" s="36">
        <v>74200000</v>
      </c>
      <c r="AB30" s="36">
        <v>66100000</v>
      </c>
      <c r="AC30" s="36">
        <v>62800000</v>
      </c>
      <c r="AD30" s="36">
        <v>61900000</v>
      </c>
      <c r="AE30" s="36">
        <v>42900000</v>
      </c>
      <c r="AF30" s="36">
        <v>36000000</v>
      </c>
      <c r="AG30" s="36">
        <v>33200000</v>
      </c>
      <c r="AH30" s="36">
        <v>31600000</v>
      </c>
      <c r="AI30" s="36">
        <v>22600000</v>
      </c>
      <c r="AJ30" s="36">
        <v>12800000</v>
      </c>
    </row>
    <row r="31" spans="1:36">
      <c r="A31" t="s">
        <v>123</v>
      </c>
      <c r="C31">
        <v>-10.409000000000001</v>
      </c>
      <c r="D31">
        <v>3.0419999999999998</v>
      </c>
      <c r="E31">
        <v>2.25</v>
      </c>
      <c r="F31">
        <v>3.84</v>
      </c>
      <c r="G31">
        <v>3.18</v>
      </c>
      <c r="H31">
        <v>2.0099999999999998</v>
      </c>
      <c r="I31">
        <v>1.88</v>
      </c>
      <c r="J31">
        <v>1.95</v>
      </c>
      <c r="K31">
        <v>1.82</v>
      </c>
      <c r="L31">
        <v>1.3</v>
      </c>
      <c r="M31">
        <v>-0.56999999999999995</v>
      </c>
      <c r="N31">
        <v>0.64</v>
      </c>
      <c r="O31">
        <v>0.1</v>
      </c>
      <c r="P31">
        <v>-0.08</v>
      </c>
      <c r="Q31">
        <v>1.62</v>
      </c>
      <c r="R31">
        <v>3</v>
      </c>
      <c r="S31">
        <v>1.51</v>
      </c>
      <c r="T31">
        <v>1.7</v>
      </c>
      <c r="U31">
        <v>1.41</v>
      </c>
      <c r="V31">
        <v>1.1399999999999999</v>
      </c>
      <c r="W31">
        <v>1.51</v>
      </c>
      <c r="X31">
        <v>1.64</v>
      </c>
      <c r="Y31">
        <v>1.62</v>
      </c>
      <c r="Z31">
        <v>1.48</v>
      </c>
      <c r="AA31">
        <v>1.59</v>
      </c>
      <c r="AB31">
        <v>1.45</v>
      </c>
      <c r="AC31">
        <v>1.395</v>
      </c>
      <c r="AD31">
        <v>1.38</v>
      </c>
      <c r="AE31">
        <v>0.98</v>
      </c>
      <c r="AF31">
        <v>0.84</v>
      </c>
      <c r="AG31">
        <v>0.78</v>
      </c>
      <c r="AH31">
        <v>0.74</v>
      </c>
      <c r="AI31">
        <v>0.53</v>
      </c>
      <c r="AJ31">
        <v>0.4</v>
      </c>
    </row>
    <row r="32" spans="1:36">
      <c r="A32" t="s">
        <v>124</v>
      </c>
      <c r="C32">
        <v>-10.409000000000001</v>
      </c>
      <c r="D32">
        <v>3.0419999999999998</v>
      </c>
      <c r="E32">
        <v>2.23</v>
      </c>
      <c r="F32">
        <v>3.79</v>
      </c>
      <c r="G32">
        <v>3.14</v>
      </c>
      <c r="H32">
        <v>1.99</v>
      </c>
      <c r="I32">
        <v>1.86</v>
      </c>
      <c r="J32">
        <v>1.94</v>
      </c>
      <c r="K32">
        <v>1.81</v>
      </c>
      <c r="L32">
        <v>1.29</v>
      </c>
      <c r="M32">
        <v>-0.56999999999999995</v>
      </c>
      <c r="N32">
        <v>0.63</v>
      </c>
      <c r="O32">
        <v>0.1</v>
      </c>
      <c r="P32">
        <v>-0.08</v>
      </c>
      <c r="Q32">
        <v>1.59</v>
      </c>
      <c r="R32">
        <v>2.93</v>
      </c>
      <c r="S32">
        <v>1.47</v>
      </c>
      <c r="T32">
        <v>1.67</v>
      </c>
      <c r="U32">
        <v>1.39</v>
      </c>
      <c r="V32">
        <v>1.1299999999999999</v>
      </c>
      <c r="W32">
        <v>1.5</v>
      </c>
      <c r="X32">
        <v>1.63</v>
      </c>
      <c r="Y32">
        <v>1.58</v>
      </c>
      <c r="Z32">
        <v>1.47</v>
      </c>
      <c r="AA32">
        <v>1.59</v>
      </c>
      <c r="AB32">
        <v>1.45</v>
      </c>
      <c r="AC32">
        <v>1.395</v>
      </c>
      <c r="AD32">
        <v>1.38</v>
      </c>
      <c r="AE32">
        <v>0.98</v>
      </c>
      <c r="AF32">
        <v>0.84</v>
      </c>
      <c r="AG32">
        <v>0.78</v>
      </c>
      <c r="AH32">
        <v>0.74</v>
      </c>
      <c r="AI32">
        <v>0.53</v>
      </c>
      <c r="AJ32">
        <v>0.4</v>
      </c>
    </row>
    <row r="33" spans="1:36">
      <c r="A33" t="s">
        <v>125</v>
      </c>
      <c r="C33" s="36">
        <v>56706000</v>
      </c>
      <c r="D33" s="36">
        <v>56666000</v>
      </c>
      <c r="E33" s="36">
        <v>56212000</v>
      </c>
      <c r="F33" s="36">
        <v>56061000</v>
      </c>
      <c r="G33" s="36">
        <v>55933000</v>
      </c>
      <c r="H33" s="36">
        <v>55745000</v>
      </c>
      <c r="I33" s="36">
        <v>55548000</v>
      </c>
      <c r="J33" s="36">
        <v>55476000</v>
      </c>
      <c r="K33" s="36">
        <v>55518000</v>
      </c>
      <c r="L33" s="36">
        <v>55345000</v>
      </c>
      <c r="M33" s="36">
        <v>55316000</v>
      </c>
      <c r="N33" s="36">
        <v>55186000</v>
      </c>
      <c r="O33" s="36">
        <v>54811000</v>
      </c>
      <c r="P33" s="36">
        <v>54200000</v>
      </c>
      <c r="Q33" s="36">
        <v>53957000</v>
      </c>
      <c r="R33" s="36">
        <v>53659000</v>
      </c>
      <c r="S33" s="36">
        <v>51968000</v>
      </c>
      <c r="T33" s="36">
        <v>50615000</v>
      </c>
      <c r="U33" s="36">
        <v>50523000</v>
      </c>
      <c r="V33" s="36">
        <v>50745000</v>
      </c>
      <c r="W33" s="36">
        <v>51369000</v>
      </c>
      <c r="X33" s="36">
        <v>51928000</v>
      </c>
      <c r="Y33" s="36">
        <v>51161000</v>
      </c>
      <c r="Z33" s="36">
        <v>45965000</v>
      </c>
      <c r="AA33" s="36">
        <v>46116000</v>
      </c>
      <c r="AB33" s="36">
        <v>45214000</v>
      </c>
      <c r="AC33" s="36">
        <v>44534000</v>
      </c>
      <c r="AD33" s="36">
        <v>44855072</v>
      </c>
      <c r="AE33" s="36">
        <v>43775510</v>
      </c>
      <c r="AF33" s="36">
        <v>42857143</v>
      </c>
      <c r="AG33" s="36">
        <v>42564103</v>
      </c>
      <c r="AH33" s="36">
        <v>42702703</v>
      </c>
      <c r="AI33" s="36">
        <v>42641509</v>
      </c>
      <c r="AJ33" s="36">
        <v>32000000</v>
      </c>
    </row>
    <row r="34" spans="1:36">
      <c r="A34" t="s">
        <v>126</v>
      </c>
      <c r="C34" s="36">
        <v>56706000</v>
      </c>
      <c r="D34" s="36">
        <v>56666000</v>
      </c>
      <c r="E34" s="36">
        <v>56860000</v>
      </c>
      <c r="F34" s="36">
        <v>56800000</v>
      </c>
      <c r="G34" s="36">
        <v>56562000</v>
      </c>
      <c r="H34" s="36">
        <v>56356000</v>
      </c>
      <c r="I34" s="36">
        <v>55992000</v>
      </c>
      <c r="J34" s="36">
        <v>55825000</v>
      </c>
      <c r="K34" s="36">
        <v>55895000</v>
      </c>
      <c r="L34" s="36">
        <v>55886000</v>
      </c>
      <c r="M34" s="36">
        <v>55316000</v>
      </c>
      <c r="N34" s="36">
        <v>55906000</v>
      </c>
      <c r="O34" s="36">
        <v>55446000</v>
      </c>
      <c r="P34" s="36">
        <v>54200000</v>
      </c>
      <c r="Q34" s="36">
        <v>54872000</v>
      </c>
      <c r="R34" s="36">
        <v>54950000</v>
      </c>
      <c r="S34" s="36">
        <v>53315000</v>
      </c>
      <c r="T34" s="36">
        <v>51334000</v>
      </c>
      <c r="U34" s="36">
        <v>51263000</v>
      </c>
      <c r="V34" s="36">
        <v>51113000</v>
      </c>
      <c r="W34" s="36">
        <v>51679000</v>
      </c>
      <c r="X34" s="36">
        <v>52390000</v>
      </c>
      <c r="Y34" s="36">
        <v>52414000</v>
      </c>
      <c r="Z34" s="36">
        <v>46265000</v>
      </c>
      <c r="AA34" s="36">
        <v>46595745</v>
      </c>
      <c r="AB34" s="36">
        <v>45862069</v>
      </c>
      <c r="AC34" s="36">
        <v>44909091</v>
      </c>
      <c r="AD34" s="36">
        <v>44855072</v>
      </c>
      <c r="AE34" s="36">
        <v>43775510</v>
      </c>
      <c r="AF34" s="36">
        <v>42857143</v>
      </c>
      <c r="AG34" s="36">
        <v>42564103</v>
      </c>
      <c r="AH34" s="36">
        <v>42702703</v>
      </c>
      <c r="AI34" s="36">
        <v>42641509</v>
      </c>
      <c r="AJ34" s="36">
        <v>32000000</v>
      </c>
    </row>
    <row r="35" spans="1:36">
      <c r="A35" t="s">
        <v>281</v>
      </c>
      <c r="B35" s="36">
        <v>148335000</v>
      </c>
      <c r="C35" s="36">
        <v>-572008000</v>
      </c>
      <c r="D35" s="36">
        <v>309439000</v>
      </c>
      <c r="E35" s="36">
        <v>290519000</v>
      </c>
      <c r="F35" s="36">
        <v>295211000</v>
      </c>
      <c r="G35" s="36">
        <v>316939000</v>
      </c>
      <c r="H35" s="36">
        <v>295331000</v>
      </c>
      <c r="I35" s="36">
        <v>278332000</v>
      </c>
      <c r="J35" s="36">
        <v>301761000</v>
      </c>
      <c r="K35" s="36">
        <v>232642000</v>
      </c>
      <c r="L35" s="36">
        <v>238768000</v>
      </c>
      <c r="M35" s="36">
        <v>153729000</v>
      </c>
      <c r="N35" s="36">
        <v>185543000</v>
      </c>
      <c r="O35" s="36">
        <v>133923000</v>
      </c>
      <c r="P35" s="36">
        <v>154571000</v>
      </c>
      <c r="Q35" s="36">
        <v>219496000</v>
      </c>
      <c r="R35" s="36">
        <v>137322000</v>
      </c>
      <c r="S35" s="36">
        <v>117830000</v>
      </c>
      <c r="T35" s="36">
        <v>125149000</v>
      </c>
      <c r="U35" s="36">
        <v>121192000</v>
      </c>
      <c r="V35" s="36">
        <v>98557000</v>
      </c>
      <c r="W35" s="36">
        <v>123343000</v>
      </c>
      <c r="X35" s="36">
        <v>116700000</v>
      </c>
      <c r="Y35" s="36">
        <v>112600000</v>
      </c>
      <c r="Z35" s="36">
        <v>76300000</v>
      </c>
      <c r="AA35" s="36">
        <v>81000000</v>
      </c>
      <c r="AB35" s="36">
        <v>73000000</v>
      </c>
      <c r="AC35" s="36">
        <v>68100000</v>
      </c>
      <c r="AD35" s="36">
        <v>57400000</v>
      </c>
      <c r="AE35" s="36">
        <v>49200000</v>
      </c>
      <c r="AF35" s="36">
        <v>42500000</v>
      </c>
      <c r="AG35" s="36">
        <v>40400000</v>
      </c>
      <c r="AH35" s="36">
        <v>39600000</v>
      </c>
      <c r="AI35" s="36">
        <v>30200000</v>
      </c>
      <c r="AJ35" s="36">
        <v>30100000</v>
      </c>
    </row>
    <row r="36" spans="1:36">
      <c r="A36" t="s">
        <v>127</v>
      </c>
      <c r="B36" s="36">
        <v>1179269000</v>
      </c>
      <c r="C36" s="36">
        <v>641440000</v>
      </c>
      <c r="D36" s="36">
        <v>1161172000</v>
      </c>
      <c r="E36" s="36">
        <v>1047945000</v>
      </c>
      <c r="F36" s="36">
        <v>1015905000</v>
      </c>
      <c r="G36" s="36">
        <v>959195000</v>
      </c>
      <c r="H36" s="36">
        <v>919574000</v>
      </c>
      <c r="I36" s="36">
        <v>872437000</v>
      </c>
      <c r="J36" s="36">
        <v>839015000</v>
      </c>
      <c r="K36" s="36">
        <v>812101000</v>
      </c>
      <c r="L36" s="36">
        <v>787139000</v>
      </c>
      <c r="M36" s="36">
        <v>758818000</v>
      </c>
      <c r="N36" s="36">
        <v>725788000</v>
      </c>
      <c r="O36" s="36">
        <v>766896000</v>
      </c>
      <c r="P36" s="36">
        <v>832402000</v>
      </c>
      <c r="Q36" s="36">
        <v>611893000</v>
      </c>
      <c r="R36" s="36">
        <v>431385000</v>
      </c>
      <c r="S36" s="36">
        <v>424142000</v>
      </c>
      <c r="T36" s="36">
        <v>384827000</v>
      </c>
      <c r="U36" s="36">
        <v>381659000</v>
      </c>
      <c r="V36" s="36">
        <v>378699000</v>
      </c>
      <c r="W36" s="36">
        <v>349577000</v>
      </c>
      <c r="X36" s="36">
        <v>321300000</v>
      </c>
      <c r="Y36" s="36">
        <v>306900000</v>
      </c>
      <c r="Z36" s="36">
        <v>187800000</v>
      </c>
      <c r="AA36" s="36">
        <v>169500000</v>
      </c>
      <c r="AB36" s="36">
        <v>145200000</v>
      </c>
      <c r="AC36" s="36">
        <v>130300000</v>
      </c>
      <c r="AD36" s="36">
        <v>121500000</v>
      </c>
      <c r="AE36" s="36">
        <v>103800000</v>
      </c>
      <c r="AF36" s="36">
        <v>85500000</v>
      </c>
      <c r="AG36" s="36">
        <v>81600000</v>
      </c>
      <c r="AH36" s="36">
        <v>80400000</v>
      </c>
      <c r="AI36" s="36">
        <v>73000000</v>
      </c>
      <c r="AJ36" s="36">
        <v>72700000</v>
      </c>
    </row>
    <row r="37" spans="1:36">
      <c r="A37" t="s">
        <v>128</v>
      </c>
      <c r="B37" s="36">
        <v>-48518000</v>
      </c>
      <c r="C37" s="36">
        <v>-590243000</v>
      </c>
      <c r="D37" s="36">
        <v>172365000</v>
      </c>
      <c r="E37" s="36">
        <v>126653000</v>
      </c>
      <c r="F37" s="36">
        <v>215476000</v>
      </c>
      <c r="G37" s="36">
        <v>177688000</v>
      </c>
      <c r="H37" s="36">
        <v>112222000</v>
      </c>
      <c r="I37" s="36">
        <v>104215000</v>
      </c>
      <c r="J37" s="36">
        <v>108204000</v>
      </c>
      <c r="K37" s="36">
        <v>101216000</v>
      </c>
      <c r="L37" s="36">
        <v>144316000</v>
      </c>
      <c r="M37" s="36">
        <v>-31567000</v>
      </c>
      <c r="N37" s="36">
        <v>35429000</v>
      </c>
      <c r="O37" s="36">
        <v>5706000</v>
      </c>
      <c r="P37" s="36">
        <v>-4491000</v>
      </c>
      <c r="Q37" s="36">
        <v>87477000</v>
      </c>
      <c r="R37" s="36">
        <v>160852000</v>
      </c>
      <c r="S37" s="36">
        <v>78315000</v>
      </c>
      <c r="T37" s="36">
        <v>85888000</v>
      </c>
      <c r="U37" s="36">
        <v>71417000</v>
      </c>
      <c r="V37" s="36">
        <v>57894000</v>
      </c>
      <c r="W37" s="36">
        <v>77806000</v>
      </c>
      <c r="X37" s="36">
        <v>85800000</v>
      </c>
      <c r="Y37" s="36">
        <v>83400000</v>
      </c>
      <c r="Z37" s="36">
        <v>68500000</v>
      </c>
      <c r="AA37" s="36">
        <v>74200000</v>
      </c>
      <c r="AB37" s="36">
        <v>66100000</v>
      </c>
      <c r="AC37" s="36">
        <v>62800000</v>
      </c>
      <c r="AD37" s="36">
        <v>61900000</v>
      </c>
      <c r="AE37" s="36">
        <v>42900000</v>
      </c>
      <c r="AF37" s="36">
        <v>36000000</v>
      </c>
      <c r="AG37" s="36">
        <v>33200000</v>
      </c>
      <c r="AH37" s="36">
        <v>31600000</v>
      </c>
      <c r="AI37" s="36">
        <v>22600000</v>
      </c>
      <c r="AJ37" s="36">
        <v>12800000</v>
      </c>
    </row>
    <row r="38" spans="1:36">
      <c r="A38" t="s">
        <v>129</v>
      </c>
      <c r="B38" s="36">
        <v>-45816270</v>
      </c>
      <c r="C38" s="70">
        <v>-494551163.34799999</v>
      </c>
      <c r="D38" s="70">
        <v>172155906.676</v>
      </c>
      <c r="E38" s="70">
        <v>169683913.127</v>
      </c>
      <c r="F38" s="70">
        <v>220292145.47400001</v>
      </c>
      <c r="G38" s="70">
        <v>175358353.15099999</v>
      </c>
      <c r="H38" s="70">
        <v>191541498.787</v>
      </c>
      <c r="I38" s="70">
        <v>174460111.48100001</v>
      </c>
      <c r="J38" s="70">
        <v>162280306.741</v>
      </c>
      <c r="K38" s="70">
        <v>111309276.83499999</v>
      </c>
      <c r="L38" s="70">
        <v>144447438.46700001</v>
      </c>
      <c r="M38" s="36">
        <v>31360150</v>
      </c>
      <c r="N38" s="70">
        <v>46094178.368000001</v>
      </c>
      <c r="O38" s="36">
        <v>67724450</v>
      </c>
      <c r="P38" s="36">
        <v>30714950</v>
      </c>
      <c r="Q38" s="70">
        <v>90682637.669</v>
      </c>
      <c r="R38" s="36">
        <v>160576600</v>
      </c>
      <c r="S38" s="70">
        <v>78343249.253000006</v>
      </c>
      <c r="T38" s="70">
        <v>88484348.419</v>
      </c>
      <c r="U38" s="70">
        <v>83412824.218999997</v>
      </c>
      <c r="V38" s="36">
        <v>57894000</v>
      </c>
      <c r="W38" s="70">
        <v>84273651.121999994</v>
      </c>
      <c r="X38" s="36">
        <v>85800000</v>
      </c>
      <c r="Y38" s="36">
        <v>83400000</v>
      </c>
      <c r="Z38" s="36">
        <v>68500000</v>
      </c>
      <c r="AA38" s="36">
        <v>74200000</v>
      </c>
      <c r="AB38" s="36">
        <v>66100000</v>
      </c>
      <c r="AC38" s="36">
        <v>61540000</v>
      </c>
      <c r="AD38" s="36">
        <v>61900000</v>
      </c>
      <c r="AE38" s="36">
        <v>42900000</v>
      </c>
      <c r="AF38" s="36">
        <v>36000000</v>
      </c>
      <c r="AG38" s="36">
        <v>33200000</v>
      </c>
      <c r="AH38" s="36">
        <v>31600000</v>
      </c>
      <c r="AI38" s="36">
        <v>22600000</v>
      </c>
      <c r="AJ38" s="36">
        <v>14360000</v>
      </c>
    </row>
    <row r="39" spans="1:36">
      <c r="A39" t="s">
        <v>130</v>
      </c>
      <c r="G39" s="36">
        <v>177000</v>
      </c>
      <c r="H39" s="36">
        <v>64000</v>
      </c>
    </row>
    <row r="40" spans="1:36">
      <c r="A40" t="s">
        <v>131</v>
      </c>
      <c r="B40" s="36">
        <v>184032000</v>
      </c>
      <c r="C40" s="36">
        <v>150669000</v>
      </c>
      <c r="D40" s="36">
        <v>100364000</v>
      </c>
      <c r="E40" s="36">
        <v>85687000</v>
      </c>
      <c r="F40" s="36">
        <v>85603000</v>
      </c>
      <c r="G40" s="36">
        <v>83863000</v>
      </c>
      <c r="H40" s="36">
        <v>86849000</v>
      </c>
      <c r="I40" s="36">
        <v>96286000</v>
      </c>
      <c r="J40" s="36">
        <v>103071000</v>
      </c>
      <c r="K40" s="36">
        <v>110619000</v>
      </c>
      <c r="L40" s="36">
        <v>157185000</v>
      </c>
      <c r="M40" s="36">
        <v>150285000</v>
      </c>
      <c r="N40" s="36">
        <v>124706000</v>
      </c>
      <c r="O40" s="36">
        <v>129561000</v>
      </c>
    </row>
    <row r="41" spans="1:36">
      <c r="A41" t="s">
        <v>132</v>
      </c>
      <c r="B41" s="36">
        <v>-184032000</v>
      </c>
      <c r="C41" s="36">
        <v>-150669000</v>
      </c>
      <c r="D41" s="36">
        <v>-100364000</v>
      </c>
      <c r="E41" s="36">
        <v>-85687000</v>
      </c>
      <c r="F41" s="36">
        <v>-85603000</v>
      </c>
      <c r="G41" s="36">
        <v>-83686000</v>
      </c>
      <c r="H41" s="36">
        <v>-86785000</v>
      </c>
      <c r="I41" s="36">
        <v>-96286000</v>
      </c>
      <c r="J41" s="36">
        <v>-103071000</v>
      </c>
      <c r="K41" s="36">
        <v>-110619000</v>
      </c>
      <c r="L41" s="36">
        <v>-157185000</v>
      </c>
      <c r="M41" s="36">
        <v>-150285000</v>
      </c>
      <c r="N41" s="36">
        <v>-124706000</v>
      </c>
      <c r="O41" s="36">
        <v>-129561000</v>
      </c>
    </row>
    <row r="42" spans="1:36">
      <c r="A42" t="s">
        <v>133</v>
      </c>
      <c r="B42" s="36">
        <v>155549000</v>
      </c>
      <c r="C42" s="36">
        <v>-577489000</v>
      </c>
      <c r="D42" s="36">
        <v>315518000</v>
      </c>
      <c r="E42" s="36">
        <v>247083000</v>
      </c>
      <c r="F42" s="36">
        <v>302191000</v>
      </c>
      <c r="G42" s="36">
        <v>332969000</v>
      </c>
      <c r="H42" s="36">
        <v>221263000</v>
      </c>
      <c r="I42" s="36">
        <v>210386000</v>
      </c>
      <c r="J42" s="36">
        <v>231518000</v>
      </c>
      <c r="K42" s="36">
        <v>243200000</v>
      </c>
      <c r="L42" s="36">
        <v>241180000</v>
      </c>
      <c r="M42" s="36">
        <v>121963000</v>
      </c>
      <c r="N42" s="36">
        <v>175113000</v>
      </c>
      <c r="O42" s="36">
        <v>134332000</v>
      </c>
      <c r="P42" s="36">
        <v>154571000</v>
      </c>
      <c r="Q42" s="36">
        <v>219496000</v>
      </c>
      <c r="R42" s="36">
        <v>137322000</v>
      </c>
      <c r="S42" s="36">
        <v>117830000</v>
      </c>
      <c r="T42" s="36">
        <v>125149000</v>
      </c>
      <c r="U42" s="36">
        <v>121192000</v>
      </c>
      <c r="V42" s="36">
        <v>98557000</v>
      </c>
      <c r="W42" s="36">
        <v>123343000</v>
      </c>
      <c r="X42" s="36">
        <v>116700000</v>
      </c>
      <c r="Y42" s="36">
        <v>112600000</v>
      </c>
      <c r="Z42" s="36">
        <v>76300000</v>
      </c>
      <c r="AA42" s="36">
        <v>81000000</v>
      </c>
      <c r="AB42" s="36">
        <v>73000000</v>
      </c>
      <c r="AC42" s="36">
        <v>68100000</v>
      </c>
      <c r="AD42" s="36">
        <v>57400000</v>
      </c>
      <c r="AE42" s="36">
        <v>49200000</v>
      </c>
      <c r="AF42" s="36">
        <v>42500000</v>
      </c>
      <c r="AG42" s="36">
        <v>40400000</v>
      </c>
      <c r="AH42" s="36">
        <v>39600000</v>
      </c>
      <c r="AI42" s="36">
        <v>30200000</v>
      </c>
      <c r="AJ42" s="36">
        <v>30100000</v>
      </c>
    </row>
    <row r="43" spans="1:36">
      <c r="A43" t="s">
        <v>76</v>
      </c>
    </row>
    <row r="44" spans="1:36">
      <c r="A44" t="s">
        <v>134</v>
      </c>
      <c r="B44" s="36">
        <v>112466000</v>
      </c>
      <c r="C44" s="36">
        <v>27991000</v>
      </c>
      <c r="D44" s="36">
        <v>126264000</v>
      </c>
      <c r="E44" s="36">
        <v>114733000</v>
      </c>
      <c r="F44" s="36">
        <v>110811000</v>
      </c>
      <c r="G44" s="36">
        <v>106608000</v>
      </c>
      <c r="H44" s="36">
        <v>104827000</v>
      </c>
      <c r="I44" s="36">
        <v>95208000</v>
      </c>
      <c r="J44" s="36">
        <v>91772000</v>
      </c>
      <c r="K44" s="36">
        <v>95048000</v>
      </c>
      <c r="L44" s="36">
        <v>522908000</v>
      </c>
      <c r="M44" s="36">
        <v>498021000</v>
      </c>
      <c r="N44" s="36">
        <v>487668000</v>
      </c>
      <c r="O44" s="36">
        <v>90626000</v>
      </c>
      <c r="P44" s="36">
        <v>511679000</v>
      </c>
      <c r="Q44" s="36">
        <v>420466000</v>
      </c>
      <c r="R44" s="36">
        <v>301249000</v>
      </c>
      <c r="S44" s="36">
        <v>298783000</v>
      </c>
      <c r="T44" s="36">
        <v>269611000</v>
      </c>
      <c r="U44" s="36">
        <v>269517000</v>
      </c>
      <c r="V44" s="36">
        <v>264258000</v>
      </c>
      <c r="W44" s="36">
        <v>255438000</v>
      </c>
      <c r="X44" s="36">
        <v>235300000</v>
      </c>
      <c r="Y44" s="36">
        <v>226900000</v>
      </c>
      <c r="Z44" s="36">
        <v>134800000</v>
      </c>
      <c r="AA44" s="36">
        <v>121400000</v>
      </c>
      <c r="AB44" s="36">
        <v>103700000</v>
      </c>
      <c r="AC44" s="36">
        <v>94000000</v>
      </c>
      <c r="AD44" s="36">
        <v>85900000</v>
      </c>
      <c r="AE44" s="36">
        <v>74000000</v>
      </c>
      <c r="AF44" s="36">
        <v>60100000</v>
      </c>
      <c r="AG44" s="36">
        <v>57500000</v>
      </c>
      <c r="AH44" s="36">
        <v>56500000</v>
      </c>
      <c r="AI44" s="36">
        <v>51000000</v>
      </c>
      <c r="AJ44" s="36">
        <v>51500000</v>
      </c>
    </row>
    <row r="45" spans="1:36">
      <c r="A45" t="s">
        <v>135</v>
      </c>
      <c r="B45" s="36">
        <v>148803000</v>
      </c>
      <c r="C45" s="36">
        <v>157549000</v>
      </c>
      <c r="D45" s="36">
        <v>170456000</v>
      </c>
      <c r="E45" s="36">
        <v>155529000</v>
      </c>
      <c r="F45" s="36">
        <v>153222000</v>
      </c>
      <c r="G45" s="36">
        <v>131876000</v>
      </c>
      <c r="H45" s="36">
        <v>125631000</v>
      </c>
      <c r="I45" s="36">
        <v>124286000</v>
      </c>
      <c r="J45" s="36">
        <v>122487000</v>
      </c>
      <c r="K45" s="36">
        <v>127339000</v>
      </c>
      <c r="L45" s="36">
        <v>123805000</v>
      </c>
      <c r="M45" s="36">
        <v>126796000</v>
      </c>
      <c r="N45" s="36">
        <v>132745000</v>
      </c>
      <c r="O45" s="36">
        <v>125838000</v>
      </c>
      <c r="P45" s="36">
        <v>130623000</v>
      </c>
      <c r="Q45" s="36">
        <v>90703000</v>
      </c>
      <c r="R45" s="36">
        <v>55765000</v>
      </c>
      <c r="S45" s="36">
        <v>50690000</v>
      </c>
      <c r="T45" s="36">
        <v>44693000</v>
      </c>
      <c r="U45" s="36">
        <v>41682000</v>
      </c>
      <c r="V45" s="36">
        <v>42486000</v>
      </c>
      <c r="W45" s="36">
        <v>39572000</v>
      </c>
      <c r="X45" s="36">
        <v>35100000</v>
      </c>
      <c r="Y45" s="36">
        <v>32100000</v>
      </c>
      <c r="Z45" s="36">
        <v>21500000</v>
      </c>
      <c r="AA45" s="36">
        <v>19100000</v>
      </c>
      <c r="AB45" s="36">
        <v>16700000</v>
      </c>
      <c r="AC45" s="36">
        <v>15000000</v>
      </c>
      <c r="AD45" s="36">
        <v>14500000</v>
      </c>
      <c r="AE45" s="36">
        <v>12400000</v>
      </c>
      <c r="AF45" s="36">
        <v>10300000</v>
      </c>
      <c r="AG45" s="36">
        <v>9700000</v>
      </c>
      <c r="AH45" s="36">
        <v>9200000</v>
      </c>
      <c r="AI45" s="36">
        <v>9100000</v>
      </c>
      <c r="AJ45" s="36">
        <v>8800000</v>
      </c>
    </row>
    <row r="46" spans="1:36">
      <c r="A46" t="s">
        <v>136</v>
      </c>
      <c r="B46" s="36">
        <v>-48518000</v>
      </c>
      <c r="C46" s="36">
        <v>-590243000</v>
      </c>
      <c r="D46" s="36">
        <v>172365000</v>
      </c>
      <c r="E46" s="36">
        <v>126653000</v>
      </c>
      <c r="F46" s="36">
        <v>215476000</v>
      </c>
      <c r="G46" s="36">
        <v>177688000</v>
      </c>
      <c r="H46" s="36">
        <v>112222000</v>
      </c>
      <c r="I46" s="36">
        <v>104215000</v>
      </c>
      <c r="J46" s="36">
        <v>108204000</v>
      </c>
      <c r="K46" s="36">
        <v>101216000</v>
      </c>
      <c r="L46" s="36">
        <v>144316000</v>
      </c>
      <c r="M46" s="36">
        <v>-31567000</v>
      </c>
      <c r="N46" s="36">
        <v>35429000</v>
      </c>
      <c r="O46" s="36">
        <v>5706000</v>
      </c>
      <c r="P46" s="36">
        <v>-4491000</v>
      </c>
      <c r="Q46" s="36">
        <v>87477000</v>
      </c>
      <c r="R46" s="36">
        <v>160852000</v>
      </c>
      <c r="S46" s="36">
        <v>78315000</v>
      </c>
      <c r="T46" s="36">
        <v>85888000</v>
      </c>
      <c r="U46" s="36">
        <v>71417000</v>
      </c>
      <c r="V46" s="36">
        <v>57894000</v>
      </c>
      <c r="W46" s="36">
        <v>77806000</v>
      </c>
      <c r="X46" s="36">
        <v>85800000</v>
      </c>
      <c r="Y46" s="36">
        <v>83400000</v>
      </c>
      <c r="Z46" s="36">
        <v>68500000</v>
      </c>
      <c r="AA46" s="36">
        <v>74200000</v>
      </c>
      <c r="AB46" s="36">
        <v>66100000</v>
      </c>
      <c r="AC46" s="36">
        <v>62800000</v>
      </c>
      <c r="AD46" s="36">
        <v>61900000</v>
      </c>
      <c r="AE46" s="36">
        <v>42900000</v>
      </c>
      <c r="AF46" s="36">
        <v>36000000</v>
      </c>
      <c r="AG46" s="36">
        <v>33200000</v>
      </c>
      <c r="AH46" s="36">
        <v>31600000</v>
      </c>
      <c r="AI46" s="36">
        <v>22600000</v>
      </c>
      <c r="AJ46" s="36">
        <v>12800000</v>
      </c>
    </row>
    <row r="47" spans="1:36">
      <c r="A47" t="s">
        <v>137</v>
      </c>
      <c r="B47" s="36">
        <v>-3701000</v>
      </c>
      <c r="C47" s="36">
        <v>-118051000</v>
      </c>
      <c r="D47" s="36">
        <v>261000</v>
      </c>
      <c r="E47" s="36">
        <v>-54835000</v>
      </c>
      <c r="F47" s="36">
        <v>-4841000</v>
      </c>
      <c r="G47" s="36">
        <v>3266000</v>
      </c>
      <c r="H47" s="36">
        <v>-95005000</v>
      </c>
      <c r="I47" s="36">
        <v>-76908000</v>
      </c>
      <c r="J47" s="36">
        <v>-64193000</v>
      </c>
      <c r="K47" s="36">
        <v>-13221000</v>
      </c>
      <c r="L47" s="36">
        <v>-153000</v>
      </c>
      <c r="M47" s="36">
        <v>-96811000</v>
      </c>
      <c r="N47" s="36">
        <v>-15174000</v>
      </c>
      <c r="O47" s="36">
        <v>-95413000</v>
      </c>
      <c r="P47" s="36">
        <v>-54163000</v>
      </c>
      <c r="Q47" s="36">
        <v>-4638000</v>
      </c>
      <c r="R47" s="36">
        <v>459000</v>
      </c>
      <c r="S47" s="36">
        <v>-35000</v>
      </c>
      <c r="T47" s="36">
        <v>-3138000</v>
      </c>
      <c r="U47" s="36">
        <v>-14878000</v>
      </c>
      <c r="W47" s="36">
        <v>-7827000</v>
      </c>
      <c r="AC47" s="36">
        <v>2100000</v>
      </c>
      <c r="AJ47" s="36">
        <v>-2600000</v>
      </c>
    </row>
    <row r="48" spans="1:36">
      <c r="A48" t="s">
        <v>138</v>
      </c>
      <c r="B48" s="36">
        <v>-3701000</v>
      </c>
      <c r="C48" s="36">
        <v>-118051000</v>
      </c>
      <c r="D48" s="36">
        <v>261000</v>
      </c>
      <c r="E48" s="36">
        <v>-54835000</v>
      </c>
      <c r="F48" s="36">
        <v>-4841000</v>
      </c>
      <c r="G48" s="36">
        <v>3266000</v>
      </c>
      <c r="H48" s="36">
        <v>-95005000</v>
      </c>
      <c r="I48" s="36">
        <v>-76908000</v>
      </c>
      <c r="J48" s="36">
        <v>-64193000</v>
      </c>
      <c r="K48" s="36">
        <v>-13221000</v>
      </c>
      <c r="L48" s="36">
        <v>-153000</v>
      </c>
      <c r="M48" s="36">
        <v>-96811000</v>
      </c>
      <c r="N48" s="36">
        <v>-15174000</v>
      </c>
      <c r="O48" s="36">
        <v>-95413000</v>
      </c>
      <c r="P48" s="36">
        <v>-54163000</v>
      </c>
      <c r="Q48" s="36">
        <v>-4638000</v>
      </c>
      <c r="R48" s="36">
        <v>459000</v>
      </c>
      <c r="S48" s="36">
        <v>-35000</v>
      </c>
      <c r="T48" s="36">
        <v>-3138000</v>
      </c>
      <c r="U48" s="36">
        <v>-14878000</v>
      </c>
      <c r="W48" s="36">
        <v>-7827000</v>
      </c>
      <c r="AC48" s="36">
        <v>2100000</v>
      </c>
      <c r="AJ48" s="36">
        <v>-2600000</v>
      </c>
    </row>
    <row r="49" spans="1:36">
      <c r="A49" t="s">
        <v>139</v>
      </c>
      <c r="B49" s="36">
        <v>308053000</v>
      </c>
      <c r="C49" s="36">
        <v>-301889000</v>
      </c>
      <c r="D49" s="36">
        <v>485713000</v>
      </c>
      <c r="E49" s="36">
        <v>457447000</v>
      </c>
      <c r="F49" s="36">
        <v>460254000</v>
      </c>
      <c r="G49" s="36">
        <v>461579000</v>
      </c>
      <c r="H49" s="36">
        <v>441899000</v>
      </c>
      <c r="I49" s="36">
        <v>411580000</v>
      </c>
      <c r="J49" s="36">
        <v>418198000</v>
      </c>
      <c r="K49" s="36">
        <v>383760000</v>
      </c>
      <c r="L49" s="36">
        <v>365138000</v>
      </c>
      <c r="M49" s="36">
        <v>345570000</v>
      </c>
      <c r="N49" s="36">
        <v>323032000</v>
      </c>
      <c r="O49" s="36">
        <v>355583000</v>
      </c>
      <c r="P49" s="36">
        <v>339357000</v>
      </c>
      <c r="Q49" s="36">
        <v>314837000</v>
      </c>
      <c r="R49" s="36">
        <v>192628000</v>
      </c>
      <c r="S49" s="36">
        <v>168555000</v>
      </c>
      <c r="T49" s="36">
        <v>172980000</v>
      </c>
      <c r="U49" s="36">
        <v>177752000</v>
      </c>
      <c r="V49" s="36">
        <v>141043000</v>
      </c>
      <c r="W49" s="36">
        <v>170742000</v>
      </c>
      <c r="X49" s="36">
        <v>151800000</v>
      </c>
      <c r="Y49" s="36">
        <v>144700000</v>
      </c>
      <c r="Z49" s="36">
        <v>97800000</v>
      </c>
      <c r="AA49" s="36">
        <v>100100000</v>
      </c>
      <c r="AB49" s="36">
        <v>89700000</v>
      </c>
      <c r="AC49" s="36">
        <v>81000000</v>
      </c>
      <c r="AD49" s="36">
        <v>71900000</v>
      </c>
      <c r="AE49" s="36">
        <v>61600000</v>
      </c>
      <c r="AF49" s="36">
        <v>52800000</v>
      </c>
      <c r="AG49" s="36">
        <v>50100000</v>
      </c>
      <c r="AH49" s="36">
        <v>48800000</v>
      </c>
      <c r="AI49" s="36">
        <v>39300000</v>
      </c>
      <c r="AJ49" s="36">
        <v>41500000</v>
      </c>
    </row>
    <row r="50" spans="1:36">
      <c r="A50" t="s">
        <v>140</v>
      </c>
      <c r="B50">
        <v>0.27</v>
      </c>
      <c r="C50">
        <v>0.189</v>
      </c>
      <c r="D50">
        <v>0.19900000000000001</v>
      </c>
      <c r="E50">
        <v>0.215</v>
      </c>
      <c r="F50">
        <v>5.0000000000000001E-3</v>
      </c>
      <c r="G50">
        <v>0.28699999999999998</v>
      </c>
      <c r="H50">
        <v>0.16500000000000001</v>
      </c>
      <c r="I50">
        <v>8.6999999999999994E-2</v>
      </c>
      <c r="J50">
        <v>0.158</v>
      </c>
      <c r="K50">
        <v>0.23699999999999999</v>
      </c>
      <c r="L50">
        <v>0.14099999999999999</v>
      </c>
      <c r="M50">
        <v>0.35</v>
      </c>
      <c r="N50">
        <v>0.29699999999999999</v>
      </c>
      <c r="O50">
        <v>0.35</v>
      </c>
      <c r="P50">
        <v>0.35</v>
      </c>
      <c r="Q50">
        <v>0.309</v>
      </c>
      <c r="R50">
        <v>0.4</v>
      </c>
      <c r="S50">
        <v>0.193</v>
      </c>
      <c r="T50">
        <v>0.17299999999999999</v>
      </c>
      <c r="U50">
        <v>0.19400000000000001</v>
      </c>
      <c r="V50">
        <v>0.222</v>
      </c>
      <c r="W50">
        <v>0.17399999999999999</v>
      </c>
      <c r="X50">
        <v>0.154</v>
      </c>
      <c r="Y50">
        <v>0.14799999999999999</v>
      </c>
      <c r="Z50">
        <v>0.4</v>
      </c>
      <c r="AA50">
        <v>0.4</v>
      </c>
      <c r="AB50">
        <v>0.4</v>
      </c>
      <c r="AC50">
        <v>0.4</v>
      </c>
      <c r="AD50">
        <v>0.4</v>
      </c>
      <c r="AE50">
        <v>0.4</v>
      </c>
      <c r="AF50">
        <v>0.4</v>
      </c>
      <c r="AG50">
        <v>0.4</v>
      </c>
      <c r="AH50">
        <v>0.4</v>
      </c>
      <c r="AI50">
        <v>0.4</v>
      </c>
      <c r="AJ50">
        <v>0.4</v>
      </c>
    </row>
    <row r="51" spans="1:36">
      <c r="A51" t="s">
        <v>141</v>
      </c>
      <c r="B51" s="36">
        <v>-999270</v>
      </c>
      <c r="C51" s="70">
        <v>-22359163.348000001</v>
      </c>
      <c r="D51" s="70">
        <v>51906.675999999999</v>
      </c>
      <c r="E51" s="70">
        <v>-11804086.873</v>
      </c>
      <c r="F51" s="70">
        <v>-24854.526000000002</v>
      </c>
      <c r="G51" s="70">
        <v>936353.15099999995</v>
      </c>
      <c r="H51" s="70">
        <v>-15685501.213</v>
      </c>
      <c r="I51" s="70">
        <v>-6662888.5190000003</v>
      </c>
      <c r="J51" s="70">
        <v>-10116693.259</v>
      </c>
      <c r="K51" s="70">
        <v>-3127723.165</v>
      </c>
      <c r="L51" s="70">
        <v>-21561.532999999999</v>
      </c>
      <c r="M51" s="36">
        <v>-33883850</v>
      </c>
      <c r="N51" s="70">
        <v>-4508821.6320000002</v>
      </c>
      <c r="O51" s="36">
        <v>-33394550</v>
      </c>
      <c r="P51" s="36">
        <v>-18957050</v>
      </c>
      <c r="Q51" s="70">
        <v>-1432362.331</v>
      </c>
      <c r="R51" s="36">
        <v>183600</v>
      </c>
      <c r="S51" s="70">
        <v>-6750.7470000000003</v>
      </c>
      <c r="T51" s="70">
        <v>-541651.58100000001</v>
      </c>
      <c r="U51" s="70">
        <v>-2882175.781</v>
      </c>
      <c r="V51">
        <v>0</v>
      </c>
      <c r="W51" s="70">
        <v>-1359348.878</v>
      </c>
      <c r="X51">
        <v>0</v>
      </c>
      <c r="Y51">
        <v>0</v>
      </c>
      <c r="Z51">
        <v>0</v>
      </c>
      <c r="AA51">
        <v>0</v>
      </c>
      <c r="AB51">
        <v>0</v>
      </c>
      <c r="AC51" s="36">
        <v>840000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 s="36">
        <v>-1040000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99EFE-3EEB-4FED-9CA7-42023775A597}">
  <sheetPr>
    <tabColor rgb="FF00B050"/>
  </sheetPr>
  <dimension ref="A1:AJ76"/>
  <sheetViews>
    <sheetView workbookViewId="0">
      <selection activeCell="B11" sqref="B11"/>
    </sheetView>
  </sheetViews>
  <sheetFormatPr defaultRowHeight="14.5"/>
  <cols>
    <col min="1" max="1" width="49.90625" bestFit="1" customWidth="1"/>
    <col min="2" max="2" width="12.90625" bestFit="1" customWidth="1"/>
    <col min="3" max="11" width="12.90625" customWidth="1"/>
    <col min="12" max="21" width="12.1796875" customWidth="1"/>
    <col min="22" max="27" width="11.36328125" customWidth="1"/>
    <col min="28" max="35" width="10.7265625" customWidth="1"/>
    <col min="36" max="37" width="8.7265625" customWidth="1"/>
  </cols>
  <sheetData>
    <row r="1" spans="1:36">
      <c r="A1" t="s">
        <v>95</v>
      </c>
      <c r="B1" s="42">
        <v>44561</v>
      </c>
      <c r="C1" s="42">
        <v>44196</v>
      </c>
      <c r="D1" s="42">
        <v>43830</v>
      </c>
      <c r="E1" s="42">
        <v>43465</v>
      </c>
      <c r="F1" s="42">
        <v>43100</v>
      </c>
      <c r="G1" s="42">
        <v>42735</v>
      </c>
      <c r="H1" s="42">
        <v>42369</v>
      </c>
      <c r="I1" s="42">
        <v>42004</v>
      </c>
      <c r="J1" s="42">
        <v>41639</v>
      </c>
      <c r="K1" s="42">
        <v>41274</v>
      </c>
      <c r="L1" s="42">
        <v>40908</v>
      </c>
      <c r="M1" s="42">
        <v>40543</v>
      </c>
      <c r="N1" s="42">
        <v>40178</v>
      </c>
      <c r="O1" s="42">
        <v>39813</v>
      </c>
      <c r="P1" s="42">
        <v>39447</v>
      </c>
      <c r="Q1" s="42">
        <v>39082</v>
      </c>
      <c r="R1" s="42">
        <v>38717</v>
      </c>
      <c r="S1" s="42">
        <v>38352</v>
      </c>
      <c r="T1" s="42">
        <v>37986</v>
      </c>
      <c r="U1" s="42">
        <v>37621</v>
      </c>
      <c r="V1" s="42">
        <v>37256</v>
      </c>
      <c r="W1" s="42">
        <v>36891</v>
      </c>
      <c r="X1" s="42">
        <v>36525</v>
      </c>
      <c r="Y1" s="42">
        <v>36160</v>
      </c>
      <c r="Z1" s="42">
        <v>35795</v>
      </c>
      <c r="AA1" s="42">
        <v>35430</v>
      </c>
      <c r="AB1" s="42">
        <v>35064</v>
      </c>
      <c r="AC1" s="42">
        <v>34699</v>
      </c>
      <c r="AD1" s="42">
        <v>34334</v>
      </c>
      <c r="AE1" s="42">
        <v>33969</v>
      </c>
      <c r="AF1" s="42">
        <v>33603</v>
      </c>
      <c r="AG1" s="42">
        <v>33238</v>
      </c>
      <c r="AH1" s="42">
        <v>32873</v>
      </c>
      <c r="AI1" s="42">
        <v>32508</v>
      </c>
      <c r="AJ1" s="42">
        <v>32142</v>
      </c>
    </row>
    <row r="2" spans="1:36">
      <c r="A2" t="s">
        <v>142</v>
      </c>
      <c r="B2" s="36">
        <v>2313020000</v>
      </c>
      <c r="C2" s="36">
        <v>2693412000</v>
      </c>
      <c r="D2" s="36">
        <v>2581145000</v>
      </c>
      <c r="E2" s="36">
        <v>2024183000</v>
      </c>
      <c r="F2" s="36">
        <v>2064159000</v>
      </c>
      <c r="G2" s="36">
        <v>1973181000</v>
      </c>
      <c r="H2" s="36">
        <v>1994907000</v>
      </c>
      <c r="I2" s="36">
        <v>2038319000</v>
      </c>
      <c r="J2" s="36">
        <v>2014627000</v>
      </c>
      <c r="K2" s="36">
        <v>2027622000</v>
      </c>
      <c r="L2" s="36">
        <v>2074557000</v>
      </c>
      <c r="M2" s="36">
        <v>2082444000</v>
      </c>
      <c r="N2" s="36">
        <v>2145439000</v>
      </c>
      <c r="O2" s="36">
        <v>2186083000</v>
      </c>
      <c r="P2" s="36">
        <v>2418668000</v>
      </c>
      <c r="Q2" s="36">
        <v>2510921000</v>
      </c>
      <c r="R2" s="36">
        <v>1024794000</v>
      </c>
      <c r="S2" s="36">
        <v>993208000</v>
      </c>
      <c r="T2" s="36">
        <v>819341000</v>
      </c>
      <c r="U2" s="36">
        <v>822257000</v>
      </c>
      <c r="V2" s="36">
        <v>810231000</v>
      </c>
      <c r="W2" s="36">
        <v>764143000</v>
      </c>
      <c r="X2" s="36">
        <v>709000000</v>
      </c>
      <c r="Y2" s="36">
        <v>631300000</v>
      </c>
      <c r="Z2" s="36">
        <v>599600000</v>
      </c>
      <c r="AA2" s="36">
        <v>304100000</v>
      </c>
      <c r="AB2" s="36">
        <v>274700000</v>
      </c>
      <c r="AC2" s="36">
        <v>224000000</v>
      </c>
      <c r="AD2" s="36">
        <v>218400000</v>
      </c>
      <c r="AE2" s="36">
        <v>209500000</v>
      </c>
      <c r="AF2" s="36">
        <v>142500000</v>
      </c>
      <c r="AG2" s="36">
        <v>141700000</v>
      </c>
      <c r="AH2" s="36">
        <v>136000000</v>
      </c>
      <c r="AI2" s="36">
        <v>135400000</v>
      </c>
      <c r="AJ2" s="36">
        <v>136800000</v>
      </c>
    </row>
    <row r="3" spans="1:36">
      <c r="A3" t="s">
        <v>143</v>
      </c>
      <c r="B3" s="36">
        <v>263641000</v>
      </c>
      <c r="C3" s="36">
        <v>554511000</v>
      </c>
      <c r="D3" s="36">
        <v>294181000</v>
      </c>
      <c r="E3" s="36">
        <v>200209000</v>
      </c>
      <c r="F3" s="36">
        <v>246983000</v>
      </c>
      <c r="G3" s="36">
        <v>195676000</v>
      </c>
      <c r="H3" s="36">
        <v>196214000</v>
      </c>
      <c r="I3" s="36">
        <v>203717000</v>
      </c>
      <c r="J3" s="36">
        <v>186497000</v>
      </c>
      <c r="K3" s="36">
        <v>141106000</v>
      </c>
      <c r="L3" s="36">
        <v>98515000</v>
      </c>
      <c r="M3" s="36">
        <v>70334000</v>
      </c>
      <c r="N3" s="36">
        <v>61308000</v>
      </c>
      <c r="O3" s="36">
        <v>64534000</v>
      </c>
      <c r="P3" s="36">
        <v>62748000</v>
      </c>
      <c r="Q3" s="36">
        <v>104508000</v>
      </c>
      <c r="R3" s="36">
        <v>40610000</v>
      </c>
      <c r="S3" s="36">
        <v>32960000</v>
      </c>
      <c r="T3" s="36">
        <v>29777000</v>
      </c>
      <c r="U3" s="36">
        <v>29237000</v>
      </c>
      <c r="V3" s="36">
        <v>26868000</v>
      </c>
      <c r="W3" s="36">
        <v>25378000</v>
      </c>
      <c r="X3" s="36">
        <v>24200000</v>
      </c>
      <c r="Y3" s="36">
        <v>21000000</v>
      </c>
      <c r="Z3" s="36">
        <v>22000000</v>
      </c>
      <c r="AA3" s="36">
        <v>11700000</v>
      </c>
      <c r="AB3" s="36">
        <v>9800000</v>
      </c>
      <c r="AC3" s="36">
        <v>8200000</v>
      </c>
      <c r="AD3" s="36">
        <v>6900000</v>
      </c>
      <c r="AE3" s="36">
        <v>7300000</v>
      </c>
      <c r="AF3" s="36">
        <v>6300000</v>
      </c>
      <c r="AG3" s="36">
        <v>5600000</v>
      </c>
      <c r="AH3" s="36">
        <v>5600000</v>
      </c>
      <c r="AI3" s="36">
        <v>5500000</v>
      </c>
      <c r="AJ3" s="36">
        <v>5900000</v>
      </c>
    </row>
    <row r="4" spans="1:36">
      <c r="A4" t="s">
        <v>144</v>
      </c>
      <c r="B4" s="36">
        <v>61119000</v>
      </c>
      <c r="C4" s="36">
        <v>376736000</v>
      </c>
      <c r="D4" s="36">
        <v>182252000</v>
      </c>
      <c r="E4" s="36">
        <v>105349000</v>
      </c>
      <c r="F4" s="36">
        <v>166245000</v>
      </c>
      <c r="G4" s="36">
        <v>122716000</v>
      </c>
      <c r="H4" s="36">
        <v>119557000</v>
      </c>
      <c r="I4" s="36">
        <v>131840000</v>
      </c>
      <c r="J4" s="36">
        <v>118056000</v>
      </c>
      <c r="K4" s="36">
        <v>78830000</v>
      </c>
      <c r="L4" s="36">
        <v>35524000</v>
      </c>
      <c r="M4" s="36">
        <v>9765000</v>
      </c>
      <c r="N4" s="36">
        <v>11928000</v>
      </c>
      <c r="O4" s="36">
        <v>13873000</v>
      </c>
      <c r="P4" s="36">
        <v>5501000</v>
      </c>
      <c r="Q4" s="36">
        <v>30203000</v>
      </c>
      <c r="R4" s="36">
        <v>4421000</v>
      </c>
      <c r="S4" s="36">
        <v>3353000</v>
      </c>
      <c r="T4" s="36">
        <v>2194000</v>
      </c>
      <c r="U4" s="36">
        <v>2171000</v>
      </c>
      <c r="V4" s="36">
        <v>2280000</v>
      </c>
      <c r="W4" s="36">
        <v>2392000</v>
      </c>
      <c r="X4" s="36">
        <v>600000</v>
      </c>
      <c r="Y4" s="36">
        <v>1100000</v>
      </c>
      <c r="Z4" s="36">
        <v>2500000</v>
      </c>
      <c r="AA4" s="36">
        <v>1300000</v>
      </c>
      <c r="AB4" s="36">
        <v>100000</v>
      </c>
      <c r="AC4" s="36">
        <v>400000</v>
      </c>
      <c r="AD4" s="36">
        <v>200000</v>
      </c>
      <c r="AE4" s="36">
        <v>100000</v>
      </c>
      <c r="AF4" s="36">
        <v>200000</v>
      </c>
      <c r="AG4" s="36">
        <v>100000</v>
      </c>
      <c r="AH4" s="36">
        <v>500000</v>
      </c>
      <c r="AI4" s="36">
        <v>200000</v>
      </c>
      <c r="AJ4" s="36">
        <v>400000</v>
      </c>
    </row>
    <row r="5" spans="1:36">
      <c r="A5" t="s">
        <v>145</v>
      </c>
      <c r="B5" s="36">
        <v>61119000</v>
      </c>
      <c r="C5" s="36">
        <v>376736000</v>
      </c>
      <c r="D5" s="36">
        <v>182252000</v>
      </c>
      <c r="E5" s="36">
        <v>105349000</v>
      </c>
      <c r="F5" s="36">
        <v>166245000</v>
      </c>
      <c r="G5" s="36">
        <v>122716000</v>
      </c>
      <c r="H5" s="36">
        <v>119557000</v>
      </c>
      <c r="I5" s="36">
        <v>131840000</v>
      </c>
      <c r="J5" s="36">
        <v>118056000</v>
      </c>
      <c r="K5" s="36">
        <v>78830000</v>
      </c>
      <c r="L5" s="36">
        <v>35524000</v>
      </c>
      <c r="M5" s="36">
        <v>9765000</v>
      </c>
      <c r="N5" s="36">
        <v>11928000</v>
      </c>
      <c r="O5" s="36">
        <v>13873000</v>
      </c>
      <c r="P5" s="36">
        <v>5501000</v>
      </c>
      <c r="Q5" s="36">
        <v>30203000</v>
      </c>
      <c r="R5" s="36">
        <v>4421000</v>
      </c>
      <c r="S5" s="36">
        <v>3353000</v>
      </c>
      <c r="T5" s="36">
        <v>2194000</v>
      </c>
      <c r="U5" s="36">
        <v>2171000</v>
      </c>
      <c r="V5" s="36">
        <v>2280000</v>
      </c>
      <c r="W5" s="36">
        <v>2392000</v>
      </c>
      <c r="X5" s="36">
        <v>600000</v>
      </c>
      <c r="Y5" s="36">
        <v>1100000</v>
      </c>
      <c r="Z5" s="36">
        <v>2500000</v>
      </c>
      <c r="AA5" s="36">
        <v>1300000</v>
      </c>
      <c r="AB5" s="36">
        <v>100000</v>
      </c>
      <c r="AC5" s="36">
        <v>400000</v>
      </c>
      <c r="AD5" s="36">
        <v>200000</v>
      </c>
      <c r="AE5" s="36">
        <v>100000</v>
      </c>
      <c r="AF5" s="36">
        <v>200000</v>
      </c>
      <c r="AG5" s="36">
        <v>100000</v>
      </c>
      <c r="AH5" s="36">
        <v>500000</v>
      </c>
      <c r="AI5" s="36">
        <v>200000</v>
      </c>
      <c r="AJ5" s="36">
        <v>400000</v>
      </c>
    </row>
    <row r="6" spans="1:36">
      <c r="A6" t="s">
        <v>146</v>
      </c>
      <c r="B6" s="36">
        <v>146160000</v>
      </c>
      <c r="C6" s="36">
        <v>103549000</v>
      </c>
      <c r="D6" s="36">
        <v>63106000</v>
      </c>
      <c r="E6" s="36">
        <v>51518000</v>
      </c>
      <c r="F6" s="36">
        <v>37722000</v>
      </c>
      <c r="G6" s="36">
        <v>35414000</v>
      </c>
      <c r="H6" s="36">
        <v>29494000</v>
      </c>
      <c r="I6" s="36">
        <v>27395000</v>
      </c>
      <c r="J6" s="36">
        <v>21333000</v>
      </c>
      <c r="K6" s="36">
        <v>18192000</v>
      </c>
      <c r="L6" s="36">
        <v>7611000</v>
      </c>
      <c r="M6" s="36">
        <v>12340000</v>
      </c>
      <c r="N6" s="36">
        <v>6535000</v>
      </c>
      <c r="O6" s="36">
        <v>8518000</v>
      </c>
      <c r="P6" s="36">
        <v>16516000</v>
      </c>
      <c r="Q6" s="36">
        <v>21796000</v>
      </c>
      <c r="R6" s="36">
        <v>7259000</v>
      </c>
      <c r="S6" s="36">
        <v>4766000</v>
      </c>
      <c r="T6" s="36">
        <v>6560000</v>
      </c>
      <c r="U6" s="36">
        <v>6623000</v>
      </c>
      <c r="V6" s="36">
        <v>4715000</v>
      </c>
      <c r="W6" s="36">
        <v>5270000</v>
      </c>
      <c r="X6" s="36">
        <v>7500000</v>
      </c>
      <c r="Y6" s="36">
        <v>6300000</v>
      </c>
      <c r="Z6" s="36">
        <v>6500000</v>
      </c>
      <c r="AA6" s="36">
        <v>3000000</v>
      </c>
      <c r="AB6" s="36">
        <v>2500000</v>
      </c>
      <c r="AC6" s="36">
        <v>1400000</v>
      </c>
      <c r="AD6" s="36">
        <v>1200000</v>
      </c>
      <c r="AE6" s="36">
        <v>1000000</v>
      </c>
      <c r="AF6" s="36">
        <v>800000</v>
      </c>
      <c r="AG6" s="36">
        <v>600000</v>
      </c>
      <c r="AH6" s="36">
        <v>300000</v>
      </c>
      <c r="AI6" s="36">
        <v>200000</v>
      </c>
      <c r="AJ6" s="36">
        <v>200000</v>
      </c>
    </row>
    <row r="7" spans="1:36">
      <c r="A7" t="s">
        <v>147</v>
      </c>
      <c r="B7" s="36">
        <v>62109000</v>
      </c>
      <c r="C7" s="36">
        <v>34445000</v>
      </c>
      <c r="D7" s="36">
        <v>63106000</v>
      </c>
      <c r="E7" s="36">
        <v>51518000</v>
      </c>
      <c r="F7" s="36">
        <v>37722000</v>
      </c>
      <c r="G7" s="36">
        <v>35414000</v>
      </c>
      <c r="H7" s="36">
        <v>29494000</v>
      </c>
      <c r="I7" s="36">
        <v>27395000</v>
      </c>
      <c r="J7" s="36">
        <v>21333000</v>
      </c>
      <c r="K7" s="36">
        <v>18192000</v>
      </c>
      <c r="O7" s="36">
        <v>8518000</v>
      </c>
      <c r="P7" s="36">
        <v>16516000</v>
      </c>
      <c r="Q7" s="36">
        <v>21796000</v>
      </c>
      <c r="R7" s="36">
        <v>7259000</v>
      </c>
      <c r="S7" s="36">
        <v>4766000</v>
      </c>
      <c r="T7" s="36">
        <v>6560000</v>
      </c>
      <c r="U7" s="36">
        <v>6623000</v>
      </c>
      <c r="V7" s="36">
        <v>4715000</v>
      </c>
    </row>
    <row r="8" spans="1:36">
      <c r="A8" t="s">
        <v>282</v>
      </c>
      <c r="B8" s="36">
        <v>84051000</v>
      </c>
      <c r="C8" s="36">
        <v>69104000</v>
      </c>
    </row>
    <row r="9" spans="1:36">
      <c r="A9" t="s">
        <v>148</v>
      </c>
      <c r="B9" s="36">
        <v>32113000</v>
      </c>
      <c r="C9" s="36">
        <v>47479000</v>
      </c>
      <c r="D9" s="36">
        <v>32902000</v>
      </c>
      <c r="E9" s="36">
        <v>30753000</v>
      </c>
      <c r="F9" s="36">
        <v>29719000</v>
      </c>
      <c r="G9" s="36">
        <v>26276000</v>
      </c>
      <c r="H9" s="36">
        <v>25029000</v>
      </c>
      <c r="I9" s="36">
        <v>25883000</v>
      </c>
      <c r="J9" s="36">
        <v>26080000</v>
      </c>
      <c r="K9" s="36">
        <v>27840000</v>
      </c>
      <c r="L9" s="36">
        <v>33069000</v>
      </c>
      <c r="M9" s="36">
        <v>32142000</v>
      </c>
      <c r="N9" s="36">
        <v>27265000</v>
      </c>
      <c r="O9" s="36">
        <v>28591000</v>
      </c>
      <c r="P9" s="36">
        <v>26884000</v>
      </c>
      <c r="Q9" s="36">
        <v>26377000</v>
      </c>
      <c r="R9" s="36">
        <v>17678000</v>
      </c>
      <c r="S9" s="36">
        <v>17632000</v>
      </c>
      <c r="T9" s="36">
        <v>14905000</v>
      </c>
      <c r="U9" s="36">
        <v>13895000</v>
      </c>
      <c r="V9" s="36">
        <v>14116000</v>
      </c>
      <c r="W9" s="36">
        <v>13358000</v>
      </c>
      <c r="X9" s="36">
        <v>12000000</v>
      </c>
      <c r="Y9" s="36">
        <v>10200000</v>
      </c>
      <c r="Z9" s="36">
        <v>9100000</v>
      </c>
      <c r="AA9" s="36">
        <v>4400000</v>
      </c>
      <c r="AB9" s="36">
        <v>4400000</v>
      </c>
      <c r="AC9" s="36">
        <v>3400000</v>
      </c>
      <c r="AD9" s="36">
        <v>3500000</v>
      </c>
      <c r="AE9" s="36">
        <v>4000000</v>
      </c>
      <c r="AF9" s="36">
        <v>2900000</v>
      </c>
      <c r="AG9" s="36">
        <v>2700000</v>
      </c>
      <c r="AH9" s="36">
        <v>2500000</v>
      </c>
      <c r="AI9" s="36">
        <v>2700000</v>
      </c>
      <c r="AJ9" s="36">
        <v>2600000</v>
      </c>
    </row>
    <row r="10" spans="1:36">
      <c r="A10" t="s">
        <v>149</v>
      </c>
      <c r="L10" s="36">
        <v>4233000</v>
      </c>
      <c r="M10" s="36">
        <v>5009000</v>
      </c>
      <c r="N10" s="36">
        <v>3545000</v>
      </c>
      <c r="O10" s="36">
        <v>13552000</v>
      </c>
      <c r="P10" s="36">
        <v>13847000</v>
      </c>
      <c r="Q10" s="36">
        <v>26132000</v>
      </c>
      <c r="R10" s="36">
        <v>11252000</v>
      </c>
      <c r="S10" s="36">
        <v>7209000</v>
      </c>
      <c r="T10" s="36">
        <v>6118000</v>
      </c>
      <c r="U10" s="36">
        <v>6548000</v>
      </c>
      <c r="V10" s="36">
        <v>5757000</v>
      </c>
    </row>
    <row r="11" spans="1:36">
      <c r="A11" t="s">
        <v>150</v>
      </c>
      <c r="H11" s="36">
        <v>12188000</v>
      </c>
      <c r="I11" s="36">
        <v>9265000</v>
      </c>
      <c r="J11" s="36">
        <v>9675000</v>
      </c>
      <c r="K11" s="36">
        <v>8184000</v>
      </c>
      <c r="L11" s="36">
        <v>10345000</v>
      </c>
      <c r="M11" s="36">
        <v>5874000</v>
      </c>
      <c r="N11" s="36">
        <v>6725000</v>
      </c>
    </row>
    <row r="12" spans="1:36">
      <c r="A12" t="s">
        <v>151</v>
      </c>
      <c r="H12" s="36">
        <v>12188000</v>
      </c>
      <c r="I12" s="36">
        <v>9265000</v>
      </c>
      <c r="J12" s="36">
        <v>9675000</v>
      </c>
      <c r="K12" s="36">
        <v>8184000</v>
      </c>
      <c r="L12" s="36">
        <v>10345000</v>
      </c>
      <c r="M12" s="36">
        <v>5874000</v>
      </c>
      <c r="N12" s="36">
        <v>6725000</v>
      </c>
    </row>
    <row r="13" spans="1:36">
      <c r="A13" t="s">
        <v>152</v>
      </c>
      <c r="B13" s="36">
        <v>24249000</v>
      </c>
      <c r="C13" s="36">
        <v>26747000</v>
      </c>
      <c r="D13" s="36">
        <v>15921000</v>
      </c>
      <c r="E13" s="36">
        <v>12589000</v>
      </c>
      <c r="F13" s="36">
        <v>13297000</v>
      </c>
      <c r="G13" s="36">
        <v>11270000</v>
      </c>
      <c r="H13" s="36">
        <v>9946000</v>
      </c>
      <c r="I13" s="36">
        <v>9334000</v>
      </c>
      <c r="J13" s="36">
        <v>11353000</v>
      </c>
      <c r="K13" s="36">
        <v>8060000</v>
      </c>
      <c r="L13" s="36">
        <v>7733000</v>
      </c>
      <c r="M13" s="36">
        <v>5204000</v>
      </c>
      <c r="N13" s="36">
        <v>5310000</v>
      </c>
      <c r="W13" s="36">
        <v>4358000</v>
      </c>
      <c r="X13" s="36">
        <v>4100000</v>
      </c>
      <c r="Y13" s="36">
        <v>3400000</v>
      </c>
      <c r="Z13" s="36">
        <v>3900000</v>
      </c>
      <c r="AA13" s="36">
        <v>3000000</v>
      </c>
      <c r="AB13" s="36">
        <v>2800000</v>
      </c>
      <c r="AC13" s="36">
        <v>3000000</v>
      </c>
      <c r="AD13" s="36">
        <v>2000000</v>
      </c>
      <c r="AE13" s="36">
        <v>2200000</v>
      </c>
      <c r="AF13" s="36">
        <v>2400000</v>
      </c>
      <c r="AG13" s="36">
        <v>2200000</v>
      </c>
      <c r="AH13" s="36">
        <v>2300000</v>
      </c>
      <c r="AI13" s="36">
        <v>2400000</v>
      </c>
      <c r="AJ13" s="36">
        <v>2700000</v>
      </c>
    </row>
    <row r="14" spans="1:36">
      <c r="A14" t="s">
        <v>153</v>
      </c>
      <c r="B14" s="36">
        <v>2049379000</v>
      </c>
      <c r="C14" s="36">
        <v>2138901000</v>
      </c>
      <c r="D14" s="36">
        <v>2286964000</v>
      </c>
      <c r="E14" s="36">
        <v>1823974000</v>
      </c>
      <c r="F14" s="36">
        <v>1817176000</v>
      </c>
      <c r="G14" s="36">
        <v>1777505000</v>
      </c>
      <c r="H14" s="36">
        <v>1798693000</v>
      </c>
      <c r="I14" s="36">
        <v>1834602000</v>
      </c>
      <c r="J14" s="36">
        <v>1828130000</v>
      </c>
      <c r="K14" s="36">
        <v>1886516000</v>
      </c>
      <c r="L14" s="36">
        <v>1976042000</v>
      </c>
      <c r="M14" s="36">
        <v>2012110000</v>
      </c>
      <c r="N14" s="36">
        <v>2084131000</v>
      </c>
      <c r="O14" s="36">
        <v>2121549000</v>
      </c>
      <c r="P14" s="36">
        <v>2355920000</v>
      </c>
      <c r="Q14" s="36">
        <v>2406413000</v>
      </c>
      <c r="R14" s="36">
        <v>984184000</v>
      </c>
      <c r="S14" s="36">
        <v>960248000</v>
      </c>
      <c r="T14" s="36">
        <v>789564000</v>
      </c>
      <c r="U14" s="36">
        <v>793020000</v>
      </c>
      <c r="V14" s="36">
        <v>783363000</v>
      </c>
      <c r="W14" s="36">
        <v>738765000</v>
      </c>
      <c r="X14" s="36">
        <v>684800000</v>
      </c>
      <c r="Y14" s="36">
        <v>610300000</v>
      </c>
      <c r="Z14" s="36">
        <v>577600000</v>
      </c>
      <c r="AA14" s="36">
        <v>292400000</v>
      </c>
      <c r="AB14" s="36">
        <v>264900000</v>
      </c>
      <c r="AC14" s="36">
        <v>215800000</v>
      </c>
      <c r="AD14" s="36">
        <v>211500000</v>
      </c>
      <c r="AE14" s="36">
        <v>202200000</v>
      </c>
      <c r="AF14" s="36">
        <v>136200000</v>
      </c>
      <c r="AG14" s="36">
        <v>136100000</v>
      </c>
      <c r="AH14" s="36">
        <v>130400000</v>
      </c>
      <c r="AI14" s="36">
        <v>129900000</v>
      </c>
      <c r="AJ14" s="36">
        <v>130900000</v>
      </c>
    </row>
    <row r="15" spans="1:36">
      <c r="A15" t="s">
        <v>154</v>
      </c>
      <c r="B15" s="36">
        <v>1727037000</v>
      </c>
      <c r="C15" s="36">
        <v>1815508000</v>
      </c>
      <c r="D15" s="36">
        <v>1855932000</v>
      </c>
      <c r="E15" s="36">
        <v>1599438000</v>
      </c>
      <c r="F15" s="36">
        <v>1585772000</v>
      </c>
      <c r="G15" s="36">
        <v>1539220000</v>
      </c>
      <c r="H15" s="36">
        <v>1514878000</v>
      </c>
      <c r="I15" s="36">
        <v>1526551000</v>
      </c>
      <c r="J15" s="36">
        <v>1505763000</v>
      </c>
      <c r="K15" s="36">
        <v>1552029000</v>
      </c>
      <c r="L15" s="36">
        <v>1638091000</v>
      </c>
      <c r="M15" s="36">
        <v>1676641000</v>
      </c>
      <c r="N15" s="36">
        <v>1781069000</v>
      </c>
      <c r="O15" s="36">
        <v>1825091000</v>
      </c>
      <c r="P15" s="36">
        <v>1933562000</v>
      </c>
      <c r="Q15" s="36">
        <v>1985709000</v>
      </c>
      <c r="R15" s="36">
        <v>967256000</v>
      </c>
      <c r="S15" s="36">
        <v>946971000</v>
      </c>
      <c r="T15" s="36">
        <v>777039000</v>
      </c>
      <c r="U15" s="36">
        <v>781502000</v>
      </c>
      <c r="V15" s="36">
        <v>771918000</v>
      </c>
      <c r="W15" s="36">
        <v>728919000</v>
      </c>
      <c r="X15" s="36">
        <v>674600000</v>
      </c>
      <c r="Y15" s="36">
        <v>600000000</v>
      </c>
      <c r="Z15" s="36">
        <v>567100000</v>
      </c>
      <c r="AA15" s="36">
        <v>281600000</v>
      </c>
      <c r="AB15" s="36">
        <v>253800000</v>
      </c>
      <c r="AC15" s="36">
        <v>204300000</v>
      </c>
      <c r="AD15" s="36">
        <v>199600000</v>
      </c>
      <c r="AE15" s="36">
        <v>189800000</v>
      </c>
      <c r="AF15" s="36">
        <v>134800000</v>
      </c>
      <c r="AG15" s="36">
        <v>134600000</v>
      </c>
      <c r="AH15" s="36">
        <v>129000000</v>
      </c>
      <c r="AI15" s="36">
        <v>126900000</v>
      </c>
      <c r="AJ15" s="36">
        <v>127300000</v>
      </c>
    </row>
    <row r="16" spans="1:36">
      <c r="A16" t="s">
        <v>155</v>
      </c>
      <c r="B16" s="36">
        <v>3844696000</v>
      </c>
      <c r="C16" s="36">
        <v>3810646000</v>
      </c>
      <c r="D16" s="36">
        <v>3710951000</v>
      </c>
      <c r="E16" s="36">
        <v>3326783000</v>
      </c>
      <c r="F16" s="36">
        <v>3200013000</v>
      </c>
      <c r="G16" s="36">
        <v>3034025000</v>
      </c>
      <c r="H16" s="36">
        <v>2908683000</v>
      </c>
      <c r="I16" s="36">
        <v>2849203000</v>
      </c>
      <c r="J16" s="36">
        <v>2757503000</v>
      </c>
      <c r="K16" s="36">
        <v>2706485000</v>
      </c>
      <c r="L16" s="36">
        <v>2682680000</v>
      </c>
      <c r="M16" s="36">
        <v>2625588000</v>
      </c>
      <c r="N16" s="36">
        <v>2607107000</v>
      </c>
      <c r="O16" s="36">
        <v>2532747000</v>
      </c>
      <c r="P16" s="36">
        <v>2550002000</v>
      </c>
      <c r="Q16" s="36">
        <v>2484689000</v>
      </c>
      <c r="R16" s="36">
        <v>1385077000</v>
      </c>
      <c r="S16" s="36">
        <v>1317978000</v>
      </c>
      <c r="T16" s="36">
        <v>1103770000</v>
      </c>
      <c r="U16" s="36">
        <v>1075856000</v>
      </c>
      <c r="V16" s="36">
        <v>1029168000</v>
      </c>
      <c r="W16" s="36">
        <v>965400000</v>
      </c>
      <c r="X16" s="36">
        <v>873900000</v>
      </c>
      <c r="Y16" s="36">
        <v>775600000</v>
      </c>
      <c r="Z16" s="36">
        <v>714900000</v>
      </c>
      <c r="AA16" s="36">
        <v>412200000</v>
      </c>
      <c r="AB16" s="36">
        <v>366900000</v>
      </c>
      <c r="AC16" s="36">
        <v>303200000</v>
      </c>
      <c r="AD16" s="36">
        <v>287000000</v>
      </c>
      <c r="AE16" s="36">
        <v>265500000</v>
      </c>
      <c r="AF16" s="36">
        <v>199600000</v>
      </c>
      <c r="AG16" s="36">
        <v>189900000</v>
      </c>
      <c r="AH16" s="36">
        <v>175400000</v>
      </c>
      <c r="AI16" s="36">
        <v>164700000</v>
      </c>
      <c r="AJ16" s="36">
        <v>158500000</v>
      </c>
    </row>
    <row r="17" spans="1:36">
      <c r="A17" t="s">
        <v>156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</row>
    <row r="18" spans="1:36">
      <c r="A18" t="s">
        <v>157</v>
      </c>
      <c r="B18" s="36">
        <v>929204000</v>
      </c>
      <c r="C18" s="36">
        <v>909884000</v>
      </c>
      <c r="D18" s="36">
        <v>901572000</v>
      </c>
      <c r="E18" s="36">
        <v>702912000</v>
      </c>
      <c r="F18" s="36">
        <v>692614000</v>
      </c>
      <c r="G18" s="36">
        <v>667974000</v>
      </c>
      <c r="H18" s="36">
        <v>648973000</v>
      </c>
      <c r="I18" s="36">
        <v>643160000</v>
      </c>
      <c r="J18" s="36">
        <v>634182000</v>
      </c>
      <c r="K18" s="36">
        <v>642429000</v>
      </c>
      <c r="L18" s="36">
        <v>646282000</v>
      </c>
      <c r="M18" s="36">
        <v>634714000</v>
      </c>
      <c r="N18" s="36">
        <v>631825000</v>
      </c>
      <c r="O18" s="36">
        <v>635719000</v>
      </c>
      <c r="P18" s="36">
        <v>344688000</v>
      </c>
      <c r="Q18" s="36">
        <v>325617000</v>
      </c>
      <c r="R18" s="36">
        <v>338033000</v>
      </c>
      <c r="S18" s="36">
        <v>327641000</v>
      </c>
      <c r="T18" s="36">
        <v>281909000</v>
      </c>
      <c r="U18" s="36">
        <v>277299000</v>
      </c>
      <c r="V18" s="36">
        <v>271153000</v>
      </c>
    </row>
    <row r="19" spans="1:36">
      <c r="A19" t="s">
        <v>158</v>
      </c>
      <c r="B19" s="36">
        <v>855297000</v>
      </c>
      <c r="C19" s="36">
        <v>849404000</v>
      </c>
      <c r="D19" s="36">
        <v>816780000</v>
      </c>
      <c r="E19" s="36">
        <v>732666000</v>
      </c>
      <c r="F19" s="36">
        <v>693899000</v>
      </c>
      <c r="G19" s="36">
        <v>663982000</v>
      </c>
      <c r="H19" s="36">
        <v>647514000</v>
      </c>
      <c r="I19" s="36">
        <v>599907000</v>
      </c>
      <c r="J19" s="36">
        <v>584659000</v>
      </c>
      <c r="K19" s="36">
        <v>584854000</v>
      </c>
      <c r="L19" s="36">
        <v>579136000</v>
      </c>
      <c r="M19" s="36">
        <v>575725000</v>
      </c>
      <c r="N19" s="36">
        <v>589219000</v>
      </c>
      <c r="O19" s="36">
        <v>573842000</v>
      </c>
      <c r="P19" s="36">
        <v>900465000</v>
      </c>
      <c r="Q19" s="36">
        <v>895994000</v>
      </c>
      <c r="R19" s="36">
        <v>308748000</v>
      </c>
      <c r="S19" s="36">
        <v>298037000</v>
      </c>
      <c r="T19" s="36">
        <v>257102000</v>
      </c>
      <c r="U19" s="36">
        <v>254512000</v>
      </c>
      <c r="V19" s="36">
        <v>249786000</v>
      </c>
    </row>
    <row r="20" spans="1:36">
      <c r="A20" t="s">
        <v>159</v>
      </c>
      <c r="B20" s="36">
        <v>1986235000</v>
      </c>
      <c r="C20" s="36">
        <v>1962324000</v>
      </c>
      <c r="D20" s="36">
        <v>1907544000</v>
      </c>
      <c r="E20" s="36">
        <v>1813489000</v>
      </c>
      <c r="F20" s="36">
        <v>1740653000</v>
      </c>
      <c r="G20" s="36">
        <v>1643770000</v>
      </c>
      <c r="H20" s="36">
        <v>1561234000</v>
      </c>
      <c r="I20" s="36">
        <v>1535705000</v>
      </c>
      <c r="J20" s="36">
        <v>1494112000</v>
      </c>
      <c r="K20" s="36">
        <v>1450231000</v>
      </c>
      <c r="L20" s="36">
        <v>1423370000</v>
      </c>
      <c r="M20" s="36">
        <v>1398403000</v>
      </c>
      <c r="N20" s="36">
        <v>1351595000</v>
      </c>
      <c r="O20" s="36">
        <v>1295076000</v>
      </c>
      <c r="P20" s="36">
        <v>1270852000</v>
      </c>
      <c r="Q20" s="36">
        <v>1237790000</v>
      </c>
      <c r="R20" s="36">
        <v>714862000</v>
      </c>
      <c r="S20" s="36">
        <v>671830000</v>
      </c>
      <c r="T20" s="36">
        <v>553927000</v>
      </c>
      <c r="U20" s="36">
        <v>522234000</v>
      </c>
      <c r="V20" s="36">
        <v>495241000</v>
      </c>
    </row>
    <row r="21" spans="1:36">
      <c r="A21" t="s">
        <v>160</v>
      </c>
      <c r="B21" s="36">
        <v>16294000</v>
      </c>
      <c r="C21" s="36">
        <v>13527000</v>
      </c>
      <c r="D21" s="36">
        <v>14324000</v>
      </c>
    </row>
    <row r="22" spans="1:36">
      <c r="A22" t="s">
        <v>161</v>
      </c>
      <c r="B22" s="36">
        <v>57666000</v>
      </c>
      <c r="C22" s="36">
        <v>75507000</v>
      </c>
      <c r="D22" s="36">
        <v>70731000</v>
      </c>
      <c r="E22" s="36">
        <v>77716000</v>
      </c>
      <c r="F22" s="36">
        <v>72847000</v>
      </c>
      <c r="G22" s="36">
        <v>58299000</v>
      </c>
      <c r="H22" s="36">
        <v>50962000</v>
      </c>
      <c r="I22" s="36">
        <v>70431000</v>
      </c>
      <c r="J22" s="36">
        <v>44550000</v>
      </c>
      <c r="K22" s="36">
        <v>28971000</v>
      </c>
      <c r="L22" s="36">
        <v>33892000</v>
      </c>
      <c r="M22" s="36">
        <v>16746000</v>
      </c>
      <c r="N22" s="36">
        <v>34468000</v>
      </c>
      <c r="O22" s="36">
        <v>28110000</v>
      </c>
      <c r="P22" s="36">
        <v>33997000</v>
      </c>
      <c r="Q22" s="36">
        <v>25288000</v>
      </c>
      <c r="R22" s="36">
        <v>23434000</v>
      </c>
      <c r="S22" s="36">
        <v>20470000</v>
      </c>
      <c r="T22" s="36">
        <v>10832000</v>
      </c>
      <c r="U22" s="36">
        <v>21811000</v>
      </c>
      <c r="V22" s="36">
        <v>12988000</v>
      </c>
    </row>
    <row r="23" spans="1:36">
      <c r="A23" t="s">
        <v>162</v>
      </c>
      <c r="B23" s="36">
        <v>-2117659000</v>
      </c>
      <c r="C23" s="36">
        <v>-1995138000</v>
      </c>
      <c r="D23" s="36">
        <v>-1855019000</v>
      </c>
      <c r="E23" s="36">
        <v>-1727345000</v>
      </c>
      <c r="F23" s="36">
        <v>-1614241000</v>
      </c>
      <c r="G23" s="36">
        <v>-1494805000</v>
      </c>
      <c r="H23" s="36">
        <v>-1393805000</v>
      </c>
      <c r="I23" s="36">
        <v>-1322652000</v>
      </c>
      <c r="J23" s="36">
        <v>-1251740000</v>
      </c>
      <c r="K23" s="36">
        <v>-1154456000</v>
      </c>
      <c r="L23" s="36">
        <v>-1044589000</v>
      </c>
      <c r="M23" s="36">
        <v>-948947000</v>
      </c>
      <c r="N23" s="36">
        <v>-826038000</v>
      </c>
      <c r="O23" s="36">
        <v>-707656000</v>
      </c>
      <c r="P23" s="36">
        <v>-616440000</v>
      </c>
      <c r="Q23" s="36">
        <v>-498980000</v>
      </c>
      <c r="R23" s="36">
        <v>-417821000</v>
      </c>
      <c r="S23" s="36">
        <v>-371007000</v>
      </c>
      <c r="T23" s="36">
        <v>-326731000</v>
      </c>
      <c r="U23" s="36">
        <v>-294354000</v>
      </c>
      <c r="V23" s="36">
        <v>-257250000</v>
      </c>
      <c r="W23" s="36">
        <v>-236481000</v>
      </c>
      <c r="X23" s="36">
        <v>-199300000</v>
      </c>
      <c r="Y23" s="36">
        <v>-175600000</v>
      </c>
      <c r="Z23" s="36">
        <v>-147800000</v>
      </c>
      <c r="AA23" s="36">
        <v>-130600000</v>
      </c>
      <c r="AB23" s="36">
        <v>-113100000</v>
      </c>
      <c r="AC23" s="36">
        <v>-98900000</v>
      </c>
      <c r="AD23" s="36">
        <v>-87400000</v>
      </c>
      <c r="AE23" s="36">
        <v>-75700000</v>
      </c>
      <c r="AF23" s="36">
        <v>-64800000</v>
      </c>
      <c r="AG23" s="36">
        <v>-55300000</v>
      </c>
      <c r="AH23" s="36">
        <v>-46400000</v>
      </c>
      <c r="AI23" s="36">
        <v>-37800000</v>
      </c>
      <c r="AJ23" s="36">
        <v>-31200000</v>
      </c>
    </row>
    <row r="24" spans="1:36">
      <c r="A24" t="s">
        <v>163</v>
      </c>
      <c r="B24" s="36">
        <v>317226000</v>
      </c>
      <c r="C24" s="36">
        <v>317249000</v>
      </c>
      <c r="D24" s="36">
        <v>419553000</v>
      </c>
      <c r="E24" s="36">
        <v>215095000</v>
      </c>
      <c r="F24" s="36">
        <v>221894000</v>
      </c>
      <c r="G24" s="36">
        <v>217497000</v>
      </c>
      <c r="H24" s="36">
        <v>246706000</v>
      </c>
      <c r="I24" s="36">
        <v>266482000</v>
      </c>
      <c r="J24" s="36">
        <v>277560000</v>
      </c>
      <c r="K24" s="36">
        <v>286873000</v>
      </c>
      <c r="L24" s="36">
        <v>283763000</v>
      </c>
      <c r="M24" s="36">
        <v>286891000</v>
      </c>
      <c r="N24" s="36">
        <v>282214000</v>
      </c>
      <c r="O24" s="36">
        <v>276680000</v>
      </c>
      <c r="P24" s="36">
        <v>391516000</v>
      </c>
      <c r="Q24" s="36">
        <v>378894000</v>
      </c>
      <c r="R24" s="36">
        <v>16928000</v>
      </c>
      <c r="S24" s="36">
        <v>13277000</v>
      </c>
      <c r="T24" s="36">
        <v>12525000</v>
      </c>
      <c r="U24" s="36">
        <v>11518000</v>
      </c>
      <c r="V24" s="36">
        <v>11445000</v>
      </c>
      <c r="W24" s="36">
        <v>9846000</v>
      </c>
      <c r="X24" s="36">
        <v>10100000</v>
      </c>
      <c r="Y24" s="36">
        <v>10300000</v>
      </c>
      <c r="Z24" s="36">
        <v>10500000</v>
      </c>
      <c r="AA24" s="36">
        <v>10700000</v>
      </c>
      <c r="AB24" s="36">
        <v>11100000</v>
      </c>
      <c r="AC24" s="36">
        <v>11500000</v>
      </c>
      <c r="AD24" s="36">
        <v>11900000</v>
      </c>
      <c r="AE24" s="36">
        <v>12300000</v>
      </c>
      <c r="AF24" s="36">
        <v>1500000</v>
      </c>
      <c r="AG24" s="36">
        <v>1400000</v>
      </c>
      <c r="AH24" s="36">
        <v>1400000</v>
      </c>
      <c r="AI24" s="36">
        <v>1600000</v>
      </c>
      <c r="AJ24" s="36">
        <v>2100000</v>
      </c>
    </row>
    <row r="25" spans="1:36">
      <c r="A25" t="s">
        <v>164</v>
      </c>
      <c r="B25" s="36">
        <v>267232000</v>
      </c>
      <c r="C25" s="36">
        <v>266961000</v>
      </c>
      <c r="D25" s="36">
        <v>359654000</v>
      </c>
      <c r="E25" s="36">
        <v>178719000</v>
      </c>
      <c r="F25" s="36">
        <v>183830000</v>
      </c>
      <c r="G25" s="36">
        <v>179660000</v>
      </c>
      <c r="H25" s="36">
        <v>210811000</v>
      </c>
      <c r="I25" s="36">
        <v>228291000</v>
      </c>
      <c r="J25" s="36">
        <v>238089000</v>
      </c>
      <c r="K25" s="36">
        <v>246221000</v>
      </c>
      <c r="L25" s="36">
        <v>243490000</v>
      </c>
      <c r="M25" s="36">
        <v>246259000</v>
      </c>
      <c r="N25" s="36">
        <v>240006000</v>
      </c>
      <c r="O25" s="36">
        <v>222602000</v>
      </c>
      <c r="P25" s="36">
        <v>325418000</v>
      </c>
      <c r="Q25" s="36">
        <v>314057000</v>
      </c>
    </row>
    <row r="26" spans="1:36">
      <c r="A26" t="s">
        <v>165</v>
      </c>
      <c r="B26" s="36">
        <v>49994000</v>
      </c>
      <c r="C26" s="36">
        <v>50288000</v>
      </c>
      <c r="D26" s="36">
        <v>59899000</v>
      </c>
      <c r="E26" s="36">
        <v>36376000</v>
      </c>
      <c r="F26" s="36">
        <v>38064000</v>
      </c>
      <c r="G26" s="36">
        <v>37837000</v>
      </c>
      <c r="H26" s="36">
        <v>35895000</v>
      </c>
      <c r="I26" s="36">
        <v>38191000</v>
      </c>
      <c r="J26" s="36">
        <v>39471000</v>
      </c>
      <c r="K26" s="36">
        <v>40652000</v>
      </c>
      <c r="L26" s="36">
        <v>40273000</v>
      </c>
      <c r="M26" s="36">
        <v>40632000</v>
      </c>
      <c r="N26" s="36">
        <v>42208000</v>
      </c>
      <c r="O26" s="36">
        <v>54078000</v>
      </c>
      <c r="P26" s="36">
        <v>66098000</v>
      </c>
      <c r="Q26" s="36">
        <v>64837000</v>
      </c>
      <c r="R26" s="36">
        <v>16928000</v>
      </c>
      <c r="S26" s="36">
        <v>13277000</v>
      </c>
      <c r="T26" s="36">
        <v>12525000</v>
      </c>
      <c r="U26" s="36">
        <v>11518000</v>
      </c>
      <c r="V26" s="36">
        <v>11445000</v>
      </c>
      <c r="W26" s="36">
        <v>9846000</v>
      </c>
      <c r="X26" s="36">
        <v>10100000</v>
      </c>
      <c r="Y26" s="36">
        <v>10300000</v>
      </c>
      <c r="Z26" s="36">
        <v>10500000</v>
      </c>
      <c r="AA26" s="36">
        <v>10700000</v>
      </c>
      <c r="AB26" s="36">
        <v>11100000</v>
      </c>
      <c r="AC26" s="36">
        <v>11500000</v>
      </c>
      <c r="AD26" s="36">
        <v>11900000</v>
      </c>
      <c r="AE26" s="36">
        <v>12300000</v>
      </c>
      <c r="AF26" s="36">
        <v>1500000</v>
      </c>
      <c r="AG26" s="36">
        <v>1400000</v>
      </c>
      <c r="AH26" s="36">
        <v>1400000</v>
      </c>
      <c r="AI26" s="36">
        <v>1600000</v>
      </c>
      <c r="AJ26" s="36">
        <v>2100000</v>
      </c>
    </row>
    <row r="27" spans="1:36">
      <c r="A27" t="s">
        <v>166</v>
      </c>
      <c r="B27" s="36">
        <v>5116000</v>
      </c>
      <c r="C27" s="36">
        <v>6144000</v>
      </c>
      <c r="D27" s="36">
        <v>11479000</v>
      </c>
      <c r="E27" s="36">
        <v>9441000</v>
      </c>
      <c r="F27" s="36">
        <v>9510000</v>
      </c>
      <c r="G27" s="36">
        <v>20788000</v>
      </c>
      <c r="H27" s="36">
        <v>37109000</v>
      </c>
      <c r="I27" s="36">
        <v>41569000</v>
      </c>
      <c r="J27" s="36">
        <v>44807000</v>
      </c>
      <c r="K27" s="36">
        <v>47614000</v>
      </c>
      <c r="L27" s="36">
        <v>54188000</v>
      </c>
      <c r="M27" s="36">
        <v>48578000</v>
      </c>
      <c r="N27" s="36">
        <v>20848000</v>
      </c>
      <c r="O27" s="36">
        <v>19778000</v>
      </c>
      <c r="P27" s="36">
        <v>30842000</v>
      </c>
      <c r="Q27" s="36">
        <v>41810000</v>
      </c>
      <c r="X27" s="36">
        <v>100000</v>
      </c>
      <c r="AA27" s="36">
        <v>100000</v>
      </c>
      <c r="AE27" s="36">
        <v>100000</v>
      </c>
      <c r="AF27" s="36">
        <v>-100000</v>
      </c>
      <c r="AG27" s="36">
        <v>100000</v>
      </c>
      <c r="AI27" s="36">
        <v>1400000</v>
      </c>
      <c r="AJ27" s="36">
        <v>1500000</v>
      </c>
    </row>
    <row r="28" spans="1:36">
      <c r="A28" t="s">
        <v>167</v>
      </c>
      <c r="B28" s="36">
        <v>3011508000</v>
      </c>
      <c r="C28" s="36">
        <v>3359849000</v>
      </c>
      <c r="D28" s="36">
        <v>2591111000</v>
      </c>
      <c r="E28" s="36">
        <v>1991767000</v>
      </c>
      <c r="F28" s="36">
        <v>1981213000</v>
      </c>
      <c r="G28" s="36">
        <v>1912662000</v>
      </c>
      <c r="H28" s="36">
        <v>1937898000</v>
      </c>
      <c r="I28" s="36">
        <v>1942102000</v>
      </c>
      <c r="J28" s="36">
        <v>1875496000</v>
      </c>
      <c r="K28" s="36">
        <v>1868362000</v>
      </c>
      <c r="L28" s="36">
        <v>1915837000</v>
      </c>
      <c r="M28" s="36">
        <v>1945308000</v>
      </c>
      <c r="N28" s="36">
        <v>2017577000</v>
      </c>
      <c r="O28" s="36">
        <v>2079297000</v>
      </c>
      <c r="P28" s="36">
        <v>2133576000</v>
      </c>
      <c r="Q28" s="36">
        <v>2100306000</v>
      </c>
      <c r="R28" s="36">
        <v>590560000</v>
      </c>
      <c r="S28" s="36">
        <v>622725000</v>
      </c>
      <c r="T28" s="36">
        <v>510450000</v>
      </c>
      <c r="U28" s="36">
        <v>516937000</v>
      </c>
      <c r="V28" s="36">
        <v>501981000</v>
      </c>
      <c r="W28" s="36">
        <v>433554000</v>
      </c>
      <c r="X28" s="36">
        <v>359000000</v>
      </c>
      <c r="Y28" s="36">
        <v>289300000</v>
      </c>
      <c r="Z28" s="36">
        <v>262400000</v>
      </c>
      <c r="AA28" s="36">
        <v>134100000</v>
      </c>
      <c r="AB28" s="36">
        <v>123200000</v>
      </c>
      <c r="AC28" s="36">
        <v>108900000</v>
      </c>
      <c r="AD28" s="36">
        <v>118400000</v>
      </c>
      <c r="AE28" s="36">
        <v>128200000</v>
      </c>
      <c r="AF28" s="36">
        <v>87400000</v>
      </c>
      <c r="AG28" s="36">
        <v>89900000</v>
      </c>
      <c r="AH28" s="36">
        <v>88600000</v>
      </c>
      <c r="AI28" s="36">
        <v>94400000</v>
      </c>
      <c r="AJ28" s="36">
        <v>95300000</v>
      </c>
    </row>
    <row r="29" spans="1:36">
      <c r="A29" s="35" t="s">
        <v>168</v>
      </c>
      <c r="B29" s="36">
        <v>381514000</v>
      </c>
      <c r="C29" s="36">
        <v>299981000</v>
      </c>
      <c r="D29" s="36">
        <v>324138000</v>
      </c>
      <c r="E29" s="36">
        <v>234719000</v>
      </c>
      <c r="F29" s="36">
        <v>225494000</v>
      </c>
      <c r="G29" s="36">
        <v>242683000</v>
      </c>
      <c r="H29" s="36">
        <v>198671000</v>
      </c>
      <c r="I29" s="36">
        <v>198219000</v>
      </c>
      <c r="J29" s="36">
        <v>158799000</v>
      </c>
      <c r="K29" s="36">
        <v>138202000</v>
      </c>
      <c r="L29" s="36">
        <v>203443000</v>
      </c>
      <c r="M29" s="36">
        <v>168852000</v>
      </c>
      <c r="N29" s="36">
        <v>131520000</v>
      </c>
      <c r="O29" s="36">
        <v>115239000</v>
      </c>
      <c r="P29" s="36">
        <v>122708000</v>
      </c>
      <c r="Q29" s="36">
        <v>159258000</v>
      </c>
      <c r="R29" s="36">
        <v>130733000</v>
      </c>
      <c r="S29" s="36">
        <v>121517000</v>
      </c>
      <c r="T29" s="36">
        <v>111694000</v>
      </c>
      <c r="U29" s="36">
        <v>106338000</v>
      </c>
      <c r="V29" s="36">
        <v>96700000</v>
      </c>
      <c r="W29" s="36">
        <v>114024000</v>
      </c>
      <c r="X29" s="36">
        <v>86600000</v>
      </c>
      <c r="Y29" s="36">
        <v>77200000</v>
      </c>
      <c r="Z29" s="36">
        <v>62400000</v>
      </c>
      <c r="AA29" s="36">
        <v>39200000</v>
      </c>
      <c r="AB29" s="36">
        <v>37600000</v>
      </c>
      <c r="AC29" s="36">
        <v>33600000</v>
      </c>
      <c r="AD29" s="36">
        <v>31600000</v>
      </c>
      <c r="AE29" s="36">
        <v>27400000</v>
      </c>
      <c r="AF29" s="36">
        <v>21500000</v>
      </c>
      <c r="AG29" s="36">
        <v>20000000</v>
      </c>
      <c r="AH29" s="36">
        <v>17500000</v>
      </c>
      <c r="AI29" s="36">
        <v>16400000</v>
      </c>
      <c r="AJ29" s="36">
        <v>15600000</v>
      </c>
    </row>
    <row r="30" spans="1:36">
      <c r="A30" t="s">
        <v>169</v>
      </c>
      <c r="B30" s="36">
        <v>169342000</v>
      </c>
      <c r="C30" s="36">
        <v>94305000</v>
      </c>
      <c r="D30" s="36">
        <v>140596000</v>
      </c>
      <c r="E30" s="36">
        <v>97999000</v>
      </c>
      <c r="F30" s="36">
        <v>114256000</v>
      </c>
      <c r="G30" s="36">
        <v>130080000</v>
      </c>
      <c r="H30" s="36">
        <v>102686000</v>
      </c>
      <c r="I30" s="36">
        <v>101890000</v>
      </c>
      <c r="J30" s="36">
        <v>90625000</v>
      </c>
      <c r="K30" s="36">
        <v>74811000</v>
      </c>
      <c r="L30" s="36">
        <v>78014000</v>
      </c>
      <c r="M30" s="36">
        <v>73051000</v>
      </c>
      <c r="N30" s="36">
        <v>70600000</v>
      </c>
      <c r="O30" s="36">
        <v>62377000</v>
      </c>
      <c r="P30" s="36">
        <v>64875000</v>
      </c>
      <c r="Q30" s="36">
        <v>100194000</v>
      </c>
      <c r="R30" s="36">
        <v>58704000</v>
      </c>
      <c r="S30" s="36">
        <v>63193000</v>
      </c>
      <c r="T30" s="36">
        <v>52871000</v>
      </c>
      <c r="U30" s="36">
        <v>63836000</v>
      </c>
      <c r="V30" s="36">
        <v>21206000</v>
      </c>
      <c r="W30" s="36">
        <v>16562000</v>
      </c>
      <c r="X30" s="36">
        <v>21600000</v>
      </c>
      <c r="Y30" s="36">
        <v>17000000</v>
      </c>
      <c r="Z30" s="36">
        <v>15600000</v>
      </c>
      <c r="AA30" s="36">
        <v>5300000</v>
      </c>
      <c r="AB30" s="36">
        <v>6400000</v>
      </c>
      <c r="AC30" s="36">
        <v>5700000</v>
      </c>
      <c r="AD30" s="36">
        <v>5000000</v>
      </c>
      <c r="AE30" s="36">
        <v>4900000</v>
      </c>
      <c r="AF30" s="36">
        <v>3600000</v>
      </c>
      <c r="AG30" s="36">
        <v>3900000</v>
      </c>
      <c r="AH30" s="36">
        <v>3200000</v>
      </c>
    </row>
    <row r="31" spans="1:36">
      <c r="A31" t="s">
        <v>170</v>
      </c>
      <c r="B31" s="36">
        <v>62987000</v>
      </c>
      <c r="C31" s="36">
        <v>25047000</v>
      </c>
      <c r="D31" s="36">
        <v>68581000</v>
      </c>
      <c r="E31" s="36">
        <v>52905000</v>
      </c>
      <c r="F31" s="36">
        <v>68596000</v>
      </c>
      <c r="G31" s="36">
        <v>79809000</v>
      </c>
      <c r="H31" s="36">
        <v>59059000</v>
      </c>
      <c r="I31" s="36">
        <v>45733000</v>
      </c>
      <c r="J31" s="36">
        <v>32703000</v>
      </c>
      <c r="K31" s="36">
        <v>28547000</v>
      </c>
      <c r="L31" s="36">
        <v>28864000</v>
      </c>
      <c r="M31" s="36">
        <v>25931000</v>
      </c>
      <c r="N31" s="36">
        <v>27970000</v>
      </c>
      <c r="O31" s="36">
        <v>31208000</v>
      </c>
      <c r="P31" s="36">
        <v>18566000</v>
      </c>
      <c r="Q31" s="36">
        <v>19764000</v>
      </c>
      <c r="R31" s="36">
        <v>16590000</v>
      </c>
      <c r="S31" s="36">
        <v>21708000</v>
      </c>
      <c r="T31" s="36">
        <v>20757000</v>
      </c>
      <c r="U31" s="36">
        <v>28045000</v>
      </c>
      <c r="V31" s="36">
        <v>21206000</v>
      </c>
      <c r="W31" s="36">
        <v>16562000</v>
      </c>
      <c r="X31" s="36">
        <v>21600000</v>
      </c>
      <c r="Y31" s="36">
        <v>17000000</v>
      </c>
      <c r="Z31" s="36">
        <v>15600000</v>
      </c>
      <c r="AA31" s="36">
        <v>5300000</v>
      </c>
      <c r="AB31" s="36">
        <v>6400000</v>
      </c>
      <c r="AC31" s="36">
        <v>5700000</v>
      </c>
      <c r="AD31" s="36">
        <v>5000000</v>
      </c>
      <c r="AE31" s="36">
        <v>4900000</v>
      </c>
      <c r="AF31" s="36">
        <v>3600000</v>
      </c>
      <c r="AG31" s="36">
        <v>3900000</v>
      </c>
      <c r="AH31" s="36">
        <v>3200000</v>
      </c>
    </row>
    <row r="32" spans="1:36">
      <c r="A32" s="35" t="s">
        <v>171</v>
      </c>
      <c r="B32" s="36">
        <v>53912000</v>
      </c>
      <c r="C32" s="36">
        <v>14272000</v>
      </c>
      <c r="D32" s="36">
        <v>29344000</v>
      </c>
      <c r="E32" s="36">
        <v>23314000</v>
      </c>
      <c r="F32" s="36">
        <v>24621000</v>
      </c>
      <c r="G32" s="36">
        <v>20851000</v>
      </c>
      <c r="H32" s="36">
        <v>17122000</v>
      </c>
      <c r="I32" s="36">
        <v>23933000</v>
      </c>
      <c r="J32" s="36">
        <v>13222000</v>
      </c>
      <c r="K32" s="36">
        <v>10734000</v>
      </c>
      <c r="L32" s="36">
        <v>12856000</v>
      </c>
      <c r="M32" s="36">
        <v>10787000</v>
      </c>
      <c r="N32" s="36">
        <v>10040000</v>
      </c>
      <c r="O32" s="36">
        <v>14627000</v>
      </c>
      <c r="P32" s="36">
        <v>18566000</v>
      </c>
      <c r="Q32" s="36">
        <v>19764000</v>
      </c>
      <c r="R32" s="36">
        <v>16590000</v>
      </c>
      <c r="S32" s="36">
        <v>21708000</v>
      </c>
      <c r="T32" s="36">
        <v>20757000</v>
      </c>
      <c r="U32" s="36">
        <v>28045000</v>
      </c>
      <c r="V32" s="36">
        <v>21206000</v>
      </c>
      <c r="W32" s="36">
        <v>16562000</v>
      </c>
      <c r="X32" s="36">
        <v>21600000</v>
      </c>
      <c r="Y32" s="36">
        <v>17000000</v>
      </c>
      <c r="Z32" s="36">
        <v>15600000</v>
      </c>
      <c r="AA32" s="36">
        <v>5300000</v>
      </c>
      <c r="AB32" s="36">
        <v>6400000</v>
      </c>
      <c r="AC32" s="36">
        <v>5700000</v>
      </c>
      <c r="AD32" s="36">
        <v>5000000</v>
      </c>
      <c r="AE32" s="36">
        <v>4900000</v>
      </c>
      <c r="AF32" s="36">
        <v>3600000</v>
      </c>
      <c r="AG32" s="36">
        <v>3900000</v>
      </c>
      <c r="AH32" s="36">
        <v>3200000</v>
      </c>
    </row>
    <row r="33" spans="1:36">
      <c r="A33" t="s">
        <v>172</v>
      </c>
      <c r="B33" s="36">
        <v>9075000</v>
      </c>
      <c r="C33" s="36">
        <v>10775000</v>
      </c>
      <c r="D33" s="36">
        <v>39237000</v>
      </c>
      <c r="E33" s="36">
        <v>29591000</v>
      </c>
      <c r="F33" s="36">
        <v>43975000</v>
      </c>
      <c r="G33" s="36">
        <v>58958000</v>
      </c>
      <c r="H33" s="36">
        <v>41937000</v>
      </c>
      <c r="I33" s="36">
        <v>21800000</v>
      </c>
      <c r="J33" s="36">
        <v>19481000</v>
      </c>
      <c r="K33" s="36">
        <v>17813000</v>
      </c>
      <c r="L33" s="36">
        <v>16008000</v>
      </c>
      <c r="M33" s="36">
        <v>15144000</v>
      </c>
      <c r="N33" s="36">
        <v>17930000</v>
      </c>
      <c r="O33" s="36">
        <v>16581000</v>
      </c>
    </row>
    <row r="34" spans="1:36">
      <c r="A34" t="s">
        <v>173</v>
      </c>
      <c r="B34" s="36">
        <v>106355000</v>
      </c>
      <c r="C34" s="36">
        <v>69258000</v>
      </c>
      <c r="D34" s="36">
        <v>72015000</v>
      </c>
      <c r="E34" s="36">
        <v>45094000</v>
      </c>
      <c r="F34" s="36">
        <v>45660000</v>
      </c>
      <c r="G34" s="36">
        <v>50271000</v>
      </c>
      <c r="H34" s="36">
        <v>43627000</v>
      </c>
      <c r="I34" s="36">
        <v>56157000</v>
      </c>
      <c r="J34" s="36">
        <v>57922000</v>
      </c>
      <c r="K34" s="36">
        <v>46264000</v>
      </c>
      <c r="L34" s="36">
        <v>49150000</v>
      </c>
      <c r="M34" s="36">
        <v>47120000</v>
      </c>
      <c r="N34" s="36">
        <v>42630000</v>
      </c>
      <c r="O34" s="36">
        <v>31169000</v>
      </c>
      <c r="P34" s="36">
        <v>46309000</v>
      </c>
      <c r="Q34" s="36">
        <v>80430000</v>
      </c>
      <c r="R34" s="36">
        <v>42114000</v>
      </c>
      <c r="S34" s="36">
        <v>41485000</v>
      </c>
      <c r="T34" s="36">
        <v>32114000</v>
      </c>
      <c r="U34" s="36">
        <v>35791000</v>
      </c>
    </row>
    <row r="35" spans="1:36">
      <c r="A35" t="s">
        <v>283</v>
      </c>
      <c r="B35" s="36">
        <v>32011000</v>
      </c>
      <c r="C35" s="36">
        <v>33718000</v>
      </c>
      <c r="D35" s="36">
        <v>21442000</v>
      </c>
      <c r="E35" s="36">
        <v>7927000</v>
      </c>
      <c r="F35" s="36">
        <v>8124000</v>
      </c>
      <c r="G35" s="36">
        <v>9986000</v>
      </c>
      <c r="H35" s="36">
        <v>9910000</v>
      </c>
      <c r="I35" s="36">
        <v>9916000</v>
      </c>
      <c r="J35" s="36">
        <v>23201000</v>
      </c>
      <c r="K35" s="36">
        <v>15512000</v>
      </c>
      <c r="L35" s="36">
        <v>15762000</v>
      </c>
      <c r="M35" s="36">
        <v>20409000</v>
      </c>
      <c r="N35" s="36">
        <v>4905000</v>
      </c>
      <c r="O35" s="36">
        <v>3395000</v>
      </c>
    </row>
    <row r="36" spans="1:36">
      <c r="A36" t="s">
        <v>284</v>
      </c>
      <c r="B36" s="36">
        <v>24573000</v>
      </c>
      <c r="C36" s="36">
        <v>22322000</v>
      </c>
      <c r="D36" s="36">
        <v>24665000</v>
      </c>
      <c r="E36" s="36">
        <v>24021000</v>
      </c>
      <c r="F36" s="36">
        <v>25107000</v>
      </c>
      <c r="G36" s="36">
        <v>27063000</v>
      </c>
      <c r="H36" s="36">
        <v>23996000</v>
      </c>
      <c r="I36" s="36">
        <v>23377000</v>
      </c>
      <c r="J36" s="36">
        <v>23653000</v>
      </c>
      <c r="K36" s="36">
        <v>23906000</v>
      </c>
    </row>
    <row r="37" spans="1:36">
      <c r="A37" t="s">
        <v>174</v>
      </c>
      <c r="O37" s="36">
        <v>17822000</v>
      </c>
    </row>
    <row r="38" spans="1:36">
      <c r="A38" t="s">
        <v>175</v>
      </c>
      <c r="D38" s="36">
        <v>7500000</v>
      </c>
      <c r="E38" s="36">
        <v>5625000</v>
      </c>
      <c r="G38" s="36">
        <v>2775000</v>
      </c>
      <c r="H38" s="36">
        <v>2475000</v>
      </c>
      <c r="L38" s="36">
        <v>15921000</v>
      </c>
      <c r="N38" s="36">
        <v>15959000</v>
      </c>
      <c r="O38" s="36">
        <v>17450000</v>
      </c>
      <c r="P38" s="36">
        <v>17450000</v>
      </c>
      <c r="Q38" s="36">
        <v>17450000</v>
      </c>
      <c r="R38" s="36">
        <v>20000000</v>
      </c>
      <c r="S38" s="36">
        <v>20000000</v>
      </c>
      <c r="T38" s="36">
        <v>20000000</v>
      </c>
      <c r="U38" s="36">
        <v>10000000</v>
      </c>
      <c r="V38" s="36">
        <v>10000000</v>
      </c>
      <c r="W38" s="36">
        <v>38550000</v>
      </c>
    </row>
    <row r="39" spans="1:36">
      <c r="A39" t="s">
        <v>176</v>
      </c>
      <c r="D39" s="36">
        <v>7500000</v>
      </c>
      <c r="E39" s="36">
        <v>5625000</v>
      </c>
      <c r="G39" s="36">
        <v>2775000</v>
      </c>
      <c r="H39" s="36">
        <v>2475000</v>
      </c>
      <c r="L39" s="36">
        <v>15921000</v>
      </c>
      <c r="N39" s="36">
        <v>15959000</v>
      </c>
      <c r="O39" s="36">
        <v>17450000</v>
      </c>
      <c r="P39" s="36">
        <v>17450000</v>
      </c>
      <c r="Q39" s="36">
        <v>17450000</v>
      </c>
      <c r="R39" s="36">
        <v>20000000</v>
      </c>
      <c r="S39" s="36">
        <v>20000000</v>
      </c>
      <c r="T39" s="36">
        <v>20000000</v>
      </c>
      <c r="U39" s="36">
        <v>10000000</v>
      </c>
      <c r="V39" s="36">
        <v>10000000</v>
      </c>
      <c r="W39" s="36">
        <v>38550000</v>
      </c>
    </row>
    <row r="40" spans="1:36">
      <c r="A40" t="s">
        <v>177</v>
      </c>
      <c r="H40" s="36">
        <v>2475000</v>
      </c>
      <c r="L40" s="36">
        <v>15921000</v>
      </c>
    </row>
    <row r="41" spans="1:36">
      <c r="A41" t="s">
        <v>178</v>
      </c>
      <c r="B41" s="36">
        <v>187599000</v>
      </c>
      <c r="C41" s="36">
        <v>183354000</v>
      </c>
      <c r="D41" s="36">
        <v>151377000</v>
      </c>
      <c r="E41" s="36">
        <v>107074000</v>
      </c>
      <c r="F41" s="36">
        <v>86131000</v>
      </c>
      <c r="G41" s="36">
        <v>82765000</v>
      </c>
      <c r="H41" s="36">
        <v>69514000</v>
      </c>
      <c r="I41" s="36">
        <v>61161000</v>
      </c>
      <c r="J41" s="36">
        <v>44521000</v>
      </c>
      <c r="K41" s="36">
        <v>39485000</v>
      </c>
      <c r="L41" s="36">
        <v>29594000</v>
      </c>
      <c r="M41" s="36">
        <v>74314000</v>
      </c>
      <c r="N41" s="36">
        <v>23176000</v>
      </c>
      <c r="O41" s="36">
        <v>17590000</v>
      </c>
      <c r="P41" s="36">
        <v>18844000</v>
      </c>
      <c r="Q41" s="36">
        <v>19490000</v>
      </c>
      <c r="R41" s="36">
        <v>10794000</v>
      </c>
    </row>
    <row r="42" spans="1:36">
      <c r="A42" t="s">
        <v>179</v>
      </c>
      <c r="B42" s="36">
        <v>187599000</v>
      </c>
      <c r="C42" s="36">
        <v>183354000</v>
      </c>
      <c r="D42" s="36">
        <v>151377000</v>
      </c>
      <c r="E42" s="36">
        <v>107074000</v>
      </c>
      <c r="F42" s="36">
        <v>86131000</v>
      </c>
      <c r="G42" s="36">
        <v>82765000</v>
      </c>
      <c r="H42" s="36">
        <v>69514000</v>
      </c>
      <c r="I42" s="36">
        <v>61161000</v>
      </c>
      <c r="J42" s="36">
        <v>44521000</v>
      </c>
      <c r="K42" s="36">
        <v>39485000</v>
      </c>
      <c r="L42" s="36">
        <v>29594000</v>
      </c>
      <c r="M42" s="36">
        <v>26328000</v>
      </c>
      <c r="N42" s="36">
        <v>23176000</v>
      </c>
      <c r="O42" s="36">
        <v>17590000</v>
      </c>
      <c r="P42" s="36">
        <v>18844000</v>
      </c>
      <c r="Q42" s="36">
        <v>19490000</v>
      </c>
      <c r="R42" s="36">
        <v>10794000</v>
      </c>
    </row>
    <row r="43" spans="1:36">
      <c r="A43" t="s">
        <v>180</v>
      </c>
      <c r="I43" s="36">
        <v>11791000</v>
      </c>
      <c r="L43" s="36">
        <v>79914000</v>
      </c>
      <c r="M43" s="36">
        <v>21487000</v>
      </c>
      <c r="N43" s="36">
        <v>21785000</v>
      </c>
      <c r="P43" s="36">
        <v>21539000</v>
      </c>
      <c r="Q43" s="36">
        <v>22124000</v>
      </c>
      <c r="R43" s="36">
        <v>41235000</v>
      </c>
      <c r="S43" s="36">
        <v>38324000</v>
      </c>
      <c r="T43" s="36">
        <v>38823000</v>
      </c>
      <c r="U43" s="36">
        <v>32502000</v>
      </c>
      <c r="V43" s="36">
        <v>65494000</v>
      </c>
      <c r="W43" s="36">
        <v>58912000</v>
      </c>
      <c r="X43" s="36">
        <v>65000000</v>
      </c>
      <c r="Y43" s="36">
        <v>60200000</v>
      </c>
      <c r="Z43" s="36">
        <v>46800000</v>
      </c>
      <c r="AA43" s="36">
        <v>33900000</v>
      </c>
      <c r="AB43" s="36">
        <v>31200000</v>
      </c>
      <c r="AC43" s="36">
        <v>27900000</v>
      </c>
      <c r="AD43" s="36">
        <v>26600000</v>
      </c>
      <c r="AE43" s="36">
        <v>22500000</v>
      </c>
      <c r="AF43" s="36">
        <v>17900000</v>
      </c>
      <c r="AG43" s="36">
        <v>16100000</v>
      </c>
      <c r="AH43" s="36">
        <v>14300000</v>
      </c>
    </row>
    <row r="44" spans="1:36">
      <c r="A44" t="s">
        <v>181</v>
      </c>
      <c r="B44" s="36">
        <v>2629994000</v>
      </c>
      <c r="C44" s="36">
        <v>3059868000</v>
      </c>
      <c r="D44" s="36">
        <v>2266973000</v>
      </c>
      <c r="E44" s="36">
        <v>1757048000</v>
      </c>
      <c r="F44" s="36">
        <v>1755719000</v>
      </c>
      <c r="G44" s="36">
        <v>1669979000</v>
      </c>
      <c r="H44" s="36">
        <v>1739227000</v>
      </c>
      <c r="I44" s="36">
        <v>1743883000</v>
      </c>
      <c r="J44" s="36">
        <v>1716697000</v>
      </c>
      <c r="K44" s="36">
        <v>1730160000</v>
      </c>
      <c r="L44" s="36">
        <v>1712394000</v>
      </c>
      <c r="M44" s="36">
        <v>1776456000</v>
      </c>
      <c r="N44" s="36">
        <v>1886057000</v>
      </c>
      <c r="O44" s="36">
        <v>1964058000</v>
      </c>
      <c r="P44" s="36">
        <v>2010868000</v>
      </c>
      <c r="Q44" s="36">
        <v>1941048000</v>
      </c>
      <c r="R44" s="36">
        <v>459827000</v>
      </c>
      <c r="S44" s="36">
        <v>501208000</v>
      </c>
      <c r="T44" s="36">
        <v>398756000</v>
      </c>
      <c r="U44" s="36">
        <v>410599000</v>
      </c>
      <c r="V44" s="36">
        <v>405281000</v>
      </c>
      <c r="W44" s="36">
        <v>319530000</v>
      </c>
      <c r="X44" s="36">
        <v>272400000</v>
      </c>
      <c r="Y44" s="36">
        <v>212100000</v>
      </c>
      <c r="Z44" s="36">
        <v>200000000</v>
      </c>
      <c r="AA44" s="36">
        <v>94900000</v>
      </c>
      <c r="AB44" s="36">
        <v>85600000</v>
      </c>
      <c r="AC44" s="36">
        <v>75300000</v>
      </c>
      <c r="AD44" s="36">
        <v>86800000</v>
      </c>
      <c r="AE44" s="36">
        <v>100800000</v>
      </c>
      <c r="AF44" s="36">
        <v>65900000</v>
      </c>
      <c r="AG44" s="36">
        <v>69900000</v>
      </c>
      <c r="AH44" s="36">
        <v>71100000</v>
      </c>
      <c r="AI44" s="36">
        <v>78000000</v>
      </c>
      <c r="AJ44" s="36">
        <v>79700000</v>
      </c>
    </row>
    <row r="45" spans="1:36">
      <c r="A45" t="s">
        <v>182</v>
      </c>
      <c r="B45" s="36">
        <v>2532281000</v>
      </c>
      <c r="C45" s="36">
        <v>2964727000</v>
      </c>
      <c r="D45" s="36">
        <v>2156483000</v>
      </c>
      <c r="E45" s="36">
        <v>1657568000</v>
      </c>
      <c r="F45" s="36">
        <v>1660515000</v>
      </c>
      <c r="G45" s="36">
        <v>1534211000</v>
      </c>
      <c r="H45" s="36">
        <v>1556375000</v>
      </c>
      <c r="I45" s="36">
        <v>1558850000</v>
      </c>
      <c r="J45" s="36">
        <v>1520632000</v>
      </c>
      <c r="K45" s="36">
        <v>1532180000</v>
      </c>
      <c r="L45" s="36">
        <v>1540458000</v>
      </c>
      <c r="M45" s="36">
        <v>1579703000</v>
      </c>
      <c r="N45" s="36">
        <v>1610387000</v>
      </c>
      <c r="O45" s="36">
        <v>1706625000</v>
      </c>
      <c r="P45" s="36">
        <v>1735461000</v>
      </c>
      <c r="Q45" s="36">
        <v>1759713000</v>
      </c>
      <c r="R45" s="36">
        <v>450850000</v>
      </c>
      <c r="S45" s="36">
        <v>442084000</v>
      </c>
      <c r="T45" s="36">
        <v>348647000</v>
      </c>
      <c r="U45" s="36">
        <v>365150000</v>
      </c>
      <c r="V45" s="36">
        <v>373000000</v>
      </c>
      <c r="W45" s="36">
        <v>300000000</v>
      </c>
      <c r="X45" s="36">
        <v>261200000</v>
      </c>
      <c r="Y45" s="36">
        <v>200400000</v>
      </c>
      <c r="Z45" s="36">
        <v>189800000</v>
      </c>
      <c r="AA45" s="36">
        <v>87600000</v>
      </c>
      <c r="AB45" s="36">
        <v>80000000</v>
      </c>
      <c r="AC45" s="36">
        <v>71400000</v>
      </c>
      <c r="AD45" s="36">
        <v>86800000</v>
      </c>
      <c r="AE45" s="36">
        <v>89700000</v>
      </c>
      <c r="AF45" s="36">
        <v>65900000</v>
      </c>
      <c r="AG45" s="36">
        <v>69900000</v>
      </c>
      <c r="AH45" s="36">
        <v>71100000</v>
      </c>
      <c r="AI45" s="36">
        <v>77900000</v>
      </c>
      <c r="AJ45" s="36">
        <v>79600000</v>
      </c>
    </row>
    <row r="46" spans="1:36">
      <c r="A46" t="s">
        <v>183</v>
      </c>
      <c r="B46" s="36">
        <v>2518936000</v>
      </c>
      <c r="C46" s="36">
        <v>2954244000</v>
      </c>
      <c r="D46" s="36">
        <v>2145883000</v>
      </c>
      <c r="E46" s="36">
        <v>1657568000</v>
      </c>
      <c r="F46" s="36">
        <v>1660515000</v>
      </c>
      <c r="G46" s="36">
        <v>1534211000</v>
      </c>
      <c r="H46" s="36">
        <v>1556375000</v>
      </c>
      <c r="I46" s="36">
        <v>1558850000</v>
      </c>
      <c r="J46" s="36">
        <v>1520632000</v>
      </c>
      <c r="K46" s="36">
        <v>1532180000</v>
      </c>
      <c r="L46" s="36">
        <v>1540458000</v>
      </c>
      <c r="M46" s="36">
        <v>1579703000</v>
      </c>
      <c r="N46" s="36">
        <v>1610387000</v>
      </c>
      <c r="O46" s="36">
        <v>1706625000</v>
      </c>
      <c r="P46" s="36">
        <v>1735461000</v>
      </c>
      <c r="Q46" s="36">
        <v>1759713000</v>
      </c>
      <c r="R46" s="36">
        <v>450850000</v>
      </c>
      <c r="S46" s="36">
        <v>442084000</v>
      </c>
      <c r="T46" s="36">
        <v>348647000</v>
      </c>
      <c r="U46" s="36">
        <v>365150000</v>
      </c>
      <c r="V46" s="36">
        <v>373000000</v>
      </c>
      <c r="W46" s="36">
        <v>300000000</v>
      </c>
      <c r="X46" s="36">
        <v>261200000</v>
      </c>
      <c r="Y46" s="36">
        <v>200400000</v>
      </c>
      <c r="Z46" s="36">
        <v>189800000</v>
      </c>
      <c r="AA46" s="36">
        <v>87600000</v>
      </c>
      <c r="AB46" s="36">
        <v>80000000</v>
      </c>
      <c r="AC46" s="36">
        <v>71400000</v>
      </c>
      <c r="AD46" s="36">
        <v>86800000</v>
      </c>
      <c r="AE46" s="36">
        <v>89700000</v>
      </c>
      <c r="AF46" s="36">
        <v>65900000</v>
      </c>
      <c r="AG46" s="36">
        <v>69900000</v>
      </c>
      <c r="AH46" s="36">
        <v>71100000</v>
      </c>
      <c r="AI46" s="36">
        <v>77900000</v>
      </c>
      <c r="AJ46" s="36">
        <v>79600000</v>
      </c>
    </row>
    <row r="47" spans="1:36">
      <c r="A47" t="s">
        <v>184</v>
      </c>
      <c r="B47" s="36">
        <v>13345000</v>
      </c>
      <c r="C47" s="36">
        <v>10483000</v>
      </c>
      <c r="D47" s="36">
        <v>10600000</v>
      </c>
    </row>
    <row r="48" spans="1:36">
      <c r="A48" t="s">
        <v>185</v>
      </c>
      <c r="B48" s="36">
        <v>66483000</v>
      </c>
      <c r="C48" s="36">
        <v>39595000</v>
      </c>
      <c r="D48" s="36">
        <v>82046000</v>
      </c>
      <c r="E48" s="36">
        <v>81717000</v>
      </c>
      <c r="F48" s="36">
        <v>74798000</v>
      </c>
      <c r="G48" s="36">
        <v>104885000</v>
      </c>
      <c r="H48" s="36">
        <v>141951000</v>
      </c>
      <c r="I48" s="36">
        <v>152513000</v>
      </c>
      <c r="J48" s="36">
        <v>158113000</v>
      </c>
      <c r="K48" s="36">
        <v>156740000</v>
      </c>
      <c r="L48" s="36">
        <v>135446000</v>
      </c>
      <c r="M48" s="36">
        <v>131830000</v>
      </c>
      <c r="N48" s="36">
        <v>138124000</v>
      </c>
      <c r="O48" s="36">
        <v>124269000</v>
      </c>
      <c r="P48" s="36">
        <v>158304000</v>
      </c>
      <c r="Q48" s="36">
        <v>146801000</v>
      </c>
      <c r="AE48" s="36">
        <v>11000000</v>
      </c>
    </row>
    <row r="49" spans="1:36">
      <c r="A49" t="s">
        <v>186</v>
      </c>
      <c r="B49" s="36">
        <v>66483000</v>
      </c>
      <c r="C49" s="36">
        <v>39595000</v>
      </c>
      <c r="D49" s="36">
        <v>82046000</v>
      </c>
      <c r="E49" s="36">
        <v>81717000</v>
      </c>
      <c r="F49" s="36">
        <v>74798000</v>
      </c>
      <c r="G49" s="36">
        <v>104885000</v>
      </c>
      <c r="H49" s="36">
        <v>141951000</v>
      </c>
      <c r="I49" s="36">
        <v>152513000</v>
      </c>
      <c r="J49" s="36">
        <v>158113000</v>
      </c>
      <c r="K49" s="36">
        <v>156740000</v>
      </c>
      <c r="L49" s="36">
        <v>135446000</v>
      </c>
      <c r="M49" s="36">
        <v>131830000</v>
      </c>
      <c r="N49" s="36">
        <v>138124000</v>
      </c>
      <c r="O49" s="36">
        <v>124269000</v>
      </c>
      <c r="P49" s="36">
        <v>158304000</v>
      </c>
      <c r="Q49" s="36">
        <v>146801000</v>
      </c>
      <c r="AE49" s="36">
        <v>11000000</v>
      </c>
    </row>
    <row r="50" spans="1:36">
      <c r="A50" t="s">
        <v>285</v>
      </c>
      <c r="B50" s="36">
        <v>20086000</v>
      </c>
      <c r="C50" s="36">
        <v>39086000</v>
      </c>
      <c r="D50" s="36">
        <v>18108000</v>
      </c>
      <c r="E50" s="36">
        <v>6705000</v>
      </c>
      <c r="F50" s="36">
        <v>8722000</v>
      </c>
      <c r="G50" s="36">
        <v>17721000</v>
      </c>
      <c r="H50" s="36">
        <v>22918000</v>
      </c>
      <c r="I50" s="36">
        <v>14649000</v>
      </c>
      <c r="J50" s="36">
        <v>26662000</v>
      </c>
      <c r="K50" s="36">
        <v>32260000</v>
      </c>
      <c r="L50" s="36">
        <v>32400000</v>
      </c>
      <c r="M50" s="36">
        <v>54517000</v>
      </c>
      <c r="N50" s="36">
        <v>129662000</v>
      </c>
      <c r="O50" s="36">
        <v>128214000</v>
      </c>
    </row>
    <row r="51" spans="1:36">
      <c r="A51" t="s">
        <v>188</v>
      </c>
      <c r="B51" s="36">
        <v>11144000</v>
      </c>
      <c r="C51" s="36">
        <v>16460000</v>
      </c>
      <c r="D51" s="36">
        <v>10336000</v>
      </c>
      <c r="E51" s="36">
        <v>11058000</v>
      </c>
      <c r="F51" s="36">
        <v>11684000</v>
      </c>
      <c r="G51" s="36">
        <v>13162000</v>
      </c>
      <c r="H51" s="36">
        <v>17983000</v>
      </c>
      <c r="I51" s="36">
        <v>17871000</v>
      </c>
      <c r="J51" s="36">
        <v>11290000</v>
      </c>
      <c r="K51" s="36">
        <v>8980000</v>
      </c>
      <c r="L51" s="36">
        <v>4090000</v>
      </c>
      <c r="M51" s="36">
        <v>10406000</v>
      </c>
      <c r="N51" s="36">
        <v>7884000</v>
      </c>
      <c r="O51" s="36">
        <v>4950000</v>
      </c>
      <c r="P51" s="36">
        <v>117103000</v>
      </c>
      <c r="Q51" s="36">
        <v>34534000</v>
      </c>
      <c r="R51" s="36">
        <v>8977000</v>
      </c>
      <c r="S51" s="36">
        <v>59124000</v>
      </c>
      <c r="T51" s="36">
        <v>50109000</v>
      </c>
      <c r="U51" s="36">
        <v>45449000</v>
      </c>
      <c r="V51" s="36">
        <v>32281000</v>
      </c>
      <c r="W51" s="36">
        <v>19530000</v>
      </c>
      <c r="X51" s="36">
        <v>11200000</v>
      </c>
      <c r="Y51" s="36">
        <v>11700000</v>
      </c>
      <c r="Z51" s="36">
        <v>10200000</v>
      </c>
      <c r="AA51" s="36">
        <v>7300000</v>
      </c>
      <c r="AB51" s="36">
        <v>5600000</v>
      </c>
      <c r="AC51" s="36">
        <v>3900000</v>
      </c>
      <c r="AE51" s="36">
        <v>100000</v>
      </c>
      <c r="AI51" s="36">
        <v>100000</v>
      </c>
      <c r="AJ51" s="36">
        <v>100000</v>
      </c>
    </row>
    <row r="52" spans="1:36">
      <c r="A52" t="s">
        <v>189</v>
      </c>
      <c r="B52" s="36">
        <v>-698488000</v>
      </c>
      <c r="C52" s="36">
        <v>-666437000</v>
      </c>
      <c r="D52" s="36">
        <v>-9966000</v>
      </c>
      <c r="E52" s="36">
        <v>32416000</v>
      </c>
      <c r="F52" s="36">
        <v>82946000</v>
      </c>
      <c r="G52" s="36">
        <v>60519000</v>
      </c>
      <c r="H52" s="36">
        <v>57009000</v>
      </c>
      <c r="I52" s="36">
        <v>96217000</v>
      </c>
      <c r="J52" s="36">
        <v>139131000</v>
      </c>
      <c r="K52" s="36">
        <v>159260000</v>
      </c>
      <c r="L52" s="36">
        <v>158720000</v>
      </c>
      <c r="M52" s="36">
        <v>137136000</v>
      </c>
      <c r="N52" s="36">
        <v>127862000</v>
      </c>
      <c r="O52" s="36">
        <v>106786000</v>
      </c>
      <c r="P52" s="36">
        <v>285092000</v>
      </c>
      <c r="Q52" s="36">
        <v>410615000</v>
      </c>
      <c r="R52" s="36">
        <v>434234000</v>
      </c>
      <c r="S52" s="36">
        <v>370483000</v>
      </c>
      <c r="T52" s="36">
        <v>308891000</v>
      </c>
      <c r="U52" s="36">
        <v>305320000</v>
      </c>
      <c r="V52" s="36">
        <v>308250000</v>
      </c>
      <c r="W52" s="36">
        <v>330589000</v>
      </c>
      <c r="X52" s="36">
        <v>350000000</v>
      </c>
      <c r="Y52" s="36">
        <v>342000000</v>
      </c>
      <c r="Z52" s="36">
        <v>337200000</v>
      </c>
      <c r="AA52" s="36">
        <v>170000000</v>
      </c>
      <c r="AB52" s="36">
        <v>151500000</v>
      </c>
      <c r="AC52" s="36">
        <v>115100000</v>
      </c>
      <c r="AD52" s="36">
        <v>100000000</v>
      </c>
      <c r="AE52" s="36">
        <v>81300000</v>
      </c>
      <c r="AF52" s="36">
        <v>55100000</v>
      </c>
      <c r="AG52" s="36">
        <v>51800000</v>
      </c>
      <c r="AH52" s="36">
        <v>47400000</v>
      </c>
      <c r="AI52" s="36">
        <v>41000000</v>
      </c>
      <c r="AJ52" s="36">
        <v>41500000</v>
      </c>
    </row>
    <row r="53" spans="1:36">
      <c r="A53" t="s">
        <v>286</v>
      </c>
      <c r="B53" s="36">
        <v>-698488000</v>
      </c>
      <c r="C53" s="36">
        <v>-666437000</v>
      </c>
      <c r="D53" s="36">
        <v>-9966000</v>
      </c>
      <c r="E53" s="36">
        <v>32416000</v>
      </c>
      <c r="F53" s="36">
        <v>82946000</v>
      </c>
      <c r="G53" s="36">
        <v>60519000</v>
      </c>
      <c r="H53" s="36">
        <v>57009000</v>
      </c>
      <c r="I53" s="36">
        <v>96217000</v>
      </c>
      <c r="J53" s="36">
        <v>139131000</v>
      </c>
      <c r="K53" s="36">
        <v>159260000</v>
      </c>
      <c r="L53" s="36">
        <v>158720000</v>
      </c>
      <c r="M53" s="36">
        <v>137136000</v>
      </c>
      <c r="N53" s="36">
        <v>127862000</v>
      </c>
      <c r="O53" s="36">
        <v>106786000</v>
      </c>
    </row>
    <row r="54" spans="1:36">
      <c r="A54" t="s">
        <v>287</v>
      </c>
      <c r="B54" s="36">
        <v>-712714000</v>
      </c>
      <c r="C54" s="36">
        <v>-674319000</v>
      </c>
      <c r="D54" s="36">
        <v>-25001000</v>
      </c>
      <c r="E54" s="36">
        <v>5845000</v>
      </c>
      <c r="F54" s="36">
        <v>81589000</v>
      </c>
      <c r="G54" s="36">
        <v>52288000</v>
      </c>
      <c r="H54" s="36">
        <v>48428000</v>
      </c>
      <c r="I54" s="36">
        <v>101556000</v>
      </c>
      <c r="J54" s="36">
        <v>148847000</v>
      </c>
      <c r="K54" s="36">
        <v>182469000</v>
      </c>
      <c r="L54" s="36">
        <v>182438000</v>
      </c>
      <c r="M54" s="36">
        <v>165555000</v>
      </c>
      <c r="N54" s="36">
        <v>209854000</v>
      </c>
      <c r="O54" s="36">
        <v>242123000</v>
      </c>
    </row>
    <row r="55" spans="1:36">
      <c r="A55" t="s">
        <v>288</v>
      </c>
      <c r="B55" s="36">
        <v>5283000</v>
      </c>
      <c r="C55" s="36">
        <v>5283000</v>
      </c>
      <c r="D55" s="36">
        <v>5289000</v>
      </c>
      <c r="E55" s="36">
        <v>5289000</v>
      </c>
      <c r="F55" s="36">
        <v>5290000</v>
      </c>
      <c r="G55" s="36">
        <v>5290000</v>
      </c>
      <c r="H55" s="36">
        <v>5290000</v>
      </c>
      <c r="I55" s="36">
        <v>5291000</v>
      </c>
      <c r="J55" s="36">
        <v>5292000</v>
      </c>
      <c r="K55" s="36">
        <v>5291000</v>
      </c>
      <c r="L55" s="36">
        <v>5290000</v>
      </c>
      <c r="M55" s="36">
        <v>-28419000</v>
      </c>
      <c r="N55" s="36">
        <v>-1000</v>
      </c>
      <c r="O55" s="36">
        <v>5289000</v>
      </c>
    </row>
    <row r="56" spans="1:36">
      <c r="A56" t="s">
        <v>190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 s="36">
        <v>-105809000</v>
      </c>
      <c r="P56" s="36">
        <v>285092000</v>
      </c>
      <c r="Q56" s="36">
        <v>410615000</v>
      </c>
      <c r="R56" s="36">
        <v>434234000</v>
      </c>
      <c r="S56" s="36">
        <v>370483000</v>
      </c>
      <c r="T56" s="36">
        <v>308891000</v>
      </c>
      <c r="U56" s="36">
        <v>305320000</v>
      </c>
      <c r="V56" s="36">
        <v>308250000</v>
      </c>
      <c r="W56" s="36">
        <v>330589000</v>
      </c>
      <c r="X56" s="36">
        <v>350000000</v>
      </c>
      <c r="Y56" s="36">
        <v>342000000</v>
      </c>
      <c r="Z56" s="36">
        <v>285400000</v>
      </c>
      <c r="AA56" s="36">
        <v>170000000</v>
      </c>
      <c r="AB56" s="36">
        <v>151500000</v>
      </c>
      <c r="AC56" s="36">
        <v>115100000</v>
      </c>
      <c r="AD56" s="36">
        <v>100000000</v>
      </c>
      <c r="AE56" s="36">
        <v>81300000</v>
      </c>
      <c r="AF56" s="36">
        <v>55100000</v>
      </c>
      <c r="AG56" s="36">
        <v>51800000</v>
      </c>
      <c r="AH56" s="36">
        <v>47400000</v>
      </c>
      <c r="AI56" s="36">
        <v>41000000</v>
      </c>
      <c r="AJ56" s="36">
        <v>41500000</v>
      </c>
    </row>
    <row r="57" spans="1:36">
      <c r="A57" t="s">
        <v>191</v>
      </c>
      <c r="P57" s="36">
        <v>334740000</v>
      </c>
      <c r="Q57" s="36">
        <v>440516000</v>
      </c>
      <c r="R57" s="36">
        <v>428943000</v>
      </c>
      <c r="S57" s="36">
        <v>365193000</v>
      </c>
      <c r="T57" s="36">
        <v>303536000</v>
      </c>
      <c r="U57" s="36">
        <v>285675000</v>
      </c>
      <c r="V57" s="36">
        <v>297397000</v>
      </c>
      <c r="W57" s="36">
        <v>325189000</v>
      </c>
      <c r="X57" s="36">
        <v>344100000</v>
      </c>
    </row>
    <row r="58" spans="1:36">
      <c r="A58" t="s">
        <v>192</v>
      </c>
      <c r="P58" s="36">
        <v>334740000</v>
      </c>
      <c r="Q58" s="36">
        <v>440516000</v>
      </c>
      <c r="R58" s="36">
        <v>428943000</v>
      </c>
      <c r="S58" s="36">
        <v>365193000</v>
      </c>
      <c r="T58" s="36">
        <v>303536000</v>
      </c>
      <c r="U58" s="36">
        <v>285675000</v>
      </c>
      <c r="V58" s="36">
        <v>297397000</v>
      </c>
      <c r="W58" s="36">
        <v>325189000</v>
      </c>
      <c r="X58" s="36">
        <v>344100000</v>
      </c>
    </row>
    <row r="59" spans="1:36">
      <c r="A59" t="s">
        <v>194</v>
      </c>
      <c r="U59" s="36">
        <v>-590000</v>
      </c>
      <c r="V59" s="36">
        <v>-6183000</v>
      </c>
    </row>
    <row r="60" spans="1:36">
      <c r="A60" t="s">
        <v>195</v>
      </c>
      <c r="B60" s="36">
        <v>8943000</v>
      </c>
      <c r="C60" s="36">
        <v>2599000</v>
      </c>
      <c r="D60" s="36">
        <v>9746000</v>
      </c>
      <c r="E60" s="36">
        <v>21282000</v>
      </c>
      <c r="F60" s="36">
        <v>-3933000</v>
      </c>
      <c r="G60" s="36">
        <v>2941000</v>
      </c>
      <c r="H60" s="36">
        <v>3291000</v>
      </c>
      <c r="I60" s="36">
        <v>-10630000</v>
      </c>
      <c r="J60" s="36">
        <v>-15008000</v>
      </c>
      <c r="K60" s="36">
        <v>-28500000</v>
      </c>
      <c r="L60" s="36">
        <v>-29008000</v>
      </c>
      <c r="M60" s="36">
        <v>-33708000</v>
      </c>
      <c r="N60" s="36">
        <v>-87281000</v>
      </c>
      <c r="O60" s="36">
        <v>-140626000</v>
      </c>
      <c r="P60" s="36">
        <v>-49648000</v>
      </c>
      <c r="Q60" s="36">
        <v>-29901000</v>
      </c>
      <c r="R60" s="36">
        <v>5291000</v>
      </c>
      <c r="S60" s="36">
        <v>5290000</v>
      </c>
      <c r="T60" s="36">
        <v>5355000</v>
      </c>
      <c r="U60" s="36">
        <v>20235000</v>
      </c>
      <c r="V60" s="36">
        <v>17036000</v>
      </c>
      <c r="W60" s="36">
        <v>5400000</v>
      </c>
      <c r="X60" s="36">
        <v>5800000</v>
      </c>
    </row>
    <row r="61" spans="1:36">
      <c r="A61" t="s">
        <v>289</v>
      </c>
      <c r="M61" s="36">
        <v>33708000</v>
      </c>
      <c r="N61" s="36">
        <v>5290000</v>
      </c>
      <c r="X61" s="36">
        <v>100000</v>
      </c>
    </row>
    <row r="62" spans="1:36">
      <c r="A62" t="s">
        <v>196</v>
      </c>
      <c r="Z62" s="36">
        <v>51800000</v>
      </c>
    </row>
    <row r="63" spans="1:36">
      <c r="A63" t="s">
        <v>197</v>
      </c>
      <c r="B63" s="36">
        <v>1820448000</v>
      </c>
      <c r="C63" s="36">
        <v>2287807000</v>
      </c>
      <c r="D63" s="36">
        <v>2135917000</v>
      </c>
      <c r="E63" s="36">
        <v>1689984000</v>
      </c>
      <c r="F63" s="36">
        <v>1743461000</v>
      </c>
      <c r="G63" s="36">
        <v>1594730000</v>
      </c>
      <c r="H63" s="36">
        <v>1613384000</v>
      </c>
      <c r="I63" s="36">
        <v>1655067000</v>
      </c>
      <c r="J63" s="36">
        <v>1659763000</v>
      </c>
      <c r="K63" s="36">
        <v>1691440000</v>
      </c>
      <c r="L63" s="36">
        <v>1699178000</v>
      </c>
      <c r="M63" s="36">
        <v>1716839000</v>
      </c>
      <c r="N63" s="36">
        <v>1738249000</v>
      </c>
      <c r="O63" s="36">
        <v>1707602000</v>
      </c>
      <c r="P63" s="36">
        <v>2020553000</v>
      </c>
      <c r="Q63" s="36">
        <v>2170328000</v>
      </c>
      <c r="R63" s="36">
        <v>885084000</v>
      </c>
      <c r="S63" s="36">
        <v>812567000</v>
      </c>
      <c r="T63" s="36">
        <v>657538000</v>
      </c>
      <c r="U63" s="36">
        <v>670470000</v>
      </c>
      <c r="V63" s="36">
        <v>681250000</v>
      </c>
      <c r="W63" s="36">
        <v>630589000</v>
      </c>
      <c r="X63" s="36">
        <v>611200000</v>
      </c>
      <c r="Y63" s="36">
        <v>542400000</v>
      </c>
      <c r="Z63" s="36">
        <v>475200000</v>
      </c>
      <c r="AA63" s="36">
        <v>257600000</v>
      </c>
      <c r="AB63" s="36">
        <v>231500000</v>
      </c>
      <c r="AC63" s="36">
        <v>186500000</v>
      </c>
      <c r="AD63" s="36">
        <v>186800000</v>
      </c>
      <c r="AE63" s="36">
        <v>171000000</v>
      </c>
      <c r="AF63" s="36">
        <v>121000000</v>
      </c>
      <c r="AG63" s="36">
        <v>121700000</v>
      </c>
      <c r="AH63" s="36">
        <v>118500000</v>
      </c>
      <c r="AI63" s="36">
        <v>118900000</v>
      </c>
      <c r="AJ63" s="36">
        <v>121100000</v>
      </c>
    </row>
    <row r="64" spans="1:36">
      <c r="A64" t="s">
        <v>198</v>
      </c>
      <c r="B64" s="36">
        <v>-698488000</v>
      </c>
      <c r="C64" s="36">
        <v>-666437000</v>
      </c>
      <c r="D64" s="36">
        <v>-9966000</v>
      </c>
      <c r="E64" s="36">
        <v>32416000</v>
      </c>
      <c r="F64" s="36">
        <v>82946000</v>
      </c>
      <c r="G64" s="36">
        <v>60519000</v>
      </c>
      <c r="H64" s="36">
        <v>57009000</v>
      </c>
      <c r="I64" s="36">
        <v>96217000</v>
      </c>
      <c r="J64" s="36">
        <v>139131000</v>
      </c>
      <c r="K64" s="36">
        <v>159260000</v>
      </c>
      <c r="L64" s="36">
        <v>158720000</v>
      </c>
      <c r="M64" s="36">
        <v>137136000</v>
      </c>
      <c r="N64" s="36">
        <v>127862000</v>
      </c>
      <c r="O64" s="36">
        <v>106786000</v>
      </c>
      <c r="P64" s="36">
        <v>285092000</v>
      </c>
      <c r="Q64" s="36">
        <v>410615000</v>
      </c>
      <c r="R64" s="36">
        <v>434234000</v>
      </c>
      <c r="S64" s="36">
        <v>370483000</v>
      </c>
      <c r="T64" s="36">
        <v>308891000</v>
      </c>
      <c r="U64" s="36">
        <v>305320000</v>
      </c>
      <c r="V64" s="36">
        <v>308250000</v>
      </c>
      <c r="W64" s="36">
        <v>330589000</v>
      </c>
      <c r="X64" s="36">
        <v>350000000</v>
      </c>
      <c r="Y64" s="36">
        <v>342000000</v>
      </c>
      <c r="Z64" s="36">
        <v>285400000</v>
      </c>
      <c r="AA64" s="36">
        <v>170000000</v>
      </c>
      <c r="AB64" s="36">
        <v>151500000</v>
      </c>
      <c r="AC64" s="36">
        <v>115100000</v>
      </c>
      <c r="AD64" s="36">
        <v>100000000</v>
      </c>
      <c r="AE64" s="36">
        <v>81300000</v>
      </c>
      <c r="AF64" s="36">
        <v>55100000</v>
      </c>
      <c r="AG64" s="36">
        <v>51800000</v>
      </c>
      <c r="AH64" s="36">
        <v>47400000</v>
      </c>
      <c r="AI64" s="36">
        <v>41000000</v>
      </c>
      <c r="AJ64" s="36">
        <v>41500000</v>
      </c>
    </row>
    <row r="65" spans="1:36">
      <c r="A65" t="s">
        <v>199</v>
      </c>
      <c r="B65" s="36">
        <v>13345000</v>
      </c>
      <c r="C65" s="36">
        <v>10483000</v>
      </c>
      <c r="D65" s="36">
        <v>10600000</v>
      </c>
    </row>
    <row r="66" spans="1:36">
      <c r="A66" t="s">
        <v>200</v>
      </c>
      <c r="B66" s="36">
        <v>-317226000</v>
      </c>
      <c r="C66" s="36">
        <v>-317249000</v>
      </c>
      <c r="D66" s="36">
        <v>-419553000</v>
      </c>
      <c r="E66" s="36">
        <v>-215095000</v>
      </c>
      <c r="F66" s="36">
        <v>-221894000</v>
      </c>
      <c r="G66" s="36">
        <v>-217497000</v>
      </c>
      <c r="H66" s="36">
        <v>-246706000</v>
      </c>
      <c r="I66" s="36">
        <v>-266482000</v>
      </c>
      <c r="J66" s="36">
        <v>-277560000</v>
      </c>
      <c r="K66" s="36">
        <v>-286873000</v>
      </c>
      <c r="L66" s="36">
        <v>-283763000</v>
      </c>
      <c r="M66" s="36">
        <v>-286891000</v>
      </c>
      <c r="N66" s="36">
        <v>-282214000</v>
      </c>
      <c r="O66" s="36">
        <v>-382489000</v>
      </c>
      <c r="P66" s="36">
        <v>-106424000</v>
      </c>
      <c r="Q66" s="36">
        <v>31721000</v>
      </c>
      <c r="R66" s="36">
        <v>417306000</v>
      </c>
      <c r="S66" s="36">
        <v>357206000</v>
      </c>
      <c r="T66" s="36">
        <v>296366000</v>
      </c>
      <c r="U66" s="36">
        <v>293802000</v>
      </c>
      <c r="V66" s="36">
        <v>296805000</v>
      </c>
      <c r="W66" s="36">
        <v>320743000</v>
      </c>
      <c r="X66" s="36">
        <v>339900000</v>
      </c>
      <c r="Y66" s="36">
        <v>331700000</v>
      </c>
      <c r="Z66" s="36">
        <v>274900000</v>
      </c>
      <c r="AA66" s="36">
        <v>159300000</v>
      </c>
      <c r="AB66" s="36">
        <v>140400000</v>
      </c>
      <c r="AC66" s="36">
        <v>103600000</v>
      </c>
      <c r="AD66" s="36">
        <v>88100000</v>
      </c>
      <c r="AE66" s="36">
        <v>69000000</v>
      </c>
      <c r="AF66" s="36">
        <v>53600000</v>
      </c>
      <c r="AG66" s="36">
        <v>50400000</v>
      </c>
      <c r="AH66" s="36">
        <v>46000000</v>
      </c>
      <c r="AI66" s="36">
        <v>39400000</v>
      </c>
      <c r="AJ66" s="36">
        <v>39400000</v>
      </c>
    </row>
    <row r="67" spans="1:36">
      <c r="A67" t="s">
        <v>201</v>
      </c>
      <c r="B67" s="36">
        <v>-117873000</v>
      </c>
      <c r="C67" s="36">
        <v>254530000</v>
      </c>
      <c r="D67" s="36">
        <v>-29957000</v>
      </c>
      <c r="E67" s="36">
        <v>-34510000</v>
      </c>
      <c r="F67" s="36">
        <v>21489000</v>
      </c>
      <c r="G67" s="36">
        <v>-47007000</v>
      </c>
      <c r="H67" s="36">
        <v>-2457000</v>
      </c>
      <c r="I67" s="36">
        <v>5498000</v>
      </c>
      <c r="J67" s="36">
        <v>27698000</v>
      </c>
      <c r="K67" s="36">
        <v>2904000</v>
      </c>
      <c r="L67" s="36">
        <v>-104928000</v>
      </c>
      <c r="M67" s="36">
        <v>-98518000</v>
      </c>
      <c r="N67" s="36">
        <v>-70212000</v>
      </c>
      <c r="O67" s="36">
        <v>-50705000</v>
      </c>
      <c r="P67" s="36">
        <v>-59960000</v>
      </c>
      <c r="Q67" s="36">
        <v>-54750000</v>
      </c>
      <c r="R67" s="36">
        <v>-90123000</v>
      </c>
      <c r="S67" s="36">
        <v>-88557000</v>
      </c>
      <c r="T67" s="36">
        <v>-81917000</v>
      </c>
      <c r="U67" s="36">
        <v>-77101000</v>
      </c>
      <c r="V67" s="36">
        <v>-69832000</v>
      </c>
      <c r="W67" s="36">
        <v>-88646000</v>
      </c>
      <c r="X67" s="36">
        <v>-62400000</v>
      </c>
      <c r="Y67" s="36">
        <v>-56200000</v>
      </c>
      <c r="Z67" s="36">
        <v>-40400000</v>
      </c>
      <c r="AA67" s="36">
        <v>-27500000</v>
      </c>
      <c r="AB67" s="36">
        <v>-27800000</v>
      </c>
      <c r="AC67" s="36">
        <v>-25400000</v>
      </c>
      <c r="AD67" s="36">
        <v>-24700000</v>
      </c>
      <c r="AE67" s="36">
        <v>-20100000</v>
      </c>
      <c r="AF67" s="36">
        <v>-15200000</v>
      </c>
      <c r="AG67" s="36">
        <v>-14400000</v>
      </c>
      <c r="AH67" s="36">
        <v>-11900000</v>
      </c>
      <c r="AI67" s="36">
        <v>-10900000</v>
      </c>
      <c r="AJ67" s="36">
        <v>-9700000</v>
      </c>
    </row>
    <row r="68" spans="1:36">
      <c r="A68" t="s">
        <v>202</v>
      </c>
      <c r="B68" s="36">
        <v>1820448000</v>
      </c>
      <c r="C68" s="36">
        <v>2287807000</v>
      </c>
      <c r="D68" s="36">
        <v>2143417000</v>
      </c>
      <c r="E68" s="36">
        <v>1695609000</v>
      </c>
      <c r="F68" s="36">
        <v>1743461000</v>
      </c>
      <c r="G68" s="36">
        <v>1597505000</v>
      </c>
      <c r="H68" s="36">
        <v>1615859000</v>
      </c>
      <c r="I68" s="36">
        <v>1655067000</v>
      </c>
      <c r="J68" s="36">
        <v>1659763000</v>
      </c>
      <c r="K68" s="36">
        <v>1691440000</v>
      </c>
      <c r="L68" s="36">
        <v>1715099000</v>
      </c>
      <c r="M68" s="36">
        <v>1716839000</v>
      </c>
      <c r="N68" s="36">
        <v>1754208000</v>
      </c>
      <c r="O68" s="36">
        <v>1830861000</v>
      </c>
      <c r="P68" s="36">
        <v>2038003000</v>
      </c>
      <c r="Q68" s="36">
        <v>2187778000</v>
      </c>
      <c r="R68" s="36">
        <v>905084000</v>
      </c>
      <c r="S68" s="36">
        <v>832567000</v>
      </c>
      <c r="T68" s="36">
        <v>677538000</v>
      </c>
      <c r="U68" s="36">
        <v>680470000</v>
      </c>
      <c r="V68" s="36">
        <v>691250000</v>
      </c>
      <c r="W68" s="36">
        <v>669139000</v>
      </c>
      <c r="X68" s="36">
        <v>611200000</v>
      </c>
      <c r="Y68" s="36">
        <v>542400000</v>
      </c>
      <c r="Z68" s="36">
        <v>475200000</v>
      </c>
      <c r="AA68" s="36">
        <v>257600000</v>
      </c>
      <c r="AB68" s="36">
        <v>231500000</v>
      </c>
      <c r="AC68" s="36">
        <v>186500000</v>
      </c>
      <c r="AD68" s="36">
        <v>186800000</v>
      </c>
      <c r="AE68" s="36">
        <v>171000000</v>
      </c>
      <c r="AF68" s="36">
        <v>121000000</v>
      </c>
      <c r="AG68" s="36">
        <v>121700000</v>
      </c>
      <c r="AH68" s="36">
        <v>118500000</v>
      </c>
      <c r="AI68" s="36">
        <v>118900000</v>
      </c>
      <c r="AJ68" s="36">
        <v>121100000</v>
      </c>
    </row>
    <row r="69" spans="1:36">
      <c r="A69" t="s">
        <v>203</v>
      </c>
      <c r="B69" s="36">
        <v>-1015714000</v>
      </c>
      <c r="C69" s="36">
        <v>-983686000</v>
      </c>
      <c r="D69" s="36">
        <v>-429519000</v>
      </c>
      <c r="E69" s="36">
        <v>-182679000</v>
      </c>
      <c r="F69" s="36">
        <v>-138948000</v>
      </c>
      <c r="G69" s="36">
        <v>-156978000</v>
      </c>
      <c r="H69" s="36">
        <v>-189697000</v>
      </c>
      <c r="I69" s="36">
        <v>-170265000</v>
      </c>
      <c r="J69" s="36">
        <v>-138429000</v>
      </c>
      <c r="K69" s="36">
        <v>-127613000</v>
      </c>
      <c r="L69" s="36">
        <v>-125043000</v>
      </c>
      <c r="M69" s="36">
        <v>-149755000</v>
      </c>
      <c r="N69" s="36">
        <v>-154352000</v>
      </c>
      <c r="O69" s="36">
        <v>-169894000</v>
      </c>
      <c r="P69" s="36">
        <v>-106424000</v>
      </c>
      <c r="Q69" s="36">
        <v>31721000</v>
      </c>
      <c r="R69" s="36">
        <v>417306000</v>
      </c>
      <c r="S69" s="36">
        <v>357206000</v>
      </c>
      <c r="T69" s="36">
        <v>296366000</v>
      </c>
      <c r="U69" s="36">
        <v>293802000</v>
      </c>
      <c r="V69" s="36">
        <v>296805000</v>
      </c>
      <c r="W69" s="36">
        <v>320743000</v>
      </c>
      <c r="X69" s="36">
        <v>339900000</v>
      </c>
      <c r="Y69" s="36">
        <v>331700000</v>
      </c>
      <c r="Z69" s="36">
        <v>274900000</v>
      </c>
      <c r="AA69" s="36">
        <v>159300000</v>
      </c>
      <c r="AB69" s="36">
        <v>140400000</v>
      </c>
      <c r="AC69" s="36">
        <v>103600000</v>
      </c>
      <c r="AD69" s="36">
        <v>88100000</v>
      </c>
      <c r="AE69" s="36">
        <v>69000000</v>
      </c>
      <c r="AF69" s="36">
        <v>53600000</v>
      </c>
      <c r="AG69" s="36">
        <v>50400000</v>
      </c>
      <c r="AH69" s="36">
        <v>46000000</v>
      </c>
      <c r="AI69" s="36">
        <v>39400000</v>
      </c>
      <c r="AJ69" s="36">
        <v>39400000</v>
      </c>
    </row>
    <row r="70" spans="1:36">
      <c r="A70" t="s">
        <v>204</v>
      </c>
      <c r="B70" s="36">
        <v>2532281000</v>
      </c>
      <c r="C70" s="36">
        <v>2964727000</v>
      </c>
      <c r="D70" s="36">
        <v>2163983000</v>
      </c>
      <c r="E70" s="36">
        <v>1663193000</v>
      </c>
      <c r="F70" s="36">
        <v>1660515000</v>
      </c>
      <c r="G70" s="36">
        <v>1536986000</v>
      </c>
      <c r="H70" s="36">
        <v>1558850000</v>
      </c>
      <c r="I70" s="36">
        <v>1558850000</v>
      </c>
      <c r="J70" s="36">
        <v>1520632000</v>
      </c>
      <c r="K70" s="36">
        <v>1532180000</v>
      </c>
      <c r="L70" s="36">
        <v>1556379000</v>
      </c>
      <c r="M70" s="36">
        <v>1579703000</v>
      </c>
      <c r="N70" s="36">
        <v>1626346000</v>
      </c>
      <c r="O70" s="36">
        <v>1724075000</v>
      </c>
      <c r="P70" s="36">
        <v>1752911000</v>
      </c>
      <c r="Q70" s="36">
        <v>1777163000</v>
      </c>
      <c r="R70" s="36">
        <v>470850000</v>
      </c>
      <c r="S70" s="36">
        <v>462084000</v>
      </c>
      <c r="T70" s="36">
        <v>368647000</v>
      </c>
      <c r="U70" s="36">
        <v>375150000</v>
      </c>
      <c r="V70" s="36">
        <v>383000000</v>
      </c>
      <c r="W70" s="36">
        <v>338550000</v>
      </c>
      <c r="X70" s="36">
        <v>261200000</v>
      </c>
      <c r="Y70" s="36">
        <v>200400000</v>
      </c>
      <c r="Z70" s="36">
        <v>189800000</v>
      </c>
      <c r="AA70" s="36">
        <v>87600000</v>
      </c>
      <c r="AB70" s="36">
        <v>80000000</v>
      </c>
      <c r="AC70" s="36">
        <v>71400000</v>
      </c>
      <c r="AD70" s="36">
        <v>86800000</v>
      </c>
      <c r="AE70" s="36">
        <v>89700000</v>
      </c>
      <c r="AF70" s="36">
        <v>65900000</v>
      </c>
      <c r="AG70" s="36">
        <v>69900000</v>
      </c>
      <c r="AH70" s="36">
        <v>71100000</v>
      </c>
      <c r="AI70" s="36">
        <v>77900000</v>
      </c>
      <c r="AJ70" s="36">
        <v>79600000</v>
      </c>
    </row>
    <row r="71" spans="1:36">
      <c r="A71" t="s">
        <v>205</v>
      </c>
      <c r="B71" s="36">
        <v>2457817000</v>
      </c>
      <c r="C71" s="36">
        <v>2577508000</v>
      </c>
      <c r="D71" s="36">
        <v>1971131000</v>
      </c>
      <c r="E71" s="36">
        <v>1557844000</v>
      </c>
      <c r="F71" s="36">
        <v>1494270000</v>
      </c>
      <c r="G71" s="36">
        <v>1414270000</v>
      </c>
      <c r="H71" s="36">
        <v>1439293000</v>
      </c>
      <c r="I71" s="36">
        <v>1427010000</v>
      </c>
      <c r="J71" s="36">
        <v>1402576000</v>
      </c>
      <c r="K71" s="36">
        <v>1453350000</v>
      </c>
      <c r="L71" s="36">
        <v>1520855000</v>
      </c>
      <c r="M71" s="36">
        <v>1569938000</v>
      </c>
      <c r="N71" s="36">
        <v>1614418000</v>
      </c>
      <c r="O71" s="36">
        <v>1710202000</v>
      </c>
      <c r="P71" s="36">
        <v>1747410000</v>
      </c>
      <c r="Q71" s="36">
        <v>1746960000</v>
      </c>
      <c r="R71" s="36">
        <v>466429000</v>
      </c>
      <c r="S71" s="36">
        <v>458731000</v>
      </c>
      <c r="T71" s="36">
        <v>366453000</v>
      </c>
      <c r="U71" s="36">
        <v>372979000</v>
      </c>
      <c r="V71" s="36">
        <v>380720000</v>
      </c>
      <c r="W71" s="36">
        <v>336158000</v>
      </c>
      <c r="X71" s="36">
        <v>260600000</v>
      </c>
      <c r="Y71" s="36">
        <v>199300000</v>
      </c>
      <c r="Z71" s="36">
        <v>187300000</v>
      </c>
      <c r="AA71" s="36">
        <v>86300000</v>
      </c>
      <c r="AB71" s="36">
        <v>79900000</v>
      </c>
      <c r="AC71" s="36">
        <v>71000000</v>
      </c>
      <c r="AD71" s="36">
        <v>86600000</v>
      </c>
      <c r="AE71" s="36">
        <v>89600000</v>
      </c>
      <c r="AF71" s="36">
        <v>65700000</v>
      </c>
      <c r="AG71" s="36">
        <v>69800000</v>
      </c>
      <c r="AH71" s="36">
        <v>70600000</v>
      </c>
      <c r="AI71" s="36">
        <v>77700000</v>
      </c>
      <c r="AJ71" s="36">
        <v>79200000</v>
      </c>
    </row>
    <row r="72" spans="1:36">
      <c r="A72" t="s">
        <v>206</v>
      </c>
      <c r="B72" s="36">
        <v>56854000</v>
      </c>
      <c r="C72" s="36">
        <v>56706000</v>
      </c>
      <c r="D72" s="36">
        <v>56666000</v>
      </c>
      <c r="E72" s="36">
        <v>56564000</v>
      </c>
      <c r="F72" s="36">
        <v>56358792</v>
      </c>
      <c r="G72" s="36">
        <v>56200555</v>
      </c>
      <c r="H72" s="36">
        <v>56018000</v>
      </c>
      <c r="I72" s="36">
        <v>55828000</v>
      </c>
      <c r="J72" s="36">
        <v>55716000</v>
      </c>
      <c r="K72" s="36">
        <v>55618000</v>
      </c>
      <c r="L72" s="36">
        <v>55346000</v>
      </c>
      <c r="M72" s="36">
        <v>55334000</v>
      </c>
      <c r="N72" s="36">
        <v>55234000</v>
      </c>
      <c r="O72" s="36">
        <v>55129378</v>
      </c>
      <c r="P72" s="36">
        <v>54248000</v>
      </c>
      <c r="Q72" s="36">
        <v>54092000</v>
      </c>
      <c r="R72" s="36">
        <v>53797000</v>
      </c>
      <c r="S72" s="36">
        <v>53480000</v>
      </c>
      <c r="T72" s="36">
        <v>50673000</v>
      </c>
      <c r="U72" s="36">
        <v>50549000</v>
      </c>
      <c r="V72" s="36">
        <v>50514000</v>
      </c>
      <c r="W72" s="36">
        <v>50813000</v>
      </c>
      <c r="X72" s="36">
        <v>51798000</v>
      </c>
      <c r="Y72" s="36">
        <v>51980000</v>
      </c>
      <c r="Z72" s="36">
        <v>52403000</v>
      </c>
      <c r="AA72" s="36">
        <v>45920000</v>
      </c>
      <c r="AB72" s="36">
        <v>45920000</v>
      </c>
      <c r="AC72" s="36">
        <v>44480000</v>
      </c>
      <c r="AD72" s="36">
        <v>44480000</v>
      </c>
      <c r="AE72" s="36">
        <v>44480000</v>
      </c>
      <c r="AF72" s="36">
        <v>42324000</v>
      </c>
      <c r="AG72" s="36">
        <v>42324000</v>
      </c>
      <c r="AH72" s="36">
        <v>42324000</v>
      </c>
      <c r="AI72" s="36">
        <v>42324000</v>
      </c>
      <c r="AJ72" s="36">
        <v>42324000</v>
      </c>
    </row>
    <row r="73" spans="1:36">
      <c r="A73" t="s">
        <v>207</v>
      </c>
      <c r="B73" s="36">
        <v>56854000</v>
      </c>
      <c r="C73" s="36">
        <v>56706000</v>
      </c>
      <c r="D73" s="36">
        <v>56666000</v>
      </c>
      <c r="E73" s="36">
        <v>56564000</v>
      </c>
      <c r="F73" s="36">
        <v>56358792</v>
      </c>
      <c r="G73" s="36">
        <v>56200555</v>
      </c>
      <c r="H73" s="36">
        <v>56018000</v>
      </c>
      <c r="I73" s="36">
        <v>55828000</v>
      </c>
      <c r="J73" s="36">
        <v>55716000</v>
      </c>
      <c r="K73" s="36">
        <v>55618000</v>
      </c>
      <c r="L73" s="36">
        <v>55346000</v>
      </c>
      <c r="M73" s="36">
        <v>55334000</v>
      </c>
      <c r="N73" s="36">
        <v>55234000</v>
      </c>
      <c r="O73" s="36">
        <v>55129378</v>
      </c>
      <c r="P73" s="36">
        <v>54248000</v>
      </c>
      <c r="Q73" s="36">
        <v>54092000</v>
      </c>
      <c r="R73" s="36">
        <v>53797000</v>
      </c>
      <c r="S73" s="36">
        <v>53480000</v>
      </c>
      <c r="T73" s="36">
        <v>50673000</v>
      </c>
      <c r="U73" s="36">
        <v>50549000</v>
      </c>
      <c r="V73" s="36">
        <v>50514000</v>
      </c>
      <c r="W73" s="36">
        <v>50813000</v>
      </c>
      <c r="X73" s="36">
        <v>51798000</v>
      </c>
      <c r="Y73" s="36">
        <v>51980000</v>
      </c>
      <c r="Z73" s="36">
        <v>52403000</v>
      </c>
      <c r="AA73" s="36">
        <v>45920000</v>
      </c>
      <c r="AB73" s="36">
        <v>45920000</v>
      </c>
      <c r="AC73" s="36">
        <v>44480000</v>
      </c>
      <c r="AD73" s="36">
        <v>44480000</v>
      </c>
      <c r="AE73" s="36">
        <v>44480000</v>
      </c>
      <c r="AF73" s="36">
        <v>42324000</v>
      </c>
      <c r="AG73" s="36">
        <v>42324000</v>
      </c>
      <c r="AH73" s="36">
        <v>42324000</v>
      </c>
      <c r="AI73" s="36">
        <v>42324000</v>
      </c>
      <c r="AJ73" s="36">
        <v>42324000</v>
      </c>
    </row>
    <row r="74" spans="1:36">
      <c r="B74" s="36"/>
    </row>
    <row r="75" spans="1:36">
      <c r="B75" s="36"/>
    </row>
    <row r="76" spans="1:36">
      <c r="B76" s="3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71511-9D76-4F9E-861A-C90CD6C9E8DE}">
  <sheetPr>
    <tabColor rgb="FF00B050"/>
  </sheetPr>
  <dimension ref="A1:AH72"/>
  <sheetViews>
    <sheetView workbookViewId="0">
      <selection activeCell="C79" sqref="C79"/>
    </sheetView>
  </sheetViews>
  <sheetFormatPr defaultRowHeight="14.5"/>
  <cols>
    <col min="1" max="1" width="45.08984375" bestFit="1" customWidth="1"/>
    <col min="2" max="2" width="11.36328125" bestFit="1" customWidth="1"/>
    <col min="3" max="3" width="12.1796875" bestFit="1" customWidth="1"/>
    <col min="4" max="5" width="11.36328125" bestFit="1" customWidth="1"/>
    <col min="6" max="6" width="12.90625" bestFit="1" customWidth="1"/>
    <col min="7" max="9" width="11.36328125" bestFit="1" customWidth="1"/>
    <col min="10" max="10" width="12.90625" bestFit="1" customWidth="1"/>
    <col min="11" max="12" width="11.36328125" bestFit="1" customWidth="1"/>
    <col min="13" max="13" width="12.90625" bestFit="1" customWidth="1"/>
    <col min="14" max="16" width="11.36328125" bestFit="1" customWidth="1"/>
    <col min="17" max="17" width="12.90625" bestFit="1" customWidth="1"/>
    <col min="18" max="18" width="10.7265625" bestFit="1" customWidth="1"/>
    <col min="19" max="19" width="11.36328125" bestFit="1" customWidth="1"/>
    <col min="20" max="23" width="10.7265625" bestFit="1" customWidth="1"/>
    <col min="24" max="24" width="11.36328125" bestFit="1" customWidth="1"/>
    <col min="25" max="25" width="10.7265625" bestFit="1" customWidth="1"/>
    <col min="26" max="26" width="11.36328125" bestFit="1" customWidth="1"/>
    <col min="27" max="34" width="10.453125" bestFit="1" customWidth="1"/>
  </cols>
  <sheetData>
    <row r="1" spans="1:34">
      <c r="A1" t="s">
        <v>95</v>
      </c>
      <c r="B1" s="42">
        <v>44561</v>
      </c>
      <c r="C1" s="42">
        <v>44196</v>
      </c>
      <c r="D1" s="42">
        <v>43830</v>
      </c>
      <c r="E1" s="42">
        <v>43465</v>
      </c>
      <c r="F1" s="42">
        <v>43100</v>
      </c>
      <c r="G1" s="42">
        <v>42735</v>
      </c>
      <c r="H1" s="42">
        <v>42369</v>
      </c>
      <c r="I1" s="42">
        <v>42004</v>
      </c>
      <c r="J1" s="42">
        <v>41639</v>
      </c>
      <c r="K1" s="42">
        <v>41274</v>
      </c>
      <c r="L1" s="42">
        <v>40908</v>
      </c>
      <c r="M1" s="42">
        <v>40543</v>
      </c>
      <c r="N1" s="42">
        <v>40178</v>
      </c>
      <c r="O1" s="42">
        <v>39813</v>
      </c>
      <c r="P1" s="42">
        <v>39447</v>
      </c>
      <c r="Q1" s="42">
        <v>39082</v>
      </c>
      <c r="R1" s="42">
        <v>38717</v>
      </c>
      <c r="S1" s="42">
        <v>38352</v>
      </c>
      <c r="T1" s="42">
        <v>37986</v>
      </c>
      <c r="U1" s="42">
        <v>37621</v>
      </c>
      <c r="V1" s="42">
        <v>37256</v>
      </c>
      <c r="W1" s="42">
        <v>36891</v>
      </c>
      <c r="X1" s="42">
        <v>36525</v>
      </c>
      <c r="Y1" s="42">
        <v>36160</v>
      </c>
      <c r="Z1" s="42">
        <v>35795</v>
      </c>
      <c r="AA1" s="42">
        <v>35430</v>
      </c>
      <c r="AB1" s="42">
        <v>35064</v>
      </c>
      <c r="AC1" s="42">
        <v>34699</v>
      </c>
      <c r="AD1" s="42">
        <v>34334</v>
      </c>
      <c r="AE1" s="42">
        <v>33969</v>
      </c>
      <c r="AF1" s="42">
        <v>33603</v>
      </c>
      <c r="AG1" s="42">
        <v>33238</v>
      </c>
      <c r="AH1" s="42">
        <v>32873</v>
      </c>
    </row>
    <row r="2" spans="1:34">
      <c r="A2" t="s">
        <v>208</v>
      </c>
      <c r="B2" s="36">
        <v>201226000</v>
      </c>
      <c r="C2" s="36">
        <v>-416537000</v>
      </c>
      <c r="D2" s="36">
        <v>403041000</v>
      </c>
      <c r="E2" s="36">
        <v>350740000</v>
      </c>
      <c r="F2" s="36">
        <v>331179000</v>
      </c>
      <c r="G2" s="36">
        <v>357427000</v>
      </c>
      <c r="H2" s="36">
        <v>342217000</v>
      </c>
      <c r="I2" s="36">
        <v>337103000</v>
      </c>
      <c r="J2" s="36">
        <v>324457000</v>
      </c>
      <c r="K2" s="36">
        <v>285933000</v>
      </c>
      <c r="L2" s="36">
        <v>218177000</v>
      </c>
      <c r="M2" s="36">
        <v>182115000</v>
      </c>
      <c r="N2" s="36">
        <v>185197000</v>
      </c>
      <c r="O2" s="36">
        <v>215588000</v>
      </c>
      <c r="P2" s="36">
        <v>181711000</v>
      </c>
      <c r="Q2" s="36">
        <v>166424000</v>
      </c>
      <c r="R2" s="36">
        <v>160548000</v>
      </c>
      <c r="S2" s="36">
        <v>148161000</v>
      </c>
      <c r="T2" s="36">
        <v>134918000</v>
      </c>
      <c r="U2" s="36">
        <v>146468000</v>
      </c>
      <c r="V2" s="36">
        <v>124968000</v>
      </c>
      <c r="W2" s="36">
        <v>114117000</v>
      </c>
      <c r="X2" s="36">
        <v>124000000</v>
      </c>
      <c r="Y2" s="36">
        <v>128900000</v>
      </c>
      <c r="Z2" s="36">
        <v>96500000</v>
      </c>
      <c r="AA2" s="36">
        <v>94200000</v>
      </c>
      <c r="AB2" s="36">
        <v>84600000</v>
      </c>
      <c r="AC2" s="36">
        <v>81100000</v>
      </c>
      <c r="AD2" s="36">
        <v>69200000</v>
      </c>
      <c r="AE2" s="36">
        <v>56000000</v>
      </c>
      <c r="AF2" s="36">
        <v>46300000</v>
      </c>
      <c r="AG2" s="36">
        <v>43700000</v>
      </c>
      <c r="AH2" s="36">
        <v>41000000</v>
      </c>
    </row>
    <row r="3" spans="1:34">
      <c r="A3" t="s">
        <v>209</v>
      </c>
      <c r="B3" s="36">
        <v>201226000</v>
      </c>
      <c r="C3" s="36">
        <v>-416537000</v>
      </c>
      <c r="D3" s="36">
        <v>403041000</v>
      </c>
      <c r="E3" s="36">
        <v>350740000</v>
      </c>
      <c r="F3" s="36">
        <v>331179000</v>
      </c>
      <c r="G3" s="36">
        <v>357427000</v>
      </c>
      <c r="H3" s="36">
        <v>342217000</v>
      </c>
      <c r="I3" s="36">
        <v>337103000</v>
      </c>
      <c r="J3" s="36">
        <v>324457000</v>
      </c>
      <c r="K3" s="36">
        <v>285933000</v>
      </c>
      <c r="L3" s="36">
        <v>218177000</v>
      </c>
      <c r="M3" s="36">
        <v>182115000</v>
      </c>
      <c r="N3" s="36">
        <v>185197000</v>
      </c>
      <c r="O3" s="36">
        <v>215588000</v>
      </c>
      <c r="P3" s="36">
        <v>181711000</v>
      </c>
      <c r="Q3" s="36">
        <v>166424000</v>
      </c>
      <c r="R3" s="36">
        <v>160548000</v>
      </c>
      <c r="S3" s="36">
        <v>148161000</v>
      </c>
      <c r="T3" s="36">
        <v>134918000</v>
      </c>
      <c r="U3" s="36">
        <v>146468000</v>
      </c>
      <c r="V3" s="36">
        <v>124968000</v>
      </c>
      <c r="W3" s="36">
        <v>114117000</v>
      </c>
      <c r="X3" s="36">
        <v>124000000</v>
      </c>
      <c r="Y3" s="36">
        <v>128900000</v>
      </c>
      <c r="Z3" s="36">
        <v>96500000</v>
      </c>
      <c r="AA3" s="36">
        <v>94200000</v>
      </c>
      <c r="AB3" s="36">
        <v>84600000</v>
      </c>
      <c r="AC3" s="36">
        <v>81100000</v>
      </c>
      <c r="AD3" s="36">
        <v>69200000</v>
      </c>
      <c r="AE3" s="36">
        <v>56000000</v>
      </c>
      <c r="AF3" s="36">
        <v>46300000</v>
      </c>
      <c r="AG3" s="36">
        <v>43700000</v>
      </c>
      <c r="AH3" s="36">
        <v>41000000</v>
      </c>
    </row>
    <row r="4" spans="1:34">
      <c r="A4" t="s">
        <v>210</v>
      </c>
      <c r="B4" s="36">
        <v>-48518000</v>
      </c>
      <c r="C4" s="36">
        <v>-590243000</v>
      </c>
      <c r="D4" s="36">
        <v>172365000</v>
      </c>
      <c r="E4" s="36">
        <v>126653000</v>
      </c>
      <c r="F4" s="36">
        <v>215476000</v>
      </c>
      <c r="G4" s="36">
        <v>177688000</v>
      </c>
      <c r="H4" s="36">
        <v>112222000</v>
      </c>
      <c r="I4" s="36">
        <v>104215000</v>
      </c>
      <c r="J4" s="36">
        <v>108204000</v>
      </c>
      <c r="K4" s="36">
        <v>101216000</v>
      </c>
      <c r="L4" s="36">
        <v>72158000</v>
      </c>
      <c r="M4" s="36">
        <v>-31567000</v>
      </c>
      <c r="N4" s="36">
        <v>35429000</v>
      </c>
      <c r="O4" s="36">
        <v>5706000</v>
      </c>
      <c r="P4" s="36">
        <v>-4491000</v>
      </c>
      <c r="Q4" s="36">
        <v>87477000</v>
      </c>
      <c r="R4" s="36">
        <v>160852000</v>
      </c>
      <c r="S4" s="36">
        <v>78315000</v>
      </c>
      <c r="T4" s="36">
        <v>85888000</v>
      </c>
      <c r="U4" s="36">
        <v>71417000</v>
      </c>
      <c r="V4" s="36">
        <v>57894000</v>
      </c>
      <c r="W4" s="36">
        <v>77806000</v>
      </c>
      <c r="X4" s="36">
        <v>85800000</v>
      </c>
      <c r="Y4" s="36">
        <v>83400000</v>
      </c>
      <c r="Z4" s="36">
        <v>68500000</v>
      </c>
      <c r="AA4" s="36">
        <v>74200000</v>
      </c>
      <c r="AB4" s="36">
        <v>66100000</v>
      </c>
      <c r="AC4" s="36">
        <v>62800000</v>
      </c>
      <c r="AD4" s="36">
        <v>61900000</v>
      </c>
      <c r="AE4" s="36">
        <v>42900000</v>
      </c>
      <c r="AF4" s="36">
        <v>36000000</v>
      </c>
      <c r="AG4" s="36">
        <v>33200000</v>
      </c>
      <c r="AH4" s="36">
        <v>31600000</v>
      </c>
    </row>
    <row r="5" spans="1:34">
      <c r="A5" t="s">
        <v>211</v>
      </c>
      <c r="B5" s="36">
        <v>-7105000</v>
      </c>
      <c r="C5" s="36">
        <v>-7082000</v>
      </c>
      <c r="D5" s="36">
        <v>-22307000</v>
      </c>
      <c r="E5" s="36">
        <v>38797000</v>
      </c>
      <c r="F5" s="36">
        <v>-7791000</v>
      </c>
      <c r="G5" s="36">
        <v>-14771000</v>
      </c>
      <c r="H5" s="36">
        <v>81608000</v>
      </c>
      <c r="I5" s="36">
        <v>65366000</v>
      </c>
      <c r="J5" s="36">
        <v>60499000</v>
      </c>
      <c r="K5" s="36">
        <v>-16875000</v>
      </c>
      <c r="L5" s="36">
        <v>8753000</v>
      </c>
      <c r="M5" s="36">
        <v>35289000</v>
      </c>
      <c r="R5" s="36">
        <v>1189000</v>
      </c>
      <c r="S5" s="36">
        <v>66000</v>
      </c>
      <c r="T5" s="36">
        <v>3138000</v>
      </c>
      <c r="U5" s="36">
        <v>14878000</v>
      </c>
      <c r="V5" s="36">
        <v>11661000</v>
      </c>
      <c r="AH5" s="36">
        <v>-100000</v>
      </c>
    </row>
    <row r="6" spans="1:34">
      <c r="A6" t="s">
        <v>212</v>
      </c>
      <c r="B6" s="36">
        <v>5986000</v>
      </c>
      <c r="C6" s="36">
        <v>-9344000</v>
      </c>
      <c r="D6" s="36">
        <v>-22307000</v>
      </c>
      <c r="E6" s="36">
        <v>37724000</v>
      </c>
      <c r="F6" s="36">
        <v>-30912000</v>
      </c>
      <c r="G6" s="36">
        <v>-14771000</v>
      </c>
      <c r="H6" s="36">
        <v>81608000</v>
      </c>
      <c r="I6" s="36">
        <v>39088000</v>
      </c>
      <c r="J6" s="36">
        <v>27786000</v>
      </c>
      <c r="K6" s="36">
        <v>-8758000</v>
      </c>
      <c r="L6" s="36">
        <v>8753000</v>
      </c>
    </row>
    <row r="7" spans="1:34">
      <c r="A7" t="s">
        <v>213</v>
      </c>
      <c r="B7" s="36">
        <v>-19000000</v>
      </c>
      <c r="I7" s="36">
        <v>-2062000</v>
      </c>
      <c r="J7" s="36">
        <v>6883000</v>
      </c>
      <c r="K7" s="36">
        <v>-1492000</v>
      </c>
    </row>
    <row r="8" spans="1:34">
      <c r="A8" t="s">
        <v>214</v>
      </c>
      <c r="B8" s="36">
        <v>148803000</v>
      </c>
      <c r="C8" s="36">
        <v>157549000</v>
      </c>
      <c r="D8" s="36">
        <v>170456000</v>
      </c>
      <c r="E8" s="36">
        <v>155529000</v>
      </c>
      <c r="F8" s="36">
        <v>153222000</v>
      </c>
      <c r="G8" s="36">
        <v>131876000</v>
      </c>
      <c r="H8" s="36">
        <v>125631000</v>
      </c>
      <c r="I8" s="36">
        <v>124286000</v>
      </c>
      <c r="J8" s="36">
        <v>122487000</v>
      </c>
      <c r="K8" s="36">
        <v>127339000</v>
      </c>
      <c r="L8" s="36">
        <v>123805000</v>
      </c>
      <c r="M8" s="36">
        <v>126796000</v>
      </c>
      <c r="N8" s="36">
        <v>132745000</v>
      </c>
      <c r="O8" s="36">
        <v>125838000</v>
      </c>
      <c r="P8" s="36">
        <v>130623000</v>
      </c>
      <c r="Q8" s="36">
        <v>90703000</v>
      </c>
      <c r="R8" s="36">
        <v>55765000</v>
      </c>
      <c r="S8" s="36">
        <v>50690000</v>
      </c>
      <c r="T8" s="36">
        <v>44693000</v>
      </c>
      <c r="U8" s="36">
        <v>41682000</v>
      </c>
      <c r="V8" s="36">
        <v>42486000</v>
      </c>
      <c r="W8" s="36">
        <v>39572000</v>
      </c>
      <c r="X8" s="36">
        <v>35100000</v>
      </c>
      <c r="Y8" s="36">
        <v>32100000</v>
      </c>
      <c r="Z8" s="36">
        <v>21500000</v>
      </c>
      <c r="AA8" s="36">
        <v>19100000</v>
      </c>
      <c r="AB8" s="36">
        <v>16700000</v>
      </c>
      <c r="AC8" s="36">
        <v>15000000</v>
      </c>
      <c r="AD8" s="36">
        <v>14500000</v>
      </c>
      <c r="AE8" s="36">
        <v>12400000</v>
      </c>
      <c r="AF8" s="36">
        <v>10300000</v>
      </c>
      <c r="AG8" s="36">
        <v>9700000</v>
      </c>
      <c r="AH8" s="36">
        <v>9200000</v>
      </c>
    </row>
    <row r="9" spans="1:34">
      <c r="A9" t="s">
        <v>215</v>
      </c>
      <c r="B9" s="36">
        <v>148803000</v>
      </c>
      <c r="C9" s="36">
        <v>157549000</v>
      </c>
      <c r="D9" s="36">
        <v>170456000</v>
      </c>
      <c r="E9" s="36">
        <v>155529000</v>
      </c>
      <c r="F9" s="36">
        <v>153222000</v>
      </c>
      <c r="G9" s="36">
        <v>131876000</v>
      </c>
      <c r="H9" s="36">
        <v>125631000</v>
      </c>
      <c r="I9" s="36">
        <v>124286000</v>
      </c>
      <c r="J9" s="36">
        <v>122487000</v>
      </c>
      <c r="K9" s="36">
        <v>127339000</v>
      </c>
      <c r="L9" s="36">
        <v>123805000</v>
      </c>
      <c r="M9" s="36">
        <v>126796000</v>
      </c>
      <c r="N9" s="36">
        <v>132745000</v>
      </c>
      <c r="O9" s="36">
        <v>125838000</v>
      </c>
      <c r="P9" s="36">
        <v>130623000</v>
      </c>
      <c r="Q9" s="36">
        <v>90703000</v>
      </c>
      <c r="R9" s="36">
        <v>55765000</v>
      </c>
      <c r="S9" s="36">
        <v>50690000</v>
      </c>
      <c r="T9" s="36">
        <v>44693000</v>
      </c>
      <c r="U9" s="36">
        <v>41682000</v>
      </c>
      <c r="V9" s="36">
        <v>42486000</v>
      </c>
      <c r="W9" s="36">
        <v>39572000</v>
      </c>
      <c r="X9" s="36">
        <v>35100000</v>
      </c>
      <c r="Y9" s="36">
        <v>32100000</v>
      </c>
      <c r="Z9" s="36">
        <v>21500000</v>
      </c>
      <c r="AA9" s="36">
        <v>19100000</v>
      </c>
      <c r="AB9" s="36">
        <v>16700000</v>
      </c>
      <c r="AC9" s="36">
        <v>15000000</v>
      </c>
      <c r="AD9" s="36">
        <v>14500000</v>
      </c>
      <c r="AE9" s="36">
        <v>12400000</v>
      </c>
      <c r="AF9" s="36">
        <v>10300000</v>
      </c>
      <c r="AG9" s="36">
        <v>9700000</v>
      </c>
      <c r="AH9" s="36">
        <v>9200000</v>
      </c>
    </row>
    <row r="10" spans="1:34">
      <c r="A10" t="s">
        <v>216</v>
      </c>
      <c r="B10" s="36">
        <v>26888000</v>
      </c>
      <c r="C10" s="36">
        <v>-41933000</v>
      </c>
      <c r="D10" s="36">
        <v>-4106000</v>
      </c>
      <c r="E10" s="36">
        <v>11259000</v>
      </c>
      <c r="F10" s="36">
        <v>-35770000</v>
      </c>
      <c r="G10" s="36">
        <v>10662000</v>
      </c>
      <c r="I10" s="36">
        <v>-2961000</v>
      </c>
      <c r="J10" s="36">
        <v>3348000</v>
      </c>
      <c r="K10" s="36">
        <v>27110000</v>
      </c>
      <c r="L10" s="36">
        <v>4637000</v>
      </c>
      <c r="M10" s="36">
        <v>-14140000</v>
      </c>
      <c r="N10" s="36">
        <v>-5684000</v>
      </c>
      <c r="O10" s="36">
        <v>-17827000</v>
      </c>
      <c r="P10" s="36">
        <v>19141000</v>
      </c>
      <c r="Q10" s="36">
        <v>12573000</v>
      </c>
      <c r="R10" s="36">
        <v>-3071000</v>
      </c>
      <c r="AD10" s="36">
        <v>-11000000</v>
      </c>
    </row>
    <row r="11" spans="1:34">
      <c r="A11" t="s">
        <v>217</v>
      </c>
      <c r="B11" s="36">
        <v>26888000</v>
      </c>
      <c r="C11" s="36">
        <v>-41933000</v>
      </c>
      <c r="D11" s="36">
        <v>-4106000</v>
      </c>
      <c r="E11" s="36">
        <v>11259000</v>
      </c>
      <c r="F11" s="36">
        <v>-35770000</v>
      </c>
      <c r="G11" s="36">
        <v>10662000</v>
      </c>
      <c r="I11" s="36">
        <v>-2961000</v>
      </c>
      <c r="J11" s="36">
        <v>3348000</v>
      </c>
      <c r="K11" s="36">
        <v>27110000</v>
      </c>
      <c r="L11" s="36">
        <v>4637000</v>
      </c>
      <c r="M11" s="36">
        <v>-14140000</v>
      </c>
      <c r="N11" s="36">
        <v>-5684000</v>
      </c>
      <c r="O11" s="36">
        <v>-17827000</v>
      </c>
      <c r="P11" s="36">
        <v>19141000</v>
      </c>
      <c r="Q11" s="36">
        <v>12573000</v>
      </c>
      <c r="R11" s="36">
        <v>-3071000</v>
      </c>
      <c r="AD11" s="36">
        <v>-11000000</v>
      </c>
    </row>
    <row r="12" spans="1:34">
      <c r="A12" t="s">
        <v>290</v>
      </c>
      <c r="L12" s="36">
        <v>10000000</v>
      </c>
      <c r="M12" s="36">
        <v>5671000</v>
      </c>
      <c r="N12" s="36">
        <v>7773000</v>
      </c>
    </row>
    <row r="13" spans="1:34">
      <c r="A13" t="s">
        <v>218</v>
      </c>
      <c r="B13">
        <v>0</v>
      </c>
      <c r="C13" s="36">
        <v>103999000</v>
      </c>
      <c r="I13" s="36">
        <v>9757000</v>
      </c>
      <c r="J13" s="36">
        <v>2539000</v>
      </c>
      <c r="K13" s="36">
        <v>30336000</v>
      </c>
      <c r="L13" s="36">
        <v>2565000</v>
      </c>
      <c r="M13" s="36">
        <v>65045000</v>
      </c>
      <c r="N13" s="36">
        <v>4744000</v>
      </c>
      <c r="O13" s="36">
        <v>95413000</v>
      </c>
    </row>
    <row r="14" spans="1:34">
      <c r="A14" t="s">
        <v>219</v>
      </c>
      <c r="B14" s="36">
        <v>15431000</v>
      </c>
      <c r="C14" s="36">
        <v>-209000</v>
      </c>
      <c r="D14" s="36">
        <v>11910000</v>
      </c>
      <c r="E14" s="36">
        <v>11243000</v>
      </c>
      <c r="F14" s="36">
        <v>13434000</v>
      </c>
      <c r="G14" s="36">
        <v>10958000</v>
      </c>
      <c r="I14" s="36">
        <v>9668000</v>
      </c>
      <c r="J14" s="36">
        <v>6391000</v>
      </c>
      <c r="K14" s="36">
        <v>4476000</v>
      </c>
      <c r="L14" s="36">
        <v>-239000</v>
      </c>
      <c r="M14" s="36">
        <v>-89000</v>
      </c>
      <c r="N14" s="36">
        <v>-26000</v>
      </c>
    </row>
    <row r="15" spans="1:34">
      <c r="A15" t="s">
        <v>291</v>
      </c>
      <c r="I15" s="36">
        <v>-140000</v>
      </c>
      <c r="J15" s="36">
        <v>-855000</v>
      </c>
      <c r="K15" s="36">
        <v>-1208000</v>
      </c>
      <c r="M15">
        <v>0</v>
      </c>
      <c r="N15">
        <v>0</v>
      </c>
      <c r="O15" s="36">
        <v>-1729000</v>
      </c>
    </row>
    <row r="16" spans="1:34">
      <c r="A16" t="s">
        <v>220</v>
      </c>
      <c r="B16" s="36">
        <v>21005000</v>
      </c>
      <c r="C16" s="36">
        <v>30396000</v>
      </c>
      <c r="D16" s="36">
        <v>24460000</v>
      </c>
      <c r="E16" s="36">
        <v>16146000</v>
      </c>
      <c r="F16" s="36">
        <v>13516000</v>
      </c>
      <c r="G16" s="36">
        <v>13300000</v>
      </c>
      <c r="H16" s="36">
        <v>6530000</v>
      </c>
      <c r="I16" s="36">
        <v>4602000</v>
      </c>
      <c r="J16" s="36">
        <v>6130000</v>
      </c>
      <c r="K16" s="36">
        <v>10417000</v>
      </c>
      <c r="L16" s="36">
        <v>-13119000</v>
      </c>
      <c r="M16" s="36">
        <v>-1163000</v>
      </c>
      <c r="N16" s="36">
        <v>-14185000</v>
      </c>
      <c r="O16" s="36">
        <v>8215000</v>
      </c>
      <c r="P16" s="36">
        <v>66738000</v>
      </c>
      <c r="Q16" s="36">
        <v>7312000</v>
      </c>
      <c r="Y16" s="36">
        <v>-100000</v>
      </c>
      <c r="Z16" s="36">
        <v>-100000</v>
      </c>
      <c r="AA16" s="36">
        <v>-100000</v>
      </c>
      <c r="AB16" s="36">
        <v>100000</v>
      </c>
      <c r="AE16" s="36">
        <v>100000</v>
      </c>
    </row>
    <row r="17" spans="1:34">
      <c r="A17" t="s">
        <v>221</v>
      </c>
      <c r="B17" s="36">
        <v>44722000</v>
      </c>
      <c r="C17" s="36">
        <v>-69014000</v>
      </c>
      <c r="D17" s="36">
        <v>50263000</v>
      </c>
      <c r="E17" s="36">
        <v>-8887000</v>
      </c>
      <c r="F17" s="36">
        <v>-20908000</v>
      </c>
      <c r="G17" s="36">
        <v>27714000</v>
      </c>
      <c r="H17" s="36">
        <v>16226000</v>
      </c>
      <c r="I17" s="36">
        <v>22310000</v>
      </c>
      <c r="J17" s="36">
        <v>15714000</v>
      </c>
      <c r="K17" s="36">
        <v>3122000</v>
      </c>
      <c r="L17" s="36">
        <v>9617000</v>
      </c>
      <c r="M17" s="36">
        <v>-3727000</v>
      </c>
      <c r="N17" s="36">
        <v>24401000</v>
      </c>
      <c r="O17" s="36">
        <v>-28000</v>
      </c>
      <c r="P17" s="36">
        <v>-30300000</v>
      </c>
      <c r="Q17" s="36">
        <v>-31641000</v>
      </c>
      <c r="R17" s="36">
        <v>-54187000</v>
      </c>
      <c r="S17" s="36">
        <v>19090000</v>
      </c>
      <c r="T17" s="36">
        <v>1199000</v>
      </c>
      <c r="U17" s="36">
        <v>18491000</v>
      </c>
      <c r="V17" s="36">
        <v>12927000</v>
      </c>
      <c r="W17" s="36">
        <v>-3261000</v>
      </c>
      <c r="X17" s="36">
        <v>3100000</v>
      </c>
      <c r="Y17" s="36">
        <v>13500000</v>
      </c>
      <c r="Z17" s="36">
        <v>6600000</v>
      </c>
      <c r="AA17" s="36">
        <v>1000000</v>
      </c>
      <c r="AB17" s="36">
        <v>1700000</v>
      </c>
      <c r="AC17" s="36">
        <v>3300000</v>
      </c>
      <c r="AD17" s="36">
        <v>3800000</v>
      </c>
      <c r="AE17" s="36">
        <v>600000</v>
      </c>
      <c r="AF17">
        <v>0</v>
      </c>
      <c r="AG17" s="36">
        <v>800000</v>
      </c>
      <c r="AH17" s="36">
        <v>300000</v>
      </c>
    </row>
    <row r="18" spans="1:34">
      <c r="A18" t="s">
        <v>222</v>
      </c>
      <c r="B18" s="36">
        <v>-44253000</v>
      </c>
      <c r="C18" s="36">
        <v>-68759000</v>
      </c>
      <c r="D18" s="36">
        <v>-8166000</v>
      </c>
      <c r="E18" s="36">
        <v>-13975000</v>
      </c>
      <c r="F18" s="36">
        <v>-2195000</v>
      </c>
      <c r="G18" s="36">
        <v>-5887000</v>
      </c>
      <c r="H18" s="36">
        <v>-2276000</v>
      </c>
      <c r="I18" s="36">
        <v>-6235000</v>
      </c>
      <c r="J18" s="36">
        <v>-6257000</v>
      </c>
    </row>
    <row r="19" spans="1:34">
      <c r="A19" t="s">
        <v>292</v>
      </c>
      <c r="B19" s="36">
        <v>-27651000</v>
      </c>
      <c r="C19" s="36">
        <v>28729000</v>
      </c>
    </row>
    <row r="20" spans="1:34">
      <c r="A20" t="s">
        <v>223</v>
      </c>
      <c r="B20" s="36">
        <v>15384000</v>
      </c>
      <c r="C20" s="36">
        <v>-14499000</v>
      </c>
      <c r="D20" s="36">
        <v>-211000</v>
      </c>
      <c r="E20" s="36">
        <v>-1203000</v>
      </c>
      <c r="F20" s="36">
        <v>-3332000</v>
      </c>
      <c r="G20" s="36">
        <v>-1208000</v>
      </c>
      <c r="H20" s="36">
        <v>607000</v>
      </c>
      <c r="I20" s="36">
        <v>46000</v>
      </c>
      <c r="J20" s="36">
        <v>1535000</v>
      </c>
      <c r="R20" s="36">
        <v>-46000</v>
      </c>
      <c r="S20" s="36">
        <v>-1679000</v>
      </c>
      <c r="T20" s="36">
        <v>-1010000</v>
      </c>
      <c r="U20" s="36">
        <v>221000</v>
      </c>
      <c r="V20" s="36">
        <v>-274000</v>
      </c>
      <c r="W20" s="36">
        <v>-1407000</v>
      </c>
      <c r="X20" s="36">
        <v>-1700000</v>
      </c>
      <c r="Y20" s="36">
        <v>100000</v>
      </c>
      <c r="Z20" s="36">
        <v>-200000</v>
      </c>
      <c r="AB20" s="36">
        <v>700000</v>
      </c>
      <c r="AC20" s="36">
        <v>100000</v>
      </c>
      <c r="AD20" s="36">
        <v>400000</v>
      </c>
    </row>
    <row r="21" spans="1:34">
      <c r="A21" t="s">
        <v>224</v>
      </c>
      <c r="B21" s="36">
        <v>61654000</v>
      </c>
      <c r="C21" s="36">
        <v>-2291000</v>
      </c>
      <c r="D21" s="36">
        <v>31528000</v>
      </c>
      <c r="E21" s="36">
        <v>-13169000</v>
      </c>
      <c r="F21" s="36">
        <v>-23498000</v>
      </c>
      <c r="G21" s="36">
        <v>22298000</v>
      </c>
      <c r="H21" s="36">
        <v>17570000</v>
      </c>
      <c r="I21" s="36">
        <v>-4353000</v>
      </c>
      <c r="J21" s="36">
        <v>15018000</v>
      </c>
      <c r="K21" s="36">
        <v>2053000</v>
      </c>
      <c r="L21" s="36">
        <v>-309000</v>
      </c>
      <c r="M21" s="36">
        <v>-1590000</v>
      </c>
      <c r="N21" s="36">
        <v>-1286000</v>
      </c>
      <c r="O21" s="36">
        <v>-1376000</v>
      </c>
      <c r="P21" s="36">
        <v>-1109000</v>
      </c>
      <c r="Q21" s="36">
        <v>-26582000</v>
      </c>
      <c r="R21" s="36">
        <v>5786000</v>
      </c>
      <c r="S21" s="36">
        <v>13000</v>
      </c>
      <c r="T21" s="36">
        <v>-7288000</v>
      </c>
      <c r="U21" s="36">
        <v>6839000</v>
      </c>
      <c r="V21" s="36">
        <v>4146000</v>
      </c>
      <c r="W21" s="36">
        <v>-5001000</v>
      </c>
      <c r="X21" s="36">
        <v>4400000</v>
      </c>
      <c r="Y21" s="36">
        <v>1400000</v>
      </c>
      <c r="Z21" s="36">
        <v>2500000</v>
      </c>
      <c r="AA21" s="36">
        <v>-1500000</v>
      </c>
      <c r="AB21" s="36">
        <v>-2200000</v>
      </c>
      <c r="AC21" s="36">
        <v>700000</v>
      </c>
      <c r="AD21" s="36">
        <v>100000</v>
      </c>
    </row>
    <row r="22" spans="1:34">
      <c r="A22" t="s">
        <v>225</v>
      </c>
      <c r="B22" s="36">
        <v>34515000</v>
      </c>
      <c r="C22" s="36">
        <v>-9917000</v>
      </c>
      <c r="D22" s="36">
        <v>7440000</v>
      </c>
      <c r="E22" s="36">
        <v>-13293000</v>
      </c>
      <c r="F22" s="36">
        <v>-13492000</v>
      </c>
      <c r="G22" s="36">
        <v>16481000</v>
      </c>
      <c r="H22" s="36">
        <v>24208000</v>
      </c>
      <c r="I22" s="36">
        <v>3203000</v>
      </c>
      <c r="J22" s="36">
        <v>1864000</v>
      </c>
      <c r="K22" s="36">
        <v>2053000</v>
      </c>
      <c r="L22" s="36">
        <v>-309000</v>
      </c>
      <c r="M22" s="36">
        <v>652000</v>
      </c>
      <c r="N22" s="36">
        <v>-2635000</v>
      </c>
      <c r="O22" s="36">
        <v>-1376000</v>
      </c>
    </row>
    <row r="23" spans="1:34">
      <c r="A23" t="s">
        <v>293</v>
      </c>
      <c r="D23" s="36">
        <v>8547000</v>
      </c>
      <c r="E23" s="36">
        <v>-13842000</v>
      </c>
      <c r="F23" s="36">
        <v>-15398000</v>
      </c>
      <c r="G23" s="36">
        <v>16888000</v>
      </c>
      <c r="H23" s="36">
        <v>20965000</v>
      </c>
      <c r="I23" s="36">
        <v>2319000</v>
      </c>
      <c r="J23" s="36">
        <v>1690000</v>
      </c>
      <c r="K23" s="36">
        <v>1883000</v>
      </c>
      <c r="L23" s="36">
        <v>835000</v>
      </c>
      <c r="O23" s="36">
        <v>3725000</v>
      </c>
    </row>
    <row r="24" spans="1:34">
      <c r="A24" t="s">
        <v>294</v>
      </c>
      <c r="D24" s="36">
        <v>8547000</v>
      </c>
      <c r="E24" s="36">
        <v>-13842000</v>
      </c>
      <c r="F24" s="36">
        <v>-15398000</v>
      </c>
      <c r="G24" s="36">
        <v>16888000</v>
      </c>
      <c r="H24" s="36">
        <v>20965000</v>
      </c>
      <c r="I24" s="36">
        <v>2319000</v>
      </c>
      <c r="J24" s="36">
        <v>1690000</v>
      </c>
      <c r="K24" s="36">
        <v>1883000</v>
      </c>
      <c r="L24" s="36">
        <v>835000</v>
      </c>
      <c r="O24" s="36">
        <v>3725000</v>
      </c>
    </row>
    <row r="25" spans="1:34">
      <c r="A25" t="s">
        <v>226</v>
      </c>
      <c r="B25" s="36">
        <v>34515000</v>
      </c>
      <c r="C25" s="36">
        <v>-9917000</v>
      </c>
      <c r="D25" s="36">
        <v>-1107000</v>
      </c>
      <c r="E25" s="36">
        <v>549000</v>
      </c>
      <c r="F25" s="36">
        <v>1906000</v>
      </c>
      <c r="G25" s="36">
        <v>-407000</v>
      </c>
      <c r="H25" s="36">
        <v>3243000</v>
      </c>
      <c r="I25" s="36">
        <v>884000</v>
      </c>
      <c r="J25" s="36">
        <v>174000</v>
      </c>
      <c r="K25" s="36">
        <v>170000</v>
      </c>
      <c r="L25" s="36">
        <v>-1144000</v>
      </c>
      <c r="M25" s="36">
        <v>652000</v>
      </c>
      <c r="N25" s="36">
        <v>-2635000</v>
      </c>
      <c r="O25" s="36">
        <v>-5101000</v>
      </c>
    </row>
    <row r="26" spans="1:34">
      <c r="A26" t="s">
        <v>295</v>
      </c>
      <c r="B26" s="36">
        <v>27139000</v>
      </c>
      <c r="C26" s="36">
        <v>7626000</v>
      </c>
      <c r="D26" s="36">
        <v>24088000</v>
      </c>
      <c r="E26" s="36">
        <v>124000</v>
      </c>
      <c r="F26" s="36">
        <v>-10006000</v>
      </c>
      <c r="G26" s="36">
        <v>5817000</v>
      </c>
      <c r="H26" s="36">
        <v>-6638000</v>
      </c>
      <c r="I26" s="36">
        <v>-7556000</v>
      </c>
      <c r="J26" s="36">
        <v>13154000</v>
      </c>
      <c r="M26" s="36">
        <v>-2242000</v>
      </c>
      <c r="N26" s="36">
        <v>1349000</v>
      </c>
    </row>
    <row r="27" spans="1:34">
      <c r="A27" t="s">
        <v>296</v>
      </c>
      <c r="B27" s="36">
        <v>-1711000</v>
      </c>
      <c r="C27" s="36">
        <v>12235000</v>
      </c>
      <c r="D27" s="36">
        <v>13414000</v>
      </c>
      <c r="E27" s="36">
        <v>-25000</v>
      </c>
      <c r="F27" s="36">
        <v>-2002000</v>
      </c>
      <c r="G27" s="36">
        <v>13000</v>
      </c>
      <c r="H27" s="36">
        <v>359000</v>
      </c>
      <c r="I27" s="36">
        <v>-12554000</v>
      </c>
      <c r="J27" s="36">
        <v>8714000</v>
      </c>
    </row>
    <row r="28" spans="1:34">
      <c r="A28" t="s">
        <v>227</v>
      </c>
      <c r="B28" s="36">
        <v>1928000</v>
      </c>
      <c r="C28" s="36">
        <v>-12180000</v>
      </c>
      <c r="D28" s="36">
        <v>-5221000</v>
      </c>
      <c r="E28" s="36">
        <v>148000</v>
      </c>
      <c r="F28" s="36">
        <v>-40000</v>
      </c>
      <c r="G28" s="36">
        <v>-53000</v>
      </c>
      <c r="H28" s="36">
        <v>-875000</v>
      </c>
      <c r="I28" s="36">
        <v>3021000</v>
      </c>
      <c r="J28" s="36">
        <v>-2054000</v>
      </c>
      <c r="K28" s="36">
        <v>-4159000</v>
      </c>
      <c r="L28" s="36">
        <v>1686000</v>
      </c>
      <c r="M28" s="36">
        <v>-11855000</v>
      </c>
      <c r="N28" s="36">
        <v>551000</v>
      </c>
      <c r="O28" s="36">
        <v>1674000</v>
      </c>
      <c r="P28" s="36">
        <v>8068000</v>
      </c>
      <c r="Q28" s="36">
        <v>34467000</v>
      </c>
      <c r="R28" s="36">
        <v>-9380000</v>
      </c>
      <c r="S28" s="36">
        <v>153000</v>
      </c>
      <c r="T28" s="36">
        <v>-57000</v>
      </c>
      <c r="U28" s="36">
        <v>-1960000</v>
      </c>
      <c r="V28" s="36">
        <v>-2760000</v>
      </c>
      <c r="W28" s="36">
        <v>1894000</v>
      </c>
      <c r="X28" s="36">
        <v>-1800000</v>
      </c>
      <c r="Y28" s="36">
        <v>100000</v>
      </c>
      <c r="Z28" s="36">
        <v>600000</v>
      </c>
      <c r="AA28" s="36">
        <v>-400000</v>
      </c>
      <c r="AB28" s="36">
        <v>300000</v>
      </c>
      <c r="AC28" s="36">
        <v>-1300000</v>
      </c>
      <c r="AD28" s="36">
        <v>100000</v>
      </c>
      <c r="AE28" s="36">
        <v>1400000</v>
      </c>
      <c r="AF28" s="36">
        <v>-700000</v>
      </c>
      <c r="AG28" s="36">
        <v>-600000</v>
      </c>
      <c r="AH28" s="36">
        <v>200000</v>
      </c>
    </row>
    <row r="29" spans="1:34">
      <c r="A29" t="s">
        <v>228</v>
      </c>
      <c r="B29" s="36">
        <v>6387000</v>
      </c>
      <c r="C29" s="36">
        <v>-2445000</v>
      </c>
      <c r="D29" s="36">
        <v>-4587000</v>
      </c>
      <c r="E29" s="36">
        <v>-2252000</v>
      </c>
      <c r="F29" s="36">
        <v>5193000</v>
      </c>
      <c r="G29" s="36">
        <v>-535000</v>
      </c>
      <c r="H29" s="36">
        <v>-7949000</v>
      </c>
      <c r="I29" s="36">
        <v>12866000</v>
      </c>
      <c r="J29" s="36">
        <v>1981000</v>
      </c>
      <c r="K29" s="36">
        <v>6573000</v>
      </c>
      <c r="M29" s="36">
        <v>9712000</v>
      </c>
      <c r="N29" s="36">
        <v>21285000</v>
      </c>
      <c r="O29" s="36">
        <v>1927000</v>
      </c>
      <c r="P29" s="36">
        <v>-25785000</v>
      </c>
      <c r="Q29" s="36">
        <v>-36177000</v>
      </c>
      <c r="R29" s="36">
        <v>-50547000</v>
      </c>
      <c r="S29" s="36">
        <v>20603000</v>
      </c>
      <c r="T29" s="36">
        <v>9554000</v>
      </c>
      <c r="U29" s="36">
        <v>13391000</v>
      </c>
      <c r="V29" s="36">
        <v>11815000</v>
      </c>
      <c r="W29" s="36">
        <v>1253000</v>
      </c>
      <c r="X29" s="36">
        <v>2200000</v>
      </c>
      <c r="Y29" s="36">
        <v>11900000</v>
      </c>
      <c r="Z29" s="36">
        <v>3700000</v>
      </c>
      <c r="AA29" s="36">
        <v>2900000</v>
      </c>
      <c r="AB29" s="36">
        <v>2900000</v>
      </c>
      <c r="AC29" s="36">
        <v>3800000</v>
      </c>
      <c r="AD29" s="36">
        <v>3200000</v>
      </c>
      <c r="AE29" s="36">
        <v>-800000</v>
      </c>
      <c r="AF29" s="36">
        <v>700000</v>
      </c>
      <c r="AG29" s="36">
        <v>1400000</v>
      </c>
      <c r="AH29" s="36">
        <v>100000</v>
      </c>
    </row>
    <row r="30" spans="1:34">
      <c r="A30" t="s">
        <v>229</v>
      </c>
      <c r="B30" s="36">
        <v>3622000</v>
      </c>
      <c r="C30" s="36">
        <v>31160000</v>
      </c>
      <c r="D30" s="36">
        <v>36920000</v>
      </c>
      <c r="E30" s="36">
        <v>21564000</v>
      </c>
      <c r="F30" s="36">
        <v>2964000</v>
      </c>
      <c r="G30" s="36">
        <v>13099000</v>
      </c>
      <c r="H30" s="36">
        <v>9149000</v>
      </c>
      <c r="I30" s="36">
        <v>16965000</v>
      </c>
      <c r="J30" s="36">
        <v>5491000</v>
      </c>
      <c r="K30" s="36">
        <v>-1345000</v>
      </c>
      <c r="L30" s="36">
        <v>8240000</v>
      </c>
      <c r="M30" s="36">
        <v>6000</v>
      </c>
      <c r="N30" s="36">
        <v>3851000</v>
      </c>
      <c r="O30" s="36">
        <v>-2253000</v>
      </c>
      <c r="P30" s="36">
        <v>-11474000</v>
      </c>
      <c r="Q30" s="36">
        <v>-3349000</v>
      </c>
    </row>
    <row r="31" spans="1:34">
      <c r="A31" t="s">
        <v>230</v>
      </c>
      <c r="B31" s="36">
        <v>-57778000</v>
      </c>
      <c r="C31" s="36">
        <v>-120821000</v>
      </c>
      <c r="D31" s="36">
        <v>-600216000</v>
      </c>
      <c r="E31" s="36">
        <v>-189704000</v>
      </c>
      <c r="F31" s="36">
        <v>-184869000</v>
      </c>
      <c r="G31" s="36">
        <v>-161233000</v>
      </c>
      <c r="H31" s="36">
        <v>-177865000</v>
      </c>
      <c r="I31" s="36">
        <v>-165342000</v>
      </c>
      <c r="J31" s="36">
        <v>-105151000</v>
      </c>
      <c r="K31" s="36">
        <v>-80174000</v>
      </c>
      <c r="L31" s="36">
        <v>-90190000</v>
      </c>
      <c r="M31" s="36">
        <v>-71706000</v>
      </c>
      <c r="N31" s="36">
        <v>-15305000</v>
      </c>
      <c r="O31" s="36">
        <v>-77050000</v>
      </c>
      <c r="P31" s="36">
        <v>-78522000</v>
      </c>
      <c r="Q31" s="36">
        <v>-1312919000</v>
      </c>
      <c r="R31" s="36">
        <v>-75655000</v>
      </c>
      <c r="S31" s="36">
        <v>-220147000</v>
      </c>
      <c r="T31" s="36">
        <v>-39789000</v>
      </c>
      <c r="U31" s="36">
        <v>-55279000</v>
      </c>
      <c r="V31" s="36">
        <v>-84715000</v>
      </c>
      <c r="W31" s="36">
        <v>-93487000</v>
      </c>
      <c r="X31" s="36">
        <v>-109400000</v>
      </c>
      <c r="Y31" s="36">
        <v>-68100000</v>
      </c>
      <c r="Z31" s="36">
        <v>-296400000</v>
      </c>
      <c r="AA31" s="36">
        <v>-46100000</v>
      </c>
      <c r="AB31" s="36">
        <v>-64400000</v>
      </c>
      <c r="AC31" s="36">
        <v>-19200000</v>
      </c>
      <c r="AD31" s="36">
        <v>-23800000</v>
      </c>
      <c r="AE31" s="36">
        <v>-65000000</v>
      </c>
      <c r="AF31" s="36">
        <v>-10300000</v>
      </c>
      <c r="AG31" s="36">
        <v>-15200000</v>
      </c>
      <c r="AH31" s="36">
        <v>-9600000</v>
      </c>
    </row>
    <row r="32" spans="1:34">
      <c r="A32" t="s">
        <v>231</v>
      </c>
      <c r="B32" s="36">
        <v>-57778000</v>
      </c>
      <c r="C32" s="36">
        <v>-120821000</v>
      </c>
      <c r="D32" s="36">
        <v>-600216000</v>
      </c>
      <c r="E32" s="36">
        <v>-189704000</v>
      </c>
      <c r="F32" s="36">
        <v>-184869000</v>
      </c>
      <c r="G32" s="36">
        <v>-161233000</v>
      </c>
      <c r="H32" s="36">
        <v>-177865000</v>
      </c>
      <c r="I32" s="36">
        <v>-165342000</v>
      </c>
      <c r="J32" s="36">
        <v>-105151000</v>
      </c>
      <c r="K32" s="36">
        <v>-80174000</v>
      </c>
      <c r="L32" s="36">
        <v>-90190000</v>
      </c>
      <c r="M32" s="36">
        <v>-71706000</v>
      </c>
      <c r="N32" s="36">
        <v>-15305000</v>
      </c>
      <c r="O32" s="36">
        <v>-77050000</v>
      </c>
      <c r="P32" s="36">
        <v>-78522000</v>
      </c>
      <c r="Q32" s="36">
        <v>-1312919000</v>
      </c>
      <c r="R32" s="36">
        <v>-75655000</v>
      </c>
      <c r="S32" s="36">
        <v>-220147000</v>
      </c>
      <c r="T32" s="36">
        <v>-39789000</v>
      </c>
      <c r="U32" s="36">
        <v>-55279000</v>
      </c>
      <c r="V32" s="36">
        <v>-84715000</v>
      </c>
      <c r="W32" s="36">
        <v>-93487000</v>
      </c>
      <c r="X32" s="36">
        <v>-109400000</v>
      </c>
      <c r="Y32" s="36">
        <v>-68100000</v>
      </c>
      <c r="Z32" s="36">
        <v>-296400000</v>
      </c>
      <c r="AA32" s="36">
        <v>-46100000</v>
      </c>
      <c r="AB32" s="36">
        <v>-64400000</v>
      </c>
      <c r="AC32" s="36">
        <v>-19200000</v>
      </c>
      <c r="AD32" s="36">
        <v>-23800000</v>
      </c>
      <c r="AE32" s="36">
        <v>-65000000</v>
      </c>
      <c r="AF32" s="36">
        <v>-10300000</v>
      </c>
      <c r="AG32" s="36">
        <v>-15200000</v>
      </c>
      <c r="AH32" s="36">
        <v>-9600000</v>
      </c>
    </row>
    <row r="33" spans="1:34">
      <c r="A33" t="s">
        <v>232</v>
      </c>
      <c r="B33" s="36">
        <v>-59183000</v>
      </c>
      <c r="C33" s="36">
        <v>-129087000</v>
      </c>
      <c r="D33" s="36">
        <v>-330662000</v>
      </c>
      <c r="E33" s="36">
        <v>-189775000</v>
      </c>
      <c r="F33" s="36">
        <v>-188084000</v>
      </c>
      <c r="G33" s="36">
        <v>-160656000</v>
      </c>
      <c r="H33" s="36">
        <v>-175865000</v>
      </c>
      <c r="I33" s="36">
        <v>-166719000</v>
      </c>
      <c r="J33" s="36">
        <v>-120448000</v>
      </c>
      <c r="K33" s="36">
        <v>-96232000</v>
      </c>
      <c r="L33" s="36">
        <v>-90190000</v>
      </c>
      <c r="M33" s="36">
        <v>-71706000</v>
      </c>
      <c r="N33" s="36">
        <v>-69136000</v>
      </c>
      <c r="O33" s="36">
        <v>-83481000</v>
      </c>
    </row>
    <row r="34" spans="1:34">
      <c r="A34" t="s">
        <v>233</v>
      </c>
      <c r="L34">
        <v>0</v>
      </c>
      <c r="M34">
        <v>0</v>
      </c>
      <c r="N34" s="36">
        <v>53831000</v>
      </c>
      <c r="P34" s="36">
        <v>-78522000</v>
      </c>
      <c r="Q34" s="36">
        <v>-59458000</v>
      </c>
      <c r="R34" s="36">
        <v>-75655000</v>
      </c>
      <c r="S34" s="36">
        <v>-75878000</v>
      </c>
      <c r="T34" s="36">
        <v>-39789000</v>
      </c>
      <c r="U34" s="36">
        <v>-55279000</v>
      </c>
      <c r="V34" s="36">
        <v>-85071000</v>
      </c>
      <c r="W34" s="36">
        <v>-93487000</v>
      </c>
      <c r="X34" s="36">
        <v>-109400000</v>
      </c>
      <c r="Y34" s="36">
        <v>-68100000</v>
      </c>
      <c r="Z34" s="36">
        <v>-306700000</v>
      </c>
      <c r="AA34" s="36">
        <v>-30200000</v>
      </c>
      <c r="AB34" s="36">
        <v>-28500000</v>
      </c>
      <c r="AC34" s="36">
        <v>-19200000</v>
      </c>
      <c r="AD34" s="36">
        <v>-23800000</v>
      </c>
      <c r="AE34" s="36">
        <v>-67100000</v>
      </c>
      <c r="AF34" s="36">
        <v>-10300000</v>
      </c>
      <c r="AG34" s="36">
        <v>-15200000</v>
      </c>
      <c r="AH34" s="36">
        <v>-9600000</v>
      </c>
    </row>
    <row r="35" spans="1:34">
      <c r="A35" t="s">
        <v>234</v>
      </c>
      <c r="P35" s="36">
        <v>-78522000</v>
      </c>
      <c r="Q35" s="36">
        <v>-59458000</v>
      </c>
      <c r="R35" s="36">
        <v>-75655000</v>
      </c>
      <c r="S35" s="36">
        <v>-75878000</v>
      </c>
      <c r="T35" s="36">
        <v>-39789000</v>
      </c>
      <c r="U35" s="36">
        <v>-55279000</v>
      </c>
      <c r="V35" s="36">
        <v>-85071000</v>
      </c>
      <c r="W35" s="36">
        <v>-93487000</v>
      </c>
      <c r="X35" s="36">
        <v>-109400000</v>
      </c>
      <c r="Y35" s="36">
        <v>-68100000</v>
      </c>
      <c r="Z35" s="36">
        <v>-306700000</v>
      </c>
      <c r="AA35" s="36">
        <v>-30200000</v>
      </c>
      <c r="AB35" s="36">
        <v>-28500000</v>
      </c>
      <c r="AC35" s="36">
        <v>-19200000</v>
      </c>
      <c r="AD35" s="36">
        <v>-23800000</v>
      </c>
      <c r="AE35" s="36">
        <v>-67100000</v>
      </c>
      <c r="AF35" s="36">
        <v>-10300000</v>
      </c>
      <c r="AG35" s="36">
        <v>-15200000</v>
      </c>
      <c r="AH35" s="36">
        <v>-9800000</v>
      </c>
    </row>
    <row r="36" spans="1:34">
      <c r="A36" t="s">
        <v>235</v>
      </c>
      <c r="L36">
        <v>0</v>
      </c>
      <c r="M36">
        <v>0</v>
      </c>
      <c r="N36" s="36">
        <v>53831000</v>
      </c>
      <c r="AH36" s="36">
        <v>200000</v>
      </c>
    </row>
    <row r="37" spans="1:34">
      <c r="A37" t="s">
        <v>236</v>
      </c>
      <c r="E37" s="36">
        <v>-41000</v>
      </c>
      <c r="F37" s="36">
        <v>-66000</v>
      </c>
      <c r="G37" s="36">
        <v>-577000</v>
      </c>
    </row>
    <row r="38" spans="1:34">
      <c r="A38" t="s">
        <v>297</v>
      </c>
      <c r="E38" s="36">
        <v>-41000</v>
      </c>
      <c r="F38" s="36">
        <v>-66000</v>
      </c>
      <c r="G38" s="36">
        <v>-577000</v>
      </c>
    </row>
    <row r="39" spans="1:34">
      <c r="A39" t="s">
        <v>237</v>
      </c>
      <c r="B39">
        <v>0</v>
      </c>
      <c r="C39">
        <v>0</v>
      </c>
      <c r="D39" s="36">
        <v>-270171000</v>
      </c>
      <c r="E39" s="36">
        <v>112000</v>
      </c>
      <c r="F39" s="36">
        <v>3281000</v>
      </c>
      <c r="G39">
        <v>0</v>
      </c>
      <c r="H39" s="36">
        <v>-2000000</v>
      </c>
      <c r="M39">
        <v>0</v>
      </c>
      <c r="N39">
        <v>0</v>
      </c>
      <c r="O39" s="36">
        <v>6431000</v>
      </c>
      <c r="Q39" s="36">
        <v>-1253461000</v>
      </c>
      <c r="S39" s="36">
        <v>-144269000</v>
      </c>
    </row>
    <row r="40" spans="1:34">
      <c r="A40" t="s">
        <v>238</v>
      </c>
      <c r="B40">
        <v>0</v>
      </c>
      <c r="C40">
        <v>0</v>
      </c>
      <c r="D40" s="36">
        <v>-270171000</v>
      </c>
      <c r="G40">
        <v>0</v>
      </c>
      <c r="H40" s="36">
        <v>-2000000</v>
      </c>
    </row>
    <row r="41" spans="1:34">
      <c r="A41" t="s">
        <v>239</v>
      </c>
      <c r="O41" s="36">
        <v>6431000</v>
      </c>
    </row>
    <row r="42" spans="1:34">
      <c r="A42" t="s">
        <v>240</v>
      </c>
      <c r="D42" s="36">
        <v>617000</v>
      </c>
    </row>
    <row r="43" spans="1:34">
      <c r="A43" t="s">
        <v>241</v>
      </c>
      <c r="D43" s="36">
        <v>617000</v>
      </c>
    </row>
    <row r="44" spans="1:34">
      <c r="A44" t="s">
        <v>242</v>
      </c>
      <c r="B44" s="36">
        <v>1405000</v>
      </c>
      <c r="C44" s="36">
        <v>8266000</v>
      </c>
      <c r="I44" s="36">
        <v>1377000</v>
      </c>
      <c r="J44" s="36">
        <v>15297000</v>
      </c>
      <c r="K44" s="36">
        <v>16058000</v>
      </c>
      <c r="V44" s="36">
        <v>356000</v>
      </c>
      <c r="Z44" s="36">
        <v>10300000</v>
      </c>
      <c r="AA44" s="36">
        <v>-15900000</v>
      </c>
      <c r="AB44" s="36">
        <v>-35900000</v>
      </c>
      <c r="AE44" s="36">
        <v>2100000</v>
      </c>
    </row>
    <row r="45" spans="1:34">
      <c r="A45" t="s">
        <v>243</v>
      </c>
      <c r="B45" s="36">
        <v>-466433000</v>
      </c>
      <c r="C45" s="36">
        <v>730850000</v>
      </c>
      <c r="D45" s="36">
        <v>270469000</v>
      </c>
      <c r="E45" s="36">
        <v>-216575000</v>
      </c>
      <c r="F45" s="36">
        <v>-106421000</v>
      </c>
      <c r="G45" s="36">
        <v>-193604000</v>
      </c>
      <c r="H45" s="36">
        <v>-174203000</v>
      </c>
      <c r="I45" s="36">
        <v>-155235000</v>
      </c>
      <c r="J45" s="36">
        <v>-178332000</v>
      </c>
      <c r="K45" s="36">
        <v>-162979000</v>
      </c>
      <c r="L45" s="36">
        <v>-100718000</v>
      </c>
      <c r="M45" s="36">
        <v>-112698000</v>
      </c>
      <c r="N45" s="36">
        <v>-173283000</v>
      </c>
      <c r="O45" s="36">
        <v>-127644000</v>
      </c>
      <c r="P45" s="36">
        <v>-127894000</v>
      </c>
      <c r="Q45" s="36">
        <v>1173283000</v>
      </c>
      <c r="R45" s="36">
        <v>-83825000</v>
      </c>
      <c r="S45" s="36">
        <v>73145000</v>
      </c>
      <c r="T45" s="36">
        <v>-95106000</v>
      </c>
      <c r="U45" s="36">
        <v>-91298000</v>
      </c>
      <c r="V45" s="36">
        <v>-40365000</v>
      </c>
      <c r="W45" s="36">
        <v>-18876000</v>
      </c>
      <c r="X45" s="36">
        <v>-15100000</v>
      </c>
      <c r="Y45" s="36">
        <v>-62300000</v>
      </c>
      <c r="Z45" s="36">
        <v>201100000</v>
      </c>
      <c r="AA45" s="36">
        <v>-46900000</v>
      </c>
      <c r="AB45" s="36">
        <v>-20400000</v>
      </c>
      <c r="AC45" s="36">
        <v>-61700000</v>
      </c>
      <c r="AD45" s="36">
        <v>-45300000</v>
      </c>
      <c r="AE45" s="36">
        <v>8900000</v>
      </c>
      <c r="AF45" s="36">
        <v>-35800000</v>
      </c>
      <c r="AG45" s="36">
        <v>-29000000</v>
      </c>
      <c r="AH45" s="36">
        <v>-31100000</v>
      </c>
    </row>
    <row r="46" spans="1:34">
      <c r="A46" t="s">
        <v>244</v>
      </c>
      <c r="B46" s="36">
        <v>-466433000</v>
      </c>
      <c r="C46" s="36">
        <v>730850000</v>
      </c>
      <c r="D46" s="36">
        <v>270469000</v>
      </c>
      <c r="E46" s="36">
        <v>-216575000</v>
      </c>
      <c r="F46" s="36">
        <v>-106421000</v>
      </c>
      <c r="G46" s="36">
        <v>-193604000</v>
      </c>
      <c r="H46" s="36">
        <v>-174203000</v>
      </c>
      <c r="I46" s="36">
        <v>-155235000</v>
      </c>
      <c r="J46" s="36">
        <v>-178332000</v>
      </c>
      <c r="K46" s="36">
        <v>-162979000</v>
      </c>
      <c r="L46" s="36">
        <v>-100718000</v>
      </c>
      <c r="M46" s="36">
        <v>-112698000</v>
      </c>
      <c r="N46" s="36">
        <v>-173283000</v>
      </c>
      <c r="O46" s="36">
        <v>-127644000</v>
      </c>
      <c r="P46" s="36">
        <v>-127894000</v>
      </c>
      <c r="Q46" s="36">
        <v>1173283000</v>
      </c>
      <c r="R46" s="36">
        <v>-83825000</v>
      </c>
      <c r="S46" s="36">
        <v>73145000</v>
      </c>
      <c r="T46" s="36">
        <v>-95106000</v>
      </c>
      <c r="U46" s="36">
        <v>-91298000</v>
      </c>
      <c r="V46" s="36">
        <v>-40365000</v>
      </c>
      <c r="W46" s="36">
        <v>-18876000</v>
      </c>
      <c r="X46" s="36">
        <v>-15100000</v>
      </c>
      <c r="Y46" s="36">
        <v>-62300000</v>
      </c>
      <c r="Z46" s="36">
        <v>201100000</v>
      </c>
      <c r="AA46" s="36">
        <v>-46900000</v>
      </c>
      <c r="AB46" s="36">
        <v>-20400000</v>
      </c>
      <c r="AC46" s="36">
        <v>-61700000</v>
      </c>
      <c r="AD46" s="36">
        <v>-45300000</v>
      </c>
      <c r="AE46" s="36">
        <v>8900000</v>
      </c>
      <c r="AF46" s="36">
        <v>-35800000</v>
      </c>
      <c r="AG46" s="36">
        <v>-29000000</v>
      </c>
      <c r="AH46" s="36">
        <v>-31100000</v>
      </c>
    </row>
    <row r="47" spans="1:34">
      <c r="A47" t="s">
        <v>245</v>
      </c>
      <c r="B47" s="36">
        <v>-460755000</v>
      </c>
      <c r="C47" s="36">
        <v>834875000</v>
      </c>
      <c r="D47" s="36">
        <v>494375000</v>
      </c>
      <c r="E47">
        <v>0</v>
      </c>
      <c r="F47" s="36">
        <v>116692000</v>
      </c>
      <c r="G47" s="36">
        <v>-6000000</v>
      </c>
      <c r="I47" s="36">
        <v>13852000</v>
      </c>
      <c r="J47" s="36">
        <v>-12250000</v>
      </c>
      <c r="K47" s="36">
        <v>-25000000</v>
      </c>
      <c r="L47" s="36">
        <v>-24162000</v>
      </c>
      <c r="M47" s="36">
        <v>-69441000</v>
      </c>
      <c r="N47" s="36">
        <v>-105423000</v>
      </c>
      <c r="O47" s="36">
        <v>-28836000</v>
      </c>
      <c r="P47" s="36">
        <v>-24252000</v>
      </c>
      <c r="Q47" s="36">
        <v>1300260000</v>
      </c>
      <c r="R47" s="36">
        <v>10450000</v>
      </c>
      <c r="S47" s="36">
        <v>92650000</v>
      </c>
      <c r="T47" s="36">
        <v>-7400000</v>
      </c>
      <c r="U47" s="36">
        <v>-7850000</v>
      </c>
      <c r="V47" s="36">
        <v>44450000</v>
      </c>
      <c r="W47" s="36">
        <v>77350000</v>
      </c>
      <c r="X47" s="36">
        <v>60800000</v>
      </c>
      <c r="Y47" s="36">
        <v>10600000</v>
      </c>
      <c r="Z47" s="36">
        <v>102200000</v>
      </c>
      <c r="AA47" s="36">
        <v>7600000</v>
      </c>
      <c r="AB47" s="36">
        <v>8600000</v>
      </c>
      <c r="AC47" s="36">
        <v>-15400000</v>
      </c>
      <c r="AD47" s="36">
        <v>-2900000</v>
      </c>
      <c r="AE47" s="36">
        <v>23800000</v>
      </c>
      <c r="AF47" s="36">
        <v>-4000000</v>
      </c>
      <c r="AG47" s="36">
        <v>-1200000</v>
      </c>
      <c r="AH47" s="36">
        <v>-6800000</v>
      </c>
    </row>
    <row r="48" spans="1:34">
      <c r="A48" t="s">
        <v>246</v>
      </c>
      <c r="B48" s="36">
        <v>-460755000</v>
      </c>
      <c r="C48" s="36">
        <v>834875000</v>
      </c>
      <c r="D48" s="36">
        <v>494375000</v>
      </c>
      <c r="E48">
        <v>0</v>
      </c>
      <c r="F48" s="36">
        <v>116692000</v>
      </c>
      <c r="G48" s="36">
        <v>-6000000</v>
      </c>
      <c r="I48" s="36">
        <v>13852000</v>
      </c>
      <c r="J48" s="36">
        <v>-12250000</v>
      </c>
      <c r="K48" s="36">
        <v>-25000000</v>
      </c>
      <c r="L48" s="36">
        <v>-24162000</v>
      </c>
      <c r="M48" s="36">
        <v>-492024000</v>
      </c>
      <c r="N48" s="36">
        <v>-105423000</v>
      </c>
      <c r="O48" s="36">
        <v>-28836000</v>
      </c>
    </row>
    <row r="49" spans="1:34">
      <c r="A49" t="s">
        <v>247</v>
      </c>
      <c r="B49">
        <v>0</v>
      </c>
      <c r="C49" s="36">
        <v>1300000000</v>
      </c>
      <c r="D49" s="36">
        <v>500000000</v>
      </c>
      <c r="E49">
        <v>0</v>
      </c>
      <c r="F49" s="36">
        <v>1250000000</v>
      </c>
      <c r="G49">
        <v>0</v>
      </c>
      <c r="I49" s="36">
        <v>450000000</v>
      </c>
      <c r="J49" s="36">
        <v>1130000000</v>
      </c>
      <c r="K49">
        <v>0</v>
      </c>
      <c r="L49" s="36">
        <v>22938000</v>
      </c>
      <c r="M49" s="36">
        <v>1175000000</v>
      </c>
      <c r="N49" s="36">
        <v>63600000</v>
      </c>
      <c r="O49">
        <v>0</v>
      </c>
    </row>
    <row r="50" spans="1:34">
      <c r="A50" t="s">
        <v>248</v>
      </c>
      <c r="B50" s="36">
        <v>-460755000</v>
      </c>
      <c r="C50" s="36">
        <v>-465125000</v>
      </c>
      <c r="D50" s="36">
        <v>-5625000</v>
      </c>
      <c r="E50">
        <v>0</v>
      </c>
      <c r="F50" s="36">
        <v>-1133308000</v>
      </c>
      <c r="G50" s="36">
        <v>-6000000</v>
      </c>
      <c r="I50" s="36">
        <v>-436148000</v>
      </c>
      <c r="J50" s="36">
        <v>-1142250000</v>
      </c>
      <c r="K50" s="36">
        <v>-25000000</v>
      </c>
      <c r="L50" s="36">
        <v>-47100000</v>
      </c>
      <c r="M50" s="36">
        <v>-1667024000</v>
      </c>
      <c r="N50" s="36">
        <v>-169023000</v>
      </c>
      <c r="O50" s="36">
        <v>-28836000</v>
      </c>
    </row>
    <row r="51" spans="1:34">
      <c r="A51" t="s">
        <v>249</v>
      </c>
      <c r="L51">
        <v>0</v>
      </c>
      <c r="M51" s="36">
        <v>422583000</v>
      </c>
    </row>
    <row r="52" spans="1:34">
      <c r="A52" t="s">
        <v>250</v>
      </c>
      <c r="L52">
        <v>0</v>
      </c>
      <c r="M52" s="36">
        <v>422583000</v>
      </c>
    </row>
    <row r="53" spans="1:34">
      <c r="A53" t="s">
        <v>251</v>
      </c>
      <c r="Q53" s="36">
        <v>749000</v>
      </c>
      <c r="S53" s="36">
        <v>73354000</v>
      </c>
      <c r="T53" s="36">
        <v>435000</v>
      </c>
      <c r="V53" s="36">
        <v>-32267000</v>
      </c>
      <c r="W53" s="36">
        <v>-26566000</v>
      </c>
      <c r="Y53" s="36">
        <v>-7500000</v>
      </c>
      <c r="Z53" s="36">
        <v>157400000</v>
      </c>
      <c r="AB53" s="36">
        <v>22200000</v>
      </c>
      <c r="AE53" s="36">
        <v>21200000</v>
      </c>
    </row>
    <row r="54" spans="1:34">
      <c r="A54" t="s">
        <v>252</v>
      </c>
      <c r="Q54" s="36">
        <v>749000</v>
      </c>
      <c r="S54" s="36">
        <v>73354000</v>
      </c>
      <c r="T54" s="36">
        <v>435000</v>
      </c>
      <c r="Z54" s="36">
        <v>157400000</v>
      </c>
      <c r="AB54" s="36">
        <v>22200000</v>
      </c>
      <c r="AE54" s="36">
        <v>21200000</v>
      </c>
    </row>
    <row r="55" spans="1:34">
      <c r="A55" t="s">
        <v>253</v>
      </c>
      <c r="V55" s="36">
        <v>-32267000</v>
      </c>
      <c r="W55" s="36">
        <v>-26566000</v>
      </c>
      <c r="Y55" s="36">
        <v>-7500000</v>
      </c>
    </row>
    <row r="56" spans="1:34">
      <c r="A56" t="s">
        <v>254</v>
      </c>
      <c r="B56">
        <v>0</v>
      </c>
      <c r="C56" s="36">
        <v>-53020000</v>
      </c>
      <c r="D56" s="36">
        <v>-210011000</v>
      </c>
      <c r="E56" s="36">
        <v>-203199000</v>
      </c>
      <c r="F56" s="36">
        <v>-194756000</v>
      </c>
      <c r="G56" s="36">
        <v>-187182000</v>
      </c>
      <c r="H56" s="36">
        <v>-172614000</v>
      </c>
      <c r="I56" s="36">
        <v>-159432000</v>
      </c>
      <c r="J56" s="36">
        <v>-143457000</v>
      </c>
      <c r="K56" s="36">
        <v>-88813000</v>
      </c>
      <c r="L56" s="36">
        <v>-55347000</v>
      </c>
      <c r="M56" s="36">
        <v>-43264000</v>
      </c>
      <c r="N56" s="36">
        <v>-67864000</v>
      </c>
      <c r="O56" s="36">
        <v>-105078000</v>
      </c>
      <c r="P56" s="36">
        <v>-102690000</v>
      </c>
      <c r="Q56" s="36">
        <v>-100830000</v>
      </c>
      <c r="R56" s="36">
        <v>-98122000</v>
      </c>
      <c r="S56" s="36">
        <v>-92151000</v>
      </c>
      <c r="T56" s="36">
        <v>-88141000</v>
      </c>
      <c r="U56" s="36">
        <v>-83448000</v>
      </c>
      <c r="V56" s="36">
        <v>-80163000</v>
      </c>
      <c r="W56" s="36">
        <v>-77518000</v>
      </c>
      <c r="X56" s="36">
        <v>-72500000</v>
      </c>
      <c r="Y56" s="36">
        <v>-65400000</v>
      </c>
      <c r="Z56" s="36">
        <v>-58300000</v>
      </c>
      <c r="AA56" s="36">
        <v>-54500000</v>
      </c>
      <c r="AB56" s="36">
        <v>-51200000</v>
      </c>
      <c r="AC56" s="36">
        <v>-46300000</v>
      </c>
      <c r="AD56" s="36">
        <v>-42400000</v>
      </c>
      <c r="AE56" s="36">
        <v>-36000000</v>
      </c>
      <c r="AF56" s="36">
        <v>-31800000</v>
      </c>
      <c r="AG56" s="36">
        <v>-27800000</v>
      </c>
      <c r="AH56" s="36">
        <v>-24300000</v>
      </c>
    </row>
    <row r="57" spans="1:34">
      <c r="A57" t="s">
        <v>255</v>
      </c>
      <c r="C57" s="36">
        <v>-53020000</v>
      </c>
      <c r="D57" s="36">
        <v>-210011000</v>
      </c>
      <c r="E57" s="36">
        <v>-203199000</v>
      </c>
      <c r="F57" s="36">
        <v>-194756000</v>
      </c>
      <c r="G57" s="36">
        <v>-187182000</v>
      </c>
      <c r="H57" s="36">
        <v>-172614000</v>
      </c>
      <c r="I57" s="36">
        <v>-159432000</v>
      </c>
      <c r="J57" s="36">
        <v>-143457000</v>
      </c>
      <c r="K57" s="36">
        <v>-88813000</v>
      </c>
      <c r="O57" s="36">
        <v>-105078000</v>
      </c>
    </row>
    <row r="58" spans="1:34">
      <c r="A58" t="s">
        <v>298</v>
      </c>
      <c r="D58">
        <v>0</v>
      </c>
      <c r="E58" s="36">
        <v>125000</v>
      </c>
      <c r="F58" s="36">
        <v>65000</v>
      </c>
      <c r="I58">
        <v>0</v>
      </c>
      <c r="J58" s="36">
        <v>52000</v>
      </c>
      <c r="K58" s="36">
        <v>76000</v>
      </c>
      <c r="L58" s="36">
        <v>5000</v>
      </c>
      <c r="M58" s="36">
        <v>7000</v>
      </c>
      <c r="N58" s="36">
        <v>4000</v>
      </c>
      <c r="O58" s="36">
        <v>4541000</v>
      </c>
    </row>
    <row r="59" spans="1:34">
      <c r="A59" t="s">
        <v>256</v>
      </c>
      <c r="B59" s="36">
        <v>-5678000</v>
      </c>
      <c r="C59" s="36">
        <v>-51005000</v>
      </c>
      <c r="D59" s="36">
        <v>-13895000</v>
      </c>
      <c r="E59" s="36">
        <v>-13501000</v>
      </c>
      <c r="F59" s="36">
        <v>-28422000</v>
      </c>
      <c r="G59" s="36">
        <v>-422000</v>
      </c>
      <c r="H59" s="36">
        <v>-1589000</v>
      </c>
      <c r="I59" s="36">
        <v>-9655000</v>
      </c>
      <c r="J59" s="36">
        <v>-22677000</v>
      </c>
      <c r="K59" s="36">
        <v>-49242000</v>
      </c>
      <c r="L59" s="36">
        <v>-21214000</v>
      </c>
      <c r="O59" s="36">
        <v>1729000</v>
      </c>
      <c r="P59" s="36">
        <v>-952000</v>
      </c>
      <c r="Q59" s="36">
        <v>-26896000</v>
      </c>
      <c r="R59" s="36">
        <v>3847000</v>
      </c>
      <c r="S59" s="36">
        <v>-708000</v>
      </c>
      <c r="V59" s="36">
        <v>27615000</v>
      </c>
      <c r="W59" s="36">
        <v>7858000</v>
      </c>
      <c r="X59" s="36">
        <v>-3400000</v>
      </c>
      <c r="Z59" s="36">
        <v>-200000</v>
      </c>
      <c r="AE59" s="36">
        <v>-100000</v>
      </c>
    </row>
    <row r="60" spans="1:34">
      <c r="A60" t="s">
        <v>257</v>
      </c>
      <c r="B60" s="36">
        <v>61119000</v>
      </c>
      <c r="C60" s="36">
        <v>376736000</v>
      </c>
      <c r="D60" s="36">
        <v>182252000</v>
      </c>
      <c r="E60" s="36">
        <v>105349000</v>
      </c>
      <c r="F60" s="36">
        <v>166245000</v>
      </c>
      <c r="G60" s="36">
        <v>122716000</v>
      </c>
      <c r="H60" s="36">
        <v>119557000</v>
      </c>
      <c r="I60" s="36">
        <v>131840000</v>
      </c>
      <c r="J60" s="36">
        <v>118056000</v>
      </c>
      <c r="K60" s="36">
        <v>78830000</v>
      </c>
      <c r="L60" s="36">
        <v>35524000</v>
      </c>
      <c r="M60" s="36">
        <v>9765000</v>
      </c>
      <c r="N60" s="36">
        <v>11928000</v>
      </c>
      <c r="O60" s="36">
        <v>13873000</v>
      </c>
      <c r="P60" s="36">
        <v>5501000</v>
      </c>
      <c r="Q60" s="36">
        <v>30203000</v>
      </c>
      <c r="R60" s="36">
        <v>4421000</v>
      </c>
      <c r="S60" s="36">
        <v>3353000</v>
      </c>
      <c r="T60" s="36">
        <v>2194000</v>
      </c>
      <c r="U60" s="36">
        <v>2171000</v>
      </c>
      <c r="V60" s="36">
        <v>2280000</v>
      </c>
      <c r="W60" s="36">
        <v>2392000</v>
      </c>
      <c r="X60" s="36">
        <v>600000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</row>
    <row r="61" spans="1:34">
      <c r="A61" t="s">
        <v>258</v>
      </c>
      <c r="B61" s="36">
        <v>-322985000</v>
      </c>
      <c r="C61" s="36">
        <v>193492000</v>
      </c>
      <c r="D61" s="36">
        <v>73294000</v>
      </c>
      <c r="E61" s="36">
        <v>-55539000</v>
      </c>
      <c r="F61" s="36">
        <v>39889000</v>
      </c>
      <c r="G61" s="36">
        <v>2590000</v>
      </c>
      <c r="H61" s="36">
        <v>-9851000</v>
      </c>
      <c r="I61" s="36">
        <v>16526000</v>
      </c>
      <c r="J61" s="36">
        <v>40974000</v>
      </c>
      <c r="K61" s="36">
        <v>42780000</v>
      </c>
      <c r="L61" s="36">
        <v>27269000</v>
      </c>
      <c r="M61" s="36">
        <v>-2289000</v>
      </c>
      <c r="N61" s="36">
        <v>-3391000</v>
      </c>
      <c r="O61" s="36">
        <v>10894000</v>
      </c>
      <c r="P61" s="36">
        <v>-24705000</v>
      </c>
      <c r="Q61" s="36">
        <v>26788000</v>
      </c>
      <c r="R61" s="36">
        <v>1068000</v>
      </c>
      <c r="S61" s="36">
        <v>1159000</v>
      </c>
      <c r="T61" s="36">
        <v>23000</v>
      </c>
      <c r="U61" s="36">
        <v>-109000</v>
      </c>
      <c r="V61" s="36">
        <v>-112000</v>
      </c>
      <c r="W61" s="36">
        <v>1754000</v>
      </c>
      <c r="X61" s="36">
        <v>-500000</v>
      </c>
      <c r="Y61" s="36">
        <v>-1500000</v>
      </c>
      <c r="Z61" s="36">
        <v>1200000</v>
      </c>
      <c r="AA61" s="36">
        <v>1200000</v>
      </c>
      <c r="AB61" s="36">
        <v>-200000</v>
      </c>
      <c r="AC61" s="36">
        <v>200000</v>
      </c>
      <c r="AD61" s="36">
        <v>100000</v>
      </c>
      <c r="AE61" s="36">
        <v>-100000</v>
      </c>
      <c r="AF61" s="36">
        <v>200000</v>
      </c>
      <c r="AG61" s="36">
        <v>-500000</v>
      </c>
      <c r="AH61" s="36">
        <v>300000</v>
      </c>
    </row>
    <row r="62" spans="1:34">
      <c r="A62" t="s">
        <v>259</v>
      </c>
      <c r="B62" s="36">
        <v>7368000</v>
      </c>
      <c r="C62" s="36">
        <v>992000</v>
      </c>
      <c r="D62" s="36">
        <v>3609000</v>
      </c>
      <c r="E62" s="36">
        <v>-5357000</v>
      </c>
      <c r="F62" s="36">
        <v>3640000</v>
      </c>
      <c r="G62" s="36">
        <v>569000</v>
      </c>
      <c r="H62" s="36">
        <v>-2432000</v>
      </c>
      <c r="I62" s="36">
        <v>-2742000</v>
      </c>
      <c r="J62" s="36">
        <v>-1748000</v>
      </c>
      <c r="K62" s="36">
        <v>526000</v>
      </c>
      <c r="L62" s="36">
        <v>-1510000</v>
      </c>
      <c r="M62" s="36">
        <v>126000</v>
      </c>
      <c r="N62" s="36">
        <v>1446000</v>
      </c>
      <c r="O62" s="36">
        <v>-2522000</v>
      </c>
      <c r="P62" s="36">
        <v>3000</v>
      </c>
      <c r="Q62" s="36">
        <v>-1006000</v>
      </c>
    </row>
    <row r="63" spans="1:34">
      <c r="A63" t="s">
        <v>260</v>
      </c>
      <c r="B63" s="36">
        <v>376736000</v>
      </c>
      <c r="C63" s="36">
        <v>182252000</v>
      </c>
      <c r="D63" s="36">
        <v>105349000</v>
      </c>
      <c r="E63" s="36">
        <v>166245000</v>
      </c>
      <c r="F63" s="36">
        <v>122716000</v>
      </c>
      <c r="G63" s="36">
        <v>119557000</v>
      </c>
      <c r="H63" s="36">
        <v>131840000</v>
      </c>
      <c r="I63" s="36">
        <v>118056000</v>
      </c>
      <c r="J63" s="36">
        <v>78830000</v>
      </c>
      <c r="K63" s="36">
        <v>35524000</v>
      </c>
      <c r="L63" s="36">
        <v>9765000</v>
      </c>
      <c r="M63" s="36">
        <v>11928000</v>
      </c>
      <c r="N63" s="36">
        <v>13873000</v>
      </c>
      <c r="O63" s="36">
        <v>5501000</v>
      </c>
      <c r="P63" s="36">
        <v>30203000</v>
      </c>
      <c r="Q63" s="36">
        <v>4421000</v>
      </c>
      <c r="R63" s="36">
        <v>3353000</v>
      </c>
      <c r="S63" s="36">
        <v>2194000</v>
      </c>
      <c r="T63" s="36">
        <v>2171000</v>
      </c>
      <c r="U63" s="36">
        <v>2280000</v>
      </c>
      <c r="V63" s="36">
        <v>2392000</v>
      </c>
      <c r="W63" s="36">
        <v>638000</v>
      </c>
      <c r="X63" s="36">
        <v>1100000</v>
      </c>
      <c r="Y63" s="36">
        <v>2500000</v>
      </c>
      <c r="Z63" s="36">
        <v>1300000</v>
      </c>
      <c r="AA63" s="36">
        <v>100000</v>
      </c>
      <c r="AB63" s="36">
        <v>400000</v>
      </c>
      <c r="AC63" s="36">
        <v>200000</v>
      </c>
      <c r="AD63" s="36">
        <v>100000</v>
      </c>
      <c r="AE63" s="36">
        <v>200000</v>
      </c>
      <c r="AF63" s="36">
        <v>100000</v>
      </c>
      <c r="AG63" s="36">
        <v>500000</v>
      </c>
      <c r="AH63" s="36">
        <v>200000</v>
      </c>
    </row>
    <row r="64" spans="1:34">
      <c r="A64" t="s">
        <v>299</v>
      </c>
      <c r="Y64" s="36">
        <v>-1000000</v>
      </c>
      <c r="Z64" s="36">
        <v>-2500000</v>
      </c>
      <c r="AA64" s="36">
        <v>-1300000</v>
      </c>
      <c r="AB64" s="36">
        <v>-200000</v>
      </c>
      <c r="AC64" s="36">
        <v>-400000</v>
      </c>
      <c r="AD64" s="36">
        <v>-200000</v>
      </c>
      <c r="AE64" s="36">
        <v>-100000</v>
      </c>
      <c r="AF64" s="36">
        <v>-300000</v>
      </c>
      <c r="AH64" s="36">
        <v>-500000</v>
      </c>
    </row>
    <row r="65" spans="1:34">
      <c r="A65" t="s">
        <v>261</v>
      </c>
      <c r="B65" s="36">
        <v>10054000</v>
      </c>
      <c r="C65" s="36">
        <v>1792000</v>
      </c>
      <c r="D65" s="36">
        <v>40793000</v>
      </c>
      <c r="E65" s="36">
        <v>42159000</v>
      </c>
      <c r="F65" s="36">
        <v>55989000</v>
      </c>
      <c r="G65" s="36">
        <v>44502000</v>
      </c>
      <c r="H65" s="36">
        <v>19976000</v>
      </c>
      <c r="I65" s="36">
        <v>11162000</v>
      </c>
      <c r="J65" s="36">
        <v>14822000</v>
      </c>
      <c r="K65" s="36">
        <v>1783000</v>
      </c>
      <c r="L65" s="36">
        <v>6135000</v>
      </c>
      <c r="M65" s="36">
        <v>19074000</v>
      </c>
      <c r="N65" s="36">
        <v>18966000</v>
      </c>
      <c r="O65" s="36">
        <v>14619000</v>
      </c>
    </row>
    <row r="66" spans="1:34">
      <c r="A66" t="s">
        <v>262</v>
      </c>
      <c r="B66" s="36">
        <v>174253000</v>
      </c>
      <c r="C66" s="36">
        <v>130444000</v>
      </c>
      <c r="D66" s="36">
        <v>85596000</v>
      </c>
      <c r="E66" s="36">
        <v>84947000</v>
      </c>
      <c r="F66" s="36">
        <v>85975000</v>
      </c>
      <c r="G66" s="36">
        <v>82015000</v>
      </c>
      <c r="H66" s="36">
        <v>84963000</v>
      </c>
      <c r="I66" s="36">
        <v>104198000</v>
      </c>
      <c r="J66" s="36">
        <v>90834000</v>
      </c>
      <c r="K66" s="36">
        <v>101883000</v>
      </c>
      <c r="L66" s="36">
        <v>155161000</v>
      </c>
      <c r="M66" s="36">
        <v>131158000</v>
      </c>
      <c r="N66" s="36">
        <v>118625000</v>
      </c>
      <c r="O66" s="36">
        <v>120340000</v>
      </c>
    </row>
    <row r="67" spans="1:34">
      <c r="A67" t="s">
        <v>263</v>
      </c>
      <c r="B67" s="36">
        <v>-59183000</v>
      </c>
      <c r="C67" s="36">
        <v>-129087000</v>
      </c>
      <c r="D67" s="36">
        <v>-330662000</v>
      </c>
      <c r="E67" s="36">
        <v>-189816000</v>
      </c>
      <c r="F67" s="36">
        <v>-188150000</v>
      </c>
      <c r="G67" s="36">
        <v>-161233000</v>
      </c>
      <c r="H67" s="36">
        <v>-175865000</v>
      </c>
      <c r="I67" s="36">
        <v>-166719000</v>
      </c>
      <c r="J67" s="36">
        <v>-120448000</v>
      </c>
      <c r="K67" s="36">
        <v>-96232000</v>
      </c>
      <c r="L67" s="36">
        <v>-90190000</v>
      </c>
      <c r="M67" s="36">
        <v>-71706000</v>
      </c>
      <c r="N67" s="36">
        <v>-69136000</v>
      </c>
      <c r="O67" s="36">
        <v>-83481000</v>
      </c>
      <c r="P67" s="36">
        <v>-78522000</v>
      </c>
      <c r="Q67" s="36">
        <v>-59458000</v>
      </c>
      <c r="R67" s="36">
        <v>-75655000</v>
      </c>
      <c r="S67" s="36">
        <v>-75878000</v>
      </c>
      <c r="T67" s="36">
        <v>-39789000</v>
      </c>
      <c r="U67" s="36">
        <v>-55279000</v>
      </c>
      <c r="V67" s="36">
        <v>-85071000</v>
      </c>
      <c r="W67" s="36">
        <v>-93487000</v>
      </c>
      <c r="X67" s="36">
        <v>-109400000</v>
      </c>
      <c r="Y67" s="36">
        <v>-68100000</v>
      </c>
      <c r="Z67" s="36">
        <v>-306700000</v>
      </c>
      <c r="AA67" s="36">
        <v>-30200000</v>
      </c>
      <c r="AB67" s="36">
        <v>-28500000</v>
      </c>
      <c r="AC67" s="36">
        <v>-19200000</v>
      </c>
      <c r="AD67" s="36">
        <v>-23800000</v>
      </c>
      <c r="AE67" s="36">
        <v>-67100000</v>
      </c>
      <c r="AF67" s="36">
        <v>-10300000</v>
      </c>
      <c r="AG67" s="36">
        <v>-15200000</v>
      </c>
      <c r="AH67" s="36">
        <v>-9800000</v>
      </c>
    </row>
    <row r="68" spans="1:34">
      <c r="A68" t="s">
        <v>264</v>
      </c>
      <c r="Q68" s="36">
        <v>749000</v>
      </c>
      <c r="S68" s="36">
        <v>73354000</v>
      </c>
      <c r="T68" s="36">
        <v>435000</v>
      </c>
      <c r="Z68" s="36">
        <v>157400000</v>
      </c>
      <c r="AB68" s="36">
        <v>22200000</v>
      </c>
      <c r="AE68" s="36">
        <v>21200000</v>
      </c>
    </row>
    <row r="69" spans="1:34">
      <c r="A69" t="s">
        <v>265</v>
      </c>
      <c r="B69">
        <v>0</v>
      </c>
      <c r="C69" s="36">
        <v>1300000000</v>
      </c>
      <c r="D69" s="36">
        <v>500000000</v>
      </c>
      <c r="E69">
        <v>0</v>
      </c>
      <c r="F69" s="36">
        <v>1250000000</v>
      </c>
      <c r="G69">
        <v>0</v>
      </c>
      <c r="I69" s="36">
        <v>450000000</v>
      </c>
      <c r="J69" s="36">
        <v>1130000000</v>
      </c>
      <c r="K69">
        <v>0</v>
      </c>
      <c r="L69" s="36">
        <v>22938000</v>
      </c>
      <c r="M69" s="36">
        <v>1597583000</v>
      </c>
      <c r="N69" s="36">
        <v>63600000</v>
      </c>
      <c r="O69">
        <v>0</v>
      </c>
    </row>
    <row r="70" spans="1:34">
      <c r="A70" t="s">
        <v>266</v>
      </c>
      <c r="B70" s="36">
        <v>-460755000</v>
      </c>
      <c r="C70" s="36">
        <v>-465125000</v>
      </c>
      <c r="D70" s="36">
        <v>-5625000</v>
      </c>
      <c r="E70">
        <v>0</v>
      </c>
      <c r="F70" s="36">
        <v>-1133308000</v>
      </c>
      <c r="G70" s="36">
        <v>-6000000</v>
      </c>
      <c r="I70" s="36">
        <v>-436148000</v>
      </c>
      <c r="J70" s="36">
        <v>-1142250000</v>
      </c>
      <c r="K70" s="36">
        <v>-25000000</v>
      </c>
      <c r="L70" s="36">
        <v>-47100000</v>
      </c>
      <c r="M70" s="36">
        <v>-1667024000</v>
      </c>
      <c r="N70" s="36">
        <v>-169023000</v>
      </c>
      <c r="O70" s="36">
        <v>-28836000</v>
      </c>
    </row>
    <row r="71" spans="1:34">
      <c r="A71" t="s">
        <v>267</v>
      </c>
      <c r="V71" s="36">
        <v>-32267000</v>
      </c>
      <c r="W71" s="36">
        <v>-26566000</v>
      </c>
      <c r="Y71" s="36">
        <v>-7500000</v>
      </c>
    </row>
    <row r="72" spans="1:34">
      <c r="A72" t="s">
        <v>268</v>
      </c>
      <c r="B72" s="36">
        <v>142043000</v>
      </c>
      <c r="C72" s="36">
        <v>-545624000</v>
      </c>
      <c r="D72" s="36">
        <v>72379000</v>
      </c>
      <c r="E72" s="36">
        <v>160924000</v>
      </c>
      <c r="F72" s="36">
        <v>143029000</v>
      </c>
      <c r="G72" s="36">
        <v>196194000</v>
      </c>
      <c r="H72" s="36">
        <v>166352000</v>
      </c>
      <c r="I72" s="36">
        <v>170384000</v>
      </c>
      <c r="J72" s="36">
        <v>204009000</v>
      </c>
      <c r="K72" s="36">
        <v>189701000</v>
      </c>
      <c r="L72" s="36">
        <v>127987000</v>
      </c>
      <c r="M72" s="36">
        <v>110409000</v>
      </c>
      <c r="N72" s="36">
        <v>116061000</v>
      </c>
      <c r="O72" s="36">
        <v>132107000</v>
      </c>
      <c r="P72" s="36">
        <v>103189000</v>
      </c>
      <c r="Q72" s="36">
        <v>106966000</v>
      </c>
      <c r="R72" s="36">
        <v>84893000</v>
      </c>
      <c r="S72" s="36">
        <v>72283000</v>
      </c>
      <c r="T72" s="36">
        <v>95129000</v>
      </c>
      <c r="U72" s="36">
        <v>91189000</v>
      </c>
      <c r="V72" s="36">
        <v>39897000</v>
      </c>
      <c r="W72" s="36">
        <v>20630000</v>
      </c>
      <c r="X72" s="36">
        <v>14600000</v>
      </c>
      <c r="Y72" s="36">
        <v>60800000</v>
      </c>
      <c r="Z72" s="36">
        <v>-210200000</v>
      </c>
      <c r="AA72" s="36">
        <v>64000000</v>
      </c>
      <c r="AB72" s="36">
        <v>56100000</v>
      </c>
      <c r="AC72" s="36">
        <v>61900000</v>
      </c>
      <c r="AD72" s="36">
        <v>45400000</v>
      </c>
      <c r="AE72" s="36">
        <v>-11100000</v>
      </c>
      <c r="AF72" s="36">
        <v>36000000</v>
      </c>
      <c r="AG72" s="36">
        <v>28500000</v>
      </c>
      <c r="AH72" s="36">
        <v>31200000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FECE9-A91B-420F-956F-7F5613982284}">
  <sheetPr>
    <tabColor rgb="FF00B050"/>
  </sheetPr>
  <dimension ref="A1:EA76"/>
  <sheetViews>
    <sheetView workbookViewId="0">
      <selection activeCell="D15" sqref="D15"/>
    </sheetView>
  </sheetViews>
  <sheetFormatPr defaultRowHeight="14.5"/>
  <cols>
    <col min="1" max="1" width="49.90625" bestFit="1" customWidth="1"/>
    <col min="2" max="42" width="12.90625" bestFit="1" customWidth="1"/>
    <col min="43" max="83" width="12.1796875" bestFit="1" customWidth="1"/>
    <col min="84" max="107" width="11.36328125" bestFit="1" customWidth="1"/>
    <col min="108" max="131" width="10.7265625" bestFit="1" customWidth="1"/>
  </cols>
  <sheetData>
    <row r="1" spans="1:131">
      <c r="A1" t="s">
        <v>95</v>
      </c>
      <c r="B1" s="42">
        <v>44469</v>
      </c>
      <c r="C1" s="42">
        <v>44377</v>
      </c>
      <c r="D1" s="42">
        <v>44286</v>
      </c>
      <c r="E1" s="42">
        <v>44196</v>
      </c>
      <c r="F1" s="42">
        <v>44104</v>
      </c>
      <c r="G1" s="42">
        <v>44012</v>
      </c>
      <c r="H1" s="42">
        <v>43921</v>
      </c>
      <c r="I1" s="42">
        <v>43830</v>
      </c>
      <c r="J1" s="42">
        <v>43738</v>
      </c>
      <c r="K1" s="42">
        <v>43646</v>
      </c>
      <c r="L1" s="42">
        <v>43555</v>
      </c>
      <c r="M1" s="42">
        <v>43465</v>
      </c>
      <c r="N1" s="42">
        <v>43373</v>
      </c>
      <c r="O1" s="42">
        <v>43281</v>
      </c>
      <c r="P1" s="42">
        <v>43190</v>
      </c>
      <c r="Q1" s="42">
        <v>43100</v>
      </c>
      <c r="R1" s="42">
        <v>43008</v>
      </c>
      <c r="S1" s="42">
        <v>42916</v>
      </c>
      <c r="T1" s="42">
        <v>42825</v>
      </c>
      <c r="U1" s="42">
        <v>42735</v>
      </c>
      <c r="V1" s="42">
        <v>42643</v>
      </c>
      <c r="W1" s="42">
        <v>42551</v>
      </c>
      <c r="X1" s="42">
        <v>42460</v>
      </c>
      <c r="Y1" s="42">
        <v>42369</v>
      </c>
      <c r="Z1" s="42">
        <v>42277</v>
      </c>
      <c r="AA1" s="42">
        <v>42185</v>
      </c>
      <c r="AB1" s="42">
        <v>42094</v>
      </c>
      <c r="AC1" s="42">
        <v>42004</v>
      </c>
      <c r="AD1" s="42">
        <v>41912</v>
      </c>
      <c r="AE1" s="42">
        <v>41820</v>
      </c>
      <c r="AF1" s="42">
        <v>41729</v>
      </c>
      <c r="AG1" s="42">
        <v>41639</v>
      </c>
      <c r="AH1" s="42">
        <v>41547</v>
      </c>
      <c r="AI1" s="42">
        <v>41455</v>
      </c>
      <c r="AJ1" s="42">
        <v>41364</v>
      </c>
      <c r="AK1" s="42">
        <v>41274</v>
      </c>
      <c r="AL1" s="42">
        <v>41182</v>
      </c>
      <c r="AM1" s="42">
        <v>41090</v>
      </c>
      <c r="AN1" s="42">
        <v>40999</v>
      </c>
      <c r="AO1" s="42">
        <v>40908</v>
      </c>
      <c r="AP1" s="42">
        <v>40816</v>
      </c>
      <c r="AQ1" s="42">
        <v>40724</v>
      </c>
      <c r="AR1" s="42">
        <v>40633</v>
      </c>
      <c r="AS1" s="42">
        <v>40543</v>
      </c>
      <c r="AT1" s="42">
        <v>40451</v>
      </c>
      <c r="AU1" s="42">
        <v>40359</v>
      </c>
      <c r="AV1" s="42">
        <v>40268</v>
      </c>
      <c r="AW1" s="42">
        <v>40178</v>
      </c>
      <c r="AX1" s="42">
        <v>40086</v>
      </c>
      <c r="AY1" s="42">
        <v>39994</v>
      </c>
      <c r="AZ1" s="42">
        <v>39903</v>
      </c>
      <c r="BA1" s="42">
        <v>39813</v>
      </c>
      <c r="BB1" s="42">
        <v>39721</v>
      </c>
      <c r="BC1" s="42">
        <v>39629</v>
      </c>
      <c r="BD1" s="42">
        <v>39538</v>
      </c>
      <c r="BE1" s="42">
        <v>39447</v>
      </c>
      <c r="BF1" s="42">
        <v>39355</v>
      </c>
      <c r="BG1" s="42">
        <v>39263</v>
      </c>
      <c r="BH1" s="42">
        <v>39172</v>
      </c>
      <c r="BI1" s="42">
        <v>39082</v>
      </c>
      <c r="BJ1" s="42">
        <v>38990</v>
      </c>
      <c r="BK1" s="42">
        <v>38898</v>
      </c>
      <c r="BL1" s="42">
        <v>38807</v>
      </c>
      <c r="BM1" s="42">
        <v>38717</v>
      </c>
      <c r="BN1" s="42">
        <v>38625</v>
      </c>
      <c r="BO1" s="42">
        <v>38533</v>
      </c>
      <c r="BP1" s="42">
        <v>38442</v>
      </c>
      <c r="BQ1" s="42">
        <v>38352</v>
      </c>
      <c r="BR1" s="42">
        <v>38260</v>
      </c>
      <c r="BS1" s="42">
        <v>38168</v>
      </c>
      <c r="BT1" s="42">
        <v>38077</v>
      </c>
      <c r="BU1" s="42">
        <v>37986</v>
      </c>
      <c r="BV1" s="42">
        <v>37894</v>
      </c>
      <c r="BW1" s="42">
        <v>37802</v>
      </c>
      <c r="BX1" s="42">
        <v>37711</v>
      </c>
      <c r="BY1" s="42">
        <v>37621</v>
      </c>
      <c r="BZ1" s="42">
        <v>37529</v>
      </c>
      <c r="CA1" s="42">
        <v>37437</v>
      </c>
      <c r="CB1" s="42">
        <v>37346</v>
      </c>
      <c r="CC1" s="42">
        <v>37256</v>
      </c>
      <c r="CD1" s="42">
        <v>37164</v>
      </c>
      <c r="CE1" s="42">
        <v>37072</v>
      </c>
      <c r="CF1" s="42">
        <v>36981</v>
      </c>
      <c r="CG1" s="42">
        <v>36891</v>
      </c>
      <c r="CH1" s="42">
        <v>36799</v>
      </c>
      <c r="CI1" s="42">
        <v>36707</v>
      </c>
      <c r="CJ1" s="42">
        <v>36616</v>
      </c>
      <c r="CK1" s="42">
        <v>36525</v>
      </c>
      <c r="CL1" s="42">
        <v>36433</v>
      </c>
      <c r="CM1" s="42">
        <v>36341</v>
      </c>
      <c r="CN1" s="42">
        <v>36250</v>
      </c>
      <c r="CO1" s="42">
        <v>36160</v>
      </c>
      <c r="CP1" s="42">
        <v>36068</v>
      </c>
      <c r="CQ1" s="42">
        <v>35976</v>
      </c>
      <c r="CR1" s="42">
        <v>35885</v>
      </c>
      <c r="CS1" s="42">
        <v>35795</v>
      </c>
      <c r="CT1" s="42">
        <v>35703</v>
      </c>
      <c r="CU1" s="42">
        <v>35611</v>
      </c>
      <c r="CV1" s="42">
        <v>35520</v>
      </c>
      <c r="CW1" s="42">
        <v>35430</v>
      </c>
      <c r="CX1" s="42">
        <v>35338</v>
      </c>
      <c r="CY1" s="42">
        <v>35246</v>
      </c>
      <c r="CZ1" s="42">
        <v>35155</v>
      </c>
      <c r="DA1" s="42">
        <v>35064</v>
      </c>
      <c r="DB1" s="42">
        <v>34972</v>
      </c>
      <c r="DC1" s="42">
        <v>34880</v>
      </c>
      <c r="DD1" s="42">
        <v>34789</v>
      </c>
      <c r="DE1" s="42">
        <v>34699</v>
      </c>
      <c r="DF1" s="42">
        <v>34424</v>
      </c>
      <c r="DG1" s="42">
        <v>34334</v>
      </c>
      <c r="DH1" s="42">
        <v>34242</v>
      </c>
      <c r="DI1" s="42">
        <v>34150</v>
      </c>
      <c r="DJ1" s="42">
        <v>34059</v>
      </c>
      <c r="DK1" s="42">
        <v>33969</v>
      </c>
      <c r="DL1" s="42">
        <v>33877</v>
      </c>
      <c r="DM1" s="42">
        <v>33785</v>
      </c>
      <c r="DN1" s="42">
        <v>33694</v>
      </c>
      <c r="DO1" s="42">
        <v>33603</v>
      </c>
      <c r="DP1" s="42">
        <v>33511</v>
      </c>
      <c r="DQ1" s="42">
        <v>33419</v>
      </c>
      <c r="DR1" s="42">
        <v>33328</v>
      </c>
      <c r="DS1" s="42">
        <v>33238</v>
      </c>
      <c r="DT1" s="42">
        <v>33146</v>
      </c>
      <c r="DU1" s="42">
        <v>33054</v>
      </c>
      <c r="DV1" s="42">
        <v>32963</v>
      </c>
      <c r="DW1" s="42">
        <v>32873</v>
      </c>
      <c r="DX1" s="42">
        <v>32781</v>
      </c>
      <c r="DY1" s="42">
        <v>32689</v>
      </c>
      <c r="DZ1" s="42">
        <v>32508</v>
      </c>
      <c r="EA1" s="42">
        <v>32142</v>
      </c>
    </row>
    <row r="2" spans="1:131">
      <c r="A2" t="s">
        <v>142</v>
      </c>
      <c r="B2" s="36">
        <v>2814487000</v>
      </c>
      <c r="C2" s="36">
        <v>2664233000</v>
      </c>
      <c r="D2" s="36">
        <v>2627661000</v>
      </c>
      <c r="E2" s="36">
        <v>2693412000</v>
      </c>
      <c r="F2" s="36">
        <v>2501518000</v>
      </c>
      <c r="G2" s="36">
        <v>2657534000</v>
      </c>
      <c r="H2" s="36">
        <v>2389483000</v>
      </c>
      <c r="I2" s="36">
        <v>2581145000</v>
      </c>
      <c r="J2" s="36">
        <v>2658011000</v>
      </c>
      <c r="K2" s="36">
        <v>2532806000</v>
      </c>
      <c r="L2" s="36">
        <v>2132470000</v>
      </c>
      <c r="M2" s="36">
        <v>2024183000</v>
      </c>
      <c r="N2" s="36">
        <v>2128948000</v>
      </c>
      <c r="O2" s="36">
        <v>2079216000</v>
      </c>
      <c r="P2" s="36">
        <v>2004591000</v>
      </c>
      <c r="Q2" s="36">
        <v>2064159000</v>
      </c>
      <c r="R2" s="36">
        <v>2176572000</v>
      </c>
      <c r="S2" s="36">
        <v>2109457000</v>
      </c>
      <c r="T2" s="36">
        <v>1958279000</v>
      </c>
      <c r="U2" s="36">
        <v>1973181000</v>
      </c>
      <c r="V2" s="36">
        <v>2083109000</v>
      </c>
      <c r="W2" s="36">
        <v>2072381000</v>
      </c>
      <c r="X2" s="36">
        <v>2003760000</v>
      </c>
      <c r="Y2" s="36">
        <v>1994907000</v>
      </c>
      <c r="Z2" s="36">
        <v>2098946000</v>
      </c>
      <c r="AA2" s="36">
        <v>2076278000</v>
      </c>
      <c r="AB2" s="36">
        <v>2005901000</v>
      </c>
      <c r="AC2" s="36">
        <v>2038319000</v>
      </c>
      <c r="AD2" s="36">
        <v>2117076000</v>
      </c>
      <c r="AE2" s="36">
        <v>2085796000</v>
      </c>
      <c r="AF2" s="36">
        <v>1973235000</v>
      </c>
      <c r="AG2" s="36">
        <v>2014627000</v>
      </c>
      <c r="AH2" s="36">
        <v>2101047000</v>
      </c>
      <c r="AI2" s="36">
        <v>2080895000</v>
      </c>
      <c r="AJ2" s="36">
        <v>2015656000</v>
      </c>
      <c r="AK2" s="36">
        <v>2027622000</v>
      </c>
      <c r="AL2" s="36">
        <v>2089837000</v>
      </c>
      <c r="AM2" s="36">
        <v>2141898000</v>
      </c>
      <c r="AN2" s="36">
        <v>2113126000</v>
      </c>
      <c r="AO2" s="36">
        <v>2074557000</v>
      </c>
      <c r="AP2" s="36">
        <v>2159339000</v>
      </c>
      <c r="AQ2" s="36">
        <v>2173732000</v>
      </c>
      <c r="AR2" s="36">
        <v>2140643000</v>
      </c>
      <c r="AS2" s="36">
        <v>2082444000</v>
      </c>
      <c r="AT2" s="36">
        <v>2203488000</v>
      </c>
      <c r="AU2" s="36">
        <v>2260856000</v>
      </c>
      <c r="AV2" s="36">
        <v>2237180000</v>
      </c>
      <c r="AW2" s="36">
        <v>2145439000</v>
      </c>
      <c r="AX2" s="36">
        <v>2209093000</v>
      </c>
      <c r="AY2" s="36">
        <v>2295215000</v>
      </c>
      <c r="AZ2" s="36">
        <v>2228291000</v>
      </c>
      <c r="BA2" s="36">
        <v>2186083000</v>
      </c>
      <c r="BB2" s="36">
        <v>2435260000</v>
      </c>
      <c r="BC2" s="36">
        <v>2529641000</v>
      </c>
      <c r="BD2" s="36">
        <v>2475263000</v>
      </c>
      <c r="BE2" s="36">
        <v>2418668000</v>
      </c>
      <c r="BF2" s="36">
        <v>2508227000</v>
      </c>
      <c r="BG2" s="36">
        <v>2600375000</v>
      </c>
      <c r="BH2" s="36">
        <v>2530747000</v>
      </c>
      <c r="BI2" s="36">
        <v>2510921000</v>
      </c>
      <c r="BJ2" s="36">
        <v>2640828000</v>
      </c>
      <c r="BK2" s="36">
        <v>1072249000</v>
      </c>
      <c r="BL2" s="36">
        <v>1037886000</v>
      </c>
      <c r="BM2" s="36">
        <v>1024794000</v>
      </c>
      <c r="BN2" s="36">
        <v>1028826000</v>
      </c>
      <c r="BO2" s="36">
        <v>1072787000</v>
      </c>
      <c r="BP2" s="36">
        <v>1020757000</v>
      </c>
      <c r="BQ2" s="36">
        <v>993208000</v>
      </c>
      <c r="BR2" s="36">
        <v>1000001000</v>
      </c>
      <c r="BS2" s="36">
        <v>1017949000</v>
      </c>
      <c r="BT2" s="36">
        <v>840657000</v>
      </c>
      <c r="BU2" s="36">
        <v>819341000</v>
      </c>
      <c r="BV2" s="36">
        <v>830795000</v>
      </c>
      <c r="BW2" s="36">
        <v>860788000</v>
      </c>
      <c r="BX2" s="36">
        <v>837414000</v>
      </c>
      <c r="BY2" s="36">
        <v>822257000</v>
      </c>
      <c r="BZ2" s="36">
        <v>832402000</v>
      </c>
      <c r="CA2" s="36">
        <v>857169000</v>
      </c>
      <c r="CB2" s="36">
        <v>829107000</v>
      </c>
      <c r="CC2" s="36">
        <v>810231000</v>
      </c>
      <c r="CD2" s="36">
        <v>828026000</v>
      </c>
      <c r="CE2" s="36">
        <v>846824000</v>
      </c>
      <c r="CF2" s="36">
        <v>777785000</v>
      </c>
      <c r="CG2" s="36">
        <v>764143000</v>
      </c>
      <c r="CH2" s="36">
        <v>777039000</v>
      </c>
      <c r="CI2" s="36">
        <v>792817000</v>
      </c>
      <c r="CJ2" s="36">
        <v>738017000</v>
      </c>
      <c r="CK2" s="36">
        <v>709000000</v>
      </c>
      <c r="CL2" s="36">
        <v>691500000</v>
      </c>
      <c r="CM2" s="36">
        <v>700800000</v>
      </c>
      <c r="CN2" s="36">
        <v>668100000</v>
      </c>
      <c r="CO2" s="36">
        <v>631300000</v>
      </c>
      <c r="CP2" s="36">
        <v>638800000</v>
      </c>
      <c r="CQ2" s="36">
        <v>654700000</v>
      </c>
      <c r="CR2" s="36">
        <v>621600000</v>
      </c>
      <c r="CS2" s="36">
        <v>599600000</v>
      </c>
      <c r="CT2" s="36">
        <v>325400000</v>
      </c>
      <c r="CU2" s="36">
        <v>343400000</v>
      </c>
      <c r="CV2" s="36">
        <v>317600000</v>
      </c>
      <c r="CW2" s="36">
        <v>304100000</v>
      </c>
      <c r="CX2" s="36">
        <v>298700000</v>
      </c>
      <c r="CY2" s="36">
        <v>310700000</v>
      </c>
      <c r="CZ2" s="36">
        <v>290300000</v>
      </c>
      <c r="DA2" s="36">
        <v>274700000</v>
      </c>
      <c r="DB2" s="36">
        <v>279500000</v>
      </c>
      <c r="DC2" s="36">
        <v>252300000</v>
      </c>
      <c r="DD2" s="36">
        <v>233900000</v>
      </c>
      <c r="DE2" s="36">
        <v>224000000</v>
      </c>
      <c r="DF2" s="36">
        <v>227000000</v>
      </c>
      <c r="DG2" s="36">
        <v>218400000</v>
      </c>
      <c r="DH2" s="36">
        <v>217300000</v>
      </c>
      <c r="DI2" s="36">
        <v>228600000</v>
      </c>
      <c r="DJ2" s="36">
        <v>216800000</v>
      </c>
      <c r="DK2" s="36">
        <v>209500000</v>
      </c>
      <c r="DL2" s="36">
        <v>207600000</v>
      </c>
      <c r="DM2" s="36">
        <v>155800000</v>
      </c>
      <c r="DN2" s="36">
        <v>148300000</v>
      </c>
      <c r="DO2" s="36">
        <v>142500000</v>
      </c>
      <c r="DP2" s="36">
        <v>147100000</v>
      </c>
      <c r="DQ2" s="36">
        <v>154600000</v>
      </c>
      <c r="DR2" s="36">
        <v>147400000</v>
      </c>
      <c r="DS2" s="36">
        <v>141700000</v>
      </c>
      <c r="DT2" s="36">
        <v>142200000</v>
      </c>
      <c r="DU2" s="36">
        <v>150400000</v>
      </c>
      <c r="DV2" s="36">
        <v>141500000</v>
      </c>
      <c r="DW2" s="36">
        <v>136000000</v>
      </c>
      <c r="DX2" s="36">
        <v>136900000</v>
      </c>
      <c r="DY2" s="36">
        <v>148400000</v>
      </c>
      <c r="DZ2" s="36">
        <v>135400000</v>
      </c>
      <c r="EA2" s="36">
        <v>136800000</v>
      </c>
    </row>
    <row r="3" spans="1:131">
      <c r="A3" t="s">
        <v>143</v>
      </c>
      <c r="B3" s="36">
        <v>748371000</v>
      </c>
      <c r="C3" s="36">
        <v>523744000</v>
      </c>
      <c r="D3" s="36">
        <v>479405000</v>
      </c>
      <c r="E3" s="36">
        <v>554511000</v>
      </c>
      <c r="F3" s="36">
        <v>340510000</v>
      </c>
      <c r="G3" s="36">
        <v>415286000</v>
      </c>
      <c r="H3" s="36">
        <v>92959000</v>
      </c>
      <c r="I3" s="36">
        <v>294181000</v>
      </c>
      <c r="J3" s="36">
        <v>384800000</v>
      </c>
      <c r="K3" s="36">
        <v>499582000</v>
      </c>
      <c r="L3" s="36">
        <v>185545000</v>
      </c>
      <c r="M3" s="36">
        <v>200209000</v>
      </c>
      <c r="N3" s="36">
        <v>307578000</v>
      </c>
      <c r="O3" s="36">
        <v>233142000</v>
      </c>
      <c r="P3" s="36">
        <v>153984000</v>
      </c>
      <c r="Q3" s="36">
        <v>246983000</v>
      </c>
      <c r="R3" s="36">
        <v>355113000</v>
      </c>
      <c r="S3" s="36">
        <v>262309000</v>
      </c>
      <c r="T3" s="36">
        <v>131234000</v>
      </c>
      <c r="U3" s="36">
        <v>195676000</v>
      </c>
      <c r="V3" s="36">
        <v>283706000</v>
      </c>
      <c r="W3" s="36">
        <v>224772000</v>
      </c>
      <c r="X3" s="36">
        <v>164838000</v>
      </c>
      <c r="Y3" s="36">
        <v>196214000</v>
      </c>
      <c r="Z3" s="36">
        <v>294813000</v>
      </c>
      <c r="AA3" s="36">
        <v>201929000</v>
      </c>
      <c r="AB3" s="36">
        <v>149073000</v>
      </c>
      <c r="AC3" s="36">
        <v>203717000</v>
      </c>
      <c r="AD3" s="36">
        <v>284757000</v>
      </c>
      <c r="AE3" s="36">
        <v>206564000</v>
      </c>
      <c r="AF3" s="36">
        <v>123434000</v>
      </c>
      <c r="AG3" s="36">
        <v>186497000</v>
      </c>
      <c r="AH3" s="36">
        <v>273143000</v>
      </c>
      <c r="AI3" s="36">
        <v>218469000</v>
      </c>
      <c r="AJ3" s="36">
        <v>126180000</v>
      </c>
      <c r="AK3" s="36">
        <v>141106000</v>
      </c>
      <c r="AL3" s="36">
        <v>187294000</v>
      </c>
      <c r="AM3" s="36">
        <v>176135000</v>
      </c>
      <c r="AN3" s="36">
        <v>104028000</v>
      </c>
      <c r="AO3" s="36">
        <v>98515000</v>
      </c>
      <c r="AP3" s="36">
        <v>186970000</v>
      </c>
      <c r="AQ3" s="36">
        <v>142134000</v>
      </c>
      <c r="AR3" s="36">
        <v>86474000</v>
      </c>
      <c r="AS3" s="36">
        <v>70334000</v>
      </c>
      <c r="AT3" s="36">
        <v>144619000</v>
      </c>
      <c r="AU3" s="36">
        <v>171124000</v>
      </c>
      <c r="AV3" s="36">
        <v>123140000</v>
      </c>
      <c r="AW3" s="36">
        <v>61308000</v>
      </c>
      <c r="AX3" s="36">
        <v>131776000</v>
      </c>
      <c r="AY3" s="36">
        <v>158723000</v>
      </c>
      <c r="AZ3" s="36">
        <v>95385000</v>
      </c>
      <c r="BA3" s="36">
        <v>64534000</v>
      </c>
      <c r="BB3" s="36">
        <v>153659000</v>
      </c>
      <c r="BC3" s="36">
        <v>181388000</v>
      </c>
      <c r="BD3" s="36">
        <v>112804000</v>
      </c>
      <c r="BE3" s="36">
        <v>62748000</v>
      </c>
      <c r="BF3" s="36">
        <v>143901000</v>
      </c>
      <c r="BG3" s="36">
        <v>164482000</v>
      </c>
      <c r="BH3" s="36">
        <v>106607000</v>
      </c>
      <c r="BI3" s="36">
        <v>104508000</v>
      </c>
      <c r="BJ3" s="36">
        <v>201331000</v>
      </c>
      <c r="BK3" s="36">
        <v>75387000</v>
      </c>
      <c r="BL3" s="36">
        <v>43047000</v>
      </c>
      <c r="BM3" s="36">
        <v>40610000</v>
      </c>
      <c r="BN3" s="36">
        <v>58197000</v>
      </c>
      <c r="BO3" s="36">
        <v>73874000</v>
      </c>
      <c r="BP3" s="36">
        <v>38698000</v>
      </c>
      <c r="BQ3" s="36">
        <v>32960000</v>
      </c>
      <c r="BR3" s="36">
        <v>52803000</v>
      </c>
      <c r="BS3" s="36">
        <v>68355000</v>
      </c>
      <c r="BT3" s="36">
        <v>34318000</v>
      </c>
      <c r="BU3" s="36">
        <v>29777000</v>
      </c>
      <c r="BV3" s="36">
        <v>44599000</v>
      </c>
      <c r="BW3" s="36">
        <v>60500000</v>
      </c>
      <c r="BX3" s="36">
        <v>33638000</v>
      </c>
      <c r="BY3" s="36">
        <v>29237000</v>
      </c>
      <c r="BZ3" s="36">
        <v>45090000</v>
      </c>
      <c r="CA3" s="36">
        <v>63925000</v>
      </c>
      <c r="CB3" s="36">
        <v>34827000</v>
      </c>
      <c r="CC3" s="36">
        <v>26868000</v>
      </c>
      <c r="CD3" s="36">
        <v>46728000</v>
      </c>
      <c r="CE3" s="36">
        <v>55726000</v>
      </c>
      <c r="CF3" s="36">
        <v>31828000</v>
      </c>
      <c r="CG3" s="36">
        <v>25378000</v>
      </c>
      <c r="CH3" s="36">
        <v>42134000</v>
      </c>
      <c r="CI3" s="36">
        <v>54565000</v>
      </c>
      <c r="CJ3" s="36">
        <v>28187000</v>
      </c>
      <c r="CK3" s="36">
        <v>24200000</v>
      </c>
      <c r="CL3" s="36">
        <v>40700000</v>
      </c>
      <c r="CM3" s="36">
        <v>52800000</v>
      </c>
      <c r="CN3" s="36">
        <v>26700000</v>
      </c>
      <c r="CO3" s="36">
        <v>21000000</v>
      </c>
      <c r="CP3" s="36">
        <v>36500000</v>
      </c>
      <c r="CQ3" s="36">
        <v>47700000</v>
      </c>
      <c r="CR3" s="36">
        <v>25500000</v>
      </c>
      <c r="CS3" s="36">
        <v>22000000</v>
      </c>
      <c r="CT3" s="36">
        <v>20300000</v>
      </c>
      <c r="CU3" s="36">
        <v>31500000</v>
      </c>
      <c r="CV3" s="36">
        <v>15400000</v>
      </c>
      <c r="CW3" s="36">
        <v>11700000</v>
      </c>
      <c r="CX3" s="36">
        <v>27200000</v>
      </c>
      <c r="CY3" s="36">
        <v>31400000</v>
      </c>
      <c r="CZ3" s="36">
        <v>14400000</v>
      </c>
      <c r="DA3" s="36">
        <v>9800000</v>
      </c>
      <c r="DB3" s="36">
        <v>19800000</v>
      </c>
      <c r="DC3" s="36">
        <v>22900000</v>
      </c>
      <c r="DD3" s="36">
        <v>11100000</v>
      </c>
      <c r="DE3" s="36">
        <v>8200000</v>
      </c>
      <c r="DF3" s="36">
        <v>12000000</v>
      </c>
      <c r="DG3" s="36">
        <v>6900000</v>
      </c>
      <c r="DH3" s="36">
        <v>11100000</v>
      </c>
      <c r="DI3" s="36">
        <v>19000000</v>
      </c>
      <c r="DJ3" s="36">
        <v>10100000</v>
      </c>
      <c r="DK3" s="36">
        <v>7300000</v>
      </c>
      <c r="DL3" s="36">
        <v>10900000</v>
      </c>
      <c r="DM3" s="36">
        <v>14400000</v>
      </c>
      <c r="DN3" s="36">
        <v>8600000</v>
      </c>
      <c r="DO3" s="36">
        <v>6300000</v>
      </c>
      <c r="DP3" s="36">
        <v>13100000</v>
      </c>
      <c r="DQ3" s="36">
        <v>15700000</v>
      </c>
      <c r="DR3" s="36">
        <v>8800000</v>
      </c>
      <c r="DS3" s="36">
        <v>5600000</v>
      </c>
      <c r="DT3" s="36">
        <v>8200000</v>
      </c>
      <c r="DU3" s="36">
        <v>14000000</v>
      </c>
      <c r="DV3" s="36">
        <v>7800000</v>
      </c>
      <c r="DW3" s="36">
        <v>5600000</v>
      </c>
      <c r="DX3" s="36">
        <v>7500000</v>
      </c>
      <c r="DY3" s="36">
        <v>14500000</v>
      </c>
      <c r="DZ3" s="36">
        <v>5500000</v>
      </c>
      <c r="EA3" s="36">
        <v>5900000</v>
      </c>
    </row>
    <row r="4" spans="1:131">
      <c r="A4" t="s">
        <v>144</v>
      </c>
      <c r="B4" s="36">
        <v>562661000</v>
      </c>
      <c r="C4" s="36">
        <v>292596000</v>
      </c>
      <c r="D4" s="36">
        <v>271730000</v>
      </c>
      <c r="E4" s="36">
        <v>376736000</v>
      </c>
      <c r="F4" s="36">
        <v>225470000</v>
      </c>
      <c r="G4" s="36">
        <v>301135000</v>
      </c>
      <c r="H4" s="36">
        <v>26295000</v>
      </c>
      <c r="I4" s="36">
        <v>182252000</v>
      </c>
      <c r="J4" s="36">
        <v>258116000</v>
      </c>
      <c r="K4" s="36">
        <v>324742000</v>
      </c>
      <c r="L4" s="36">
        <v>60272000</v>
      </c>
      <c r="M4" s="36">
        <v>105349000</v>
      </c>
      <c r="N4" s="36">
        <v>190756000</v>
      </c>
      <c r="O4" s="36">
        <v>60119000</v>
      </c>
      <c r="P4" s="36">
        <v>42888000</v>
      </c>
      <c r="Q4" s="36">
        <v>166245000</v>
      </c>
      <c r="R4" s="36">
        <v>249946000</v>
      </c>
      <c r="S4" s="36">
        <v>101083000</v>
      </c>
      <c r="T4" s="36">
        <v>34242000</v>
      </c>
      <c r="U4" s="36">
        <v>122716000</v>
      </c>
      <c r="V4" s="36">
        <v>187302000</v>
      </c>
      <c r="W4" s="36">
        <v>68085000</v>
      </c>
      <c r="X4" s="36">
        <v>64551000</v>
      </c>
      <c r="Y4" s="36">
        <v>119557000</v>
      </c>
      <c r="Z4" s="36">
        <v>196323000</v>
      </c>
      <c r="AA4" s="36">
        <v>35447000</v>
      </c>
      <c r="AB4" s="36">
        <v>19725000</v>
      </c>
      <c r="AC4" s="36">
        <v>131840000</v>
      </c>
      <c r="AD4" s="36">
        <v>189374000</v>
      </c>
      <c r="AE4" s="36">
        <v>40134000</v>
      </c>
      <c r="AF4" s="36">
        <v>8867000</v>
      </c>
      <c r="AG4" s="36">
        <v>118056000</v>
      </c>
      <c r="AH4" s="36">
        <v>183482000</v>
      </c>
      <c r="AI4" s="36">
        <v>43628000</v>
      </c>
      <c r="AJ4" s="36">
        <v>10038000</v>
      </c>
      <c r="AK4" s="36">
        <v>78830000</v>
      </c>
      <c r="AL4" s="36">
        <v>96102000</v>
      </c>
      <c r="AM4" s="36">
        <v>35929000</v>
      </c>
      <c r="AN4" s="36">
        <v>7319000</v>
      </c>
      <c r="AO4" s="36">
        <v>35524000</v>
      </c>
      <c r="AP4" s="36">
        <v>96312000</v>
      </c>
      <c r="AQ4" s="36">
        <v>35679000</v>
      </c>
      <c r="AR4" s="36">
        <v>7255000</v>
      </c>
      <c r="AS4" s="36">
        <v>9765000</v>
      </c>
      <c r="AT4" s="36">
        <v>61701000</v>
      </c>
      <c r="AU4" s="36">
        <v>23930000</v>
      </c>
      <c r="AV4" s="36">
        <v>5374000</v>
      </c>
      <c r="AW4" s="36">
        <v>11928000</v>
      </c>
      <c r="AX4" s="36">
        <v>56203000</v>
      </c>
      <c r="AY4" s="36">
        <v>31982000</v>
      </c>
      <c r="AZ4" s="36">
        <v>7906000</v>
      </c>
      <c r="BA4" s="36">
        <v>13873000</v>
      </c>
      <c r="BB4" s="36">
        <v>71694000</v>
      </c>
      <c r="BC4" s="36">
        <v>32911000</v>
      </c>
      <c r="BD4" s="36">
        <v>12054000</v>
      </c>
      <c r="BE4" s="36">
        <v>5501000</v>
      </c>
      <c r="BF4" s="36">
        <v>36970000</v>
      </c>
      <c r="BG4" s="36">
        <v>36152000</v>
      </c>
      <c r="BH4" s="36">
        <v>22871000</v>
      </c>
      <c r="BI4" s="36">
        <v>30203000</v>
      </c>
      <c r="BJ4" s="36">
        <v>87848000</v>
      </c>
      <c r="BK4" s="36">
        <v>18751000</v>
      </c>
      <c r="BL4" s="36">
        <v>4533000</v>
      </c>
      <c r="BM4" s="36">
        <v>4421000</v>
      </c>
      <c r="BN4" s="36">
        <v>8647000</v>
      </c>
      <c r="BO4" s="36">
        <v>18834000</v>
      </c>
      <c r="BP4" s="36">
        <v>4600000</v>
      </c>
      <c r="BQ4" s="36">
        <v>3353000</v>
      </c>
      <c r="BR4" s="36">
        <v>9783000</v>
      </c>
      <c r="BS4" s="36">
        <v>15485000</v>
      </c>
      <c r="BT4" s="36">
        <v>3218000</v>
      </c>
      <c r="BU4" s="36">
        <v>2194000</v>
      </c>
      <c r="BV4" s="36">
        <v>6121000</v>
      </c>
      <c r="BW4" s="36">
        <v>11717000</v>
      </c>
      <c r="BX4" s="36">
        <v>2736000</v>
      </c>
      <c r="BY4" s="36">
        <v>2171000</v>
      </c>
      <c r="BZ4" s="36">
        <v>5408000</v>
      </c>
      <c r="CA4" s="36">
        <v>14161000</v>
      </c>
      <c r="CB4" s="36">
        <v>2669000</v>
      </c>
      <c r="CC4" s="36">
        <v>2280000</v>
      </c>
      <c r="CD4" s="36">
        <v>6078000</v>
      </c>
      <c r="CE4" s="36">
        <v>11409000</v>
      </c>
      <c r="CF4" s="36">
        <v>2519000</v>
      </c>
      <c r="CG4" s="36">
        <v>2392000</v>
      </c>
      <c r="CH4" s="36">
        <v>4667000</v>
      </c>
      <c r="CI4" s="36">
        <v>10547000</v>
      </c>
      <c r="CJ4" s="36">
        <v>2550000</v>
      </c>
      <c r="CK4" s="36">
        <v>600000</v>
      </c>
      <c r="CL4" s="36">
        <v>5900000</v>
      </c>
      <c r="CM4" s="36">
        <v>10400000</v>
      </c>
      <c r="CN4" s="36">
        <v>2300000</v>
      </c>
      <c r="CO4" s="36">
        <v>1100000</v>
      </c>
      <c r="CP4" s="36">
        <v>5700000</v>
      </c>
      <c r="CQ4" s="36">
        <v>10000000</v>
      </c>
      <c r="CR4" s="36">
        <v>1200000</v>
      </c>
      <c r="CS4" s="36">
        <v>2500000</v>
      </c>
      <c r="CT4" s="36">
        <v>1400000</v>
      </c>
      <c r="CU4" s="36">
        <v>4800000</v>
      </c>
      <c r="CV4" s="36">
        <v>600000</v>
      </c>
      <c r="CW4" s="36">
        <v>1300000</v>
      </c>
      <c r="CX4" s="36">
        <v>7000000</v>
      </c>
      <c r="CY4" s="36">
        <v>5200000</v>
      </c>
      <c r="CZ4" s="36">
        <v>100000</v>
      </c>
      <c r="DA4" s="36">
        <v>100000</v>
      </c>
      <c r="DB4" s="36">
        <v>1500000</v>
      </c>
      <c r="DC4" s="36">
        <v>3800000</v>
      </c>
      <c r="DD4" s="36">
        <v>700000</v>
      </c>
      <c r="DE4" s="36">
        <v>400000</v>
      </c>
      <c r="DF4" s="36">
        <v>800000</v>
      </c>
      <c r="DG4" s="36">
        <v>200000</v>
      </c>
      <c r="DH4" s="36">
        <v>900000</v>
      </c>
      <c r="DI4" s="36">
        <v>2200000</v>
      </c>
      <c r="DJ4" s="36">
        <v>200000</v>
      </c>
      <c r="DK4" s="36">
        <v>100000</v>
      </c>
      <c r="DL4" s="36">
        <v>700000</v>
      </c>
      <c r="DM4" s="36">
        <v>2000000</v>
      </c>
      <c r="DN4" s="36">
        <v>100000</v>
      </c>
      <c r="DO4" s="36">
        <v>200000</v>
      </c>
      <c r="DP4" s="36">
        <v>4400000</v>
      </c>
      <c r="DQ4" s="36">
        <v>1800000</v>
      </c>
      <c r="DR4" s="36">
        <v>300000</v>
      </c>
      <c r="DS4" s="36">
        <v>100000</v>
      </c>
      <c r="DT4" s="36">
        <v>400000</v>
      </c>
      <c r="DU4" s="36">
        <v>2400000</v>
      </c>
      <c r="DV4" s="36">
        <v>400000</v>
      </c>
      <c r="DW4" s="36">
        <v>500000</v>
      </c>
      <c r="DX4" s="36">
        <v>200000</v>
      </c>
      <c r="DY4" s="36">
        <v>2500000</v>
      </c>
      <c r="DZ4" s="36">
        <v>200000</v>
      </c>
      <c r="EA4" s="36">
        <v>400000</v>
      </c>
    </row>
    <row r="5" spans="1:131">
      <c r="A5" t="s">
        <v>145</v>
      </c>
      <c r="B5" s="36">
        <v>562661000</v>
      </c>
      <c r="C5" s="36">
        <v>292596000</v>
      </c>
      <c r="D5" s="36">
        <v>271730000</v>
      </c>
      <c r="E5" s="36">
        <v>376736000</v>
      </c>
      <c r="F5" s="36">
        <v>225470000</v>
      </c>
      <c r="G5" s="36">
        <v>301135000</v>
      </c>
      <c r="H5" s="36">
        <v>26295000</v>
      </c>
      <c r="I5" s="36">
        <v>182252000</v>
      </c>
      <c r="J5" s="36">
        <v>258116000</v>
      </c>
      <c r="K5" s="36">
        <v>324742000</v>
      </c>
      <c r="L5" s="36">
        <v>60272000</v>
      </c>
      <c r="M5" s="36">
        <v>105349000</v>
      </c>
      <c r="N5" s="36">
        <v>190756000</v>
      </c>
      <c r="O5" s="36">
        <v>60119000</v>
      </c>
      <c r="P5" s="36">
        <v>42888000</v>
      </c>
      <c r="Q5" s="36">
        <v>166245000</v>
      </c>
      <c r="R5" s="36">
        <v>249946000</v>
      </c>
      <c r="S5" s="36">
        <v>101083000</v>
      </c>
      <c r="T5" s="36">
        <v>34242000</v>
      </c>
      <c r="U5" s="36">
        <v>122716000</v>
      </c>
      <c r="V5" s="36">
        <v>187302000</v>
      </c>
      <c r="W5" s="36">
        <v>68085000</v>
      </c>
      <c r="X5" s="36">
        <v>64551000</v>
      </c>
      <c r="Y5" s="36">
        <v>119557000</v>
      </c>
      <c r="Z5" s="36">
        <v>196323000</v>
      </c>
      <c r="AA5" s="36">
        <v>35447000</v>
      </c>
      <c r="AB5" s="36">
        <v>19725000</v>
      </c>
      <c r="AC5" s="36">
        <v>131840000</v>
      </c>
      <c r="AD5" s="36">
        <v>189374000</v>
      </c>
      <c r="AE5" s="36">
        <v>40134000</v>
      </c>
      <c r="AF5" s="36">
        <v>8867000</v>
      </c>
      <c r="AG5" s="36">
        <v>118056000</v>
      </c>
      <c r="AH5" s="36">
        <v>183482000</v>
      </c>
      <c r="AI5" s="36">
        <v>43628000</v>
      </c>
      <c r="AJ5" s="36">
        <v>10038000</v>
      </c>
      <c r="AK5" s="36">
        <v>78830000</v>
      </c>
      <c r="AL5" s="36">
        <v>96102000</v>
      </c>
      <c r="AM5" s="36">
        <v>35929000</v>
      </c>
      <c r="AN5" s="36">
        <v>7319000</v>
      </c>
      <c r="AO5" s="36">
        <v>35524000</v>
      </c>
      <c r="AP5" s="36">
        <v>96312000</v>
      </c>
      <c r="AQ5" s="36">
        <v>35679000</v>
      </c>
      <c r="AR5" s="36">
        <v>7255000</v>
      </c>
      <c r="AS5" s="36">
        <v>9765000</v>
      </c>
      <c r="AT5" s="36">
        <v>61701000</v>
      </c>
      <c r="AU5" s="36">
        <v>23930000</v>
      </c>
      <c r="AV5" s="36">
        <v>5374000</v>
      </c>
      <c r="AW5" s="36">
        <v>11928000</v>
      </c>
      <c r="AX5" s="36">
        <v>56203000</v>
      </c>
      <c r="AY5" s="36">
        <v>31982000</v>
      </c>
      <c r="AZ5" s="36">
        <v>7906000</v>
      </c>
      <c r="BA5" s="36">
        <v>13873000</v>
      </c>
      <c r="BB5" s="36">
        <v>71694000</v>
      </c>
      <c r="BC5" s="36">
        <v>32911000</v>
      </c>
      <c r="BD5" s="36">
        <v>12054000</v>
      </c>
      <c r="BE5" s="36">
        <v>5501000</v>
      </c>
      <c r="BF5" s="36">
        <v>36970000</v>
      </c>
      <c r="BG5" s="36">
        <v>36152000</v>
      </c>
      <c r="BH5" s="36">
        <v>22871000</v>
      </c>
      <c r="BI5" s="36">
        <v>30203000</v>
      </c>
      <c r="BJ5" s="36">
        <v>87848000</v>
      </c>
      <c r="BK5" s="36">
        <v>18751000</v>
      </c>
      <c r="BL5" s="36">
        <v>4533000</v>
      </c>
      <c r="BM5" s="36">
        <v>4421000</v>
      </c>
      <c r="BN5" s="36">
        <v>8647000</v>
      </c>
      <c r="BO5" s="36">
        <v>18834000</v>
      </c>
      <c r="BP5" s="36">
        <v>4600000</v>
      </c>
      <c r="BQ5" s="36">
        <v>3353000</v>
      </c>
      <c r="BR5" s="36">
        <v>9783000</v>
      </c>
      <c r="BS5" s="36">
        <v>15485000</v>
      </c>
      <c r="BT5" s="36">
        <v>3218000</v>
      </c>
      <c r="BU5" s="36">
        <v>2194000</v>
      </c>
      <c r="BV5" s="36">
        <v>6121000</v>
      </c>
      <c r="BW5" s="36">
        <v>11717000</v>
      </c>
      <c r="BX5" s="36">
        <v>2736000</v>
      </c>
      <c r="BY5" s="36">
        <v>2171000</v>
      </c>
      <c r="BZ5" s="36">
        <v>5408000</v>
      </c>
      <c r="CA5" s="36">
        <v>14161000</v>
      </c>
      <c r="CB5" s="36">
        <v>2669000</v>
      </c>
      <c r="CC5" s="36">
        <v>2280000</v>
      </c>
      <c r="CD5" s="36">
        <v>6078000</v>
      </c>
      <c r="CE5" s="36">
        <v>11409000</v>
      </c>
      <c r="CF5" s="36">
        <v>2519000</v>
      </c>
      <c r="CG5" s="36">
        <v>2392000</v>
      </c>
      <c r="CH5" s="36">
        <v>4667000</v>
      </c>
      <c r="CI5" s="36">
        <v>10547000</v>
      </c>
      <c r="CJ5" s="36">
        <v>2550000</v>
      </c>
      <c r="CK5" s="36">
        <v>600000</v>
      </c>
      <c r="CL5" s="36">
        <v>5900000</v>
      </c>
      <c r="CM5" s="36">
        <v>10400000</v>
      </c>
      <c r="CN5" s="36">
        <v>2300000</v>
      </c>
      <c r="CO5" s="36">
        <v>1100000</v>
      </c>
      <c r="CP5" s="36">
        <v>5700000</v>
      </c>
      <c r="CQ5" s="36">
        <v>10000000</v>
      </c>
      <c r="CR5" s="36">
        <v>1200000</v>
      </c>
      <c r="CS5" s="36">
        <v>2500000</v>
      </c>
      <c r="CT5" s="36">
        <v>1400000</v>
      </c>
      <c r="CU5" s="36">
        <v>4800000</v>
      </c>
      <c r="CV5" s="36">
        <v>600000</v>
      </c>
      <c r="CW5" s="36">
        <v>1300000</v>
      </c>
      <c r="CX5" s="36">
        <v>7000000</v>
      </c>
      <c r="CY5" s="36">
        <v>5200000</v>
      </c>
      <c r="CZ5" s="36">
        <v>100000</v>
      </c>
      <c r="DA5" s="36">
        <v>100000</v>
      </c>
      <c r="DB5" s="36">
        <v>1500000</v>
      </c>
      <c r="DC5" s="36">
        <v>3800000</v>
      </c>
      <c r="DD5" s="36">
        <v>700000</v>
      </c>
      <c r="DE5" s="36">
        <v>400000</v>
      </c>
      <c r="DF5" s="36">
        <v>800000</v>
      </c>
      <c r="DG5" s="36">
        <v>200000</v>
      </c>
      <c r="DH5" s="36">
        <v>900000</v>
      </c>
      <c r="DI5" s="36">
        <v>2200000</v>
      </c>
      <c r="DJ5" s="36">
        <v>200000</v>
      </c>
      <c r="DK5" s="36">
        <v>100000</v>
      </c>
      <c r="DL5" s="36">
        <v>700000</v>
      </c>
      <c r="DM5" s="36">
        <v>2000000</v>
      </c>
      <c r="DN5" s="36">
        <v>100000</v>
      </c>
      <c r="DO5" s="36">
        <v>200000</v>
      </c>
      <c r="DP5" s="36">
        <v>4400000</v>
      </c>
      <c r="DQ5" s="36">
        <v>1800000</v>
      </c>
      <c r="DR5" s="36">
        <v>300000</v>
      </c>
      <c r="DS5" s="36">
        <v>100000</v>
      </c>
      <c r="DT5" s="36">
        <v>400000</v>
      </c>
      <c r="DU5" s="36">
        <v>2400000</v>
      </c>
      <c r="DV5" s="36">
        <v>400000</v>
      </c>
      <c r="DW5" s="36">
        <v>500000</v>
      </c>
      <c r="DX5" s="36">
        <v>200000</v>
      </c>
      <c r="DY5" s="36">
        <v>2500000</v>
      </c>
      <c r="DZ5" s="36">
        <v>200000</v>
      </c>
      <c r="EA5" s="36">
        <v>400000</v>
      </c>
    </row>
    <row r="6" spans="1:131">
      <c r="A6" t="s">
        <v>146</v>
      </c>
      <c r="B6" s="36">
        <v>124927000</v>
      </c>
      <c r="C6" s="36">
        <v>143867000</v>
      </c>
      <c r="D6" s="36">
        <v>126898000</v>
      </c>
      <c r="E6" s="36">
        <v>103549000</v>
      </c>
      <c r="F6" s="36">
        <v>40305000</v>
      </c>
      <c r="G6" s="36">
        <v>41822000</v>
      </c>
      <c r="H6" s="36">
        <v>25652000</v>
      </c>
      <c r="I6" s="36">
        <v>63106000</v>
      </c>
      <c r="J6" s="36">
        <v>68754000</v>
      </c>
      <c r="K6" s="36">
        <v>89546000</v>
      </c>
      <c r="L6" s="36">
        <v>44331000</v>
      </c>
      <c r="M6" s="36">
        <v>51518000</v>
      </c>
      <c r="N6" s="36">
        <v>58398000</v>
      </c>
      <c r="O6" s="36">
        <v>85379000</v>
      </c>
      <c r="P6" s="36">
        <v>30795000</v>
      </c>
      <c r="Q6" s="36">
        <v>37722000</v>
      </c>
      <c r="R6" s="36">
        <v>52303000</v>
      </c>
      <c r="S6" s="36">
        <v>83377000</v>
      </c>
      <c r="T6" s="36">
        <v>28585000</v>
      </c>
      <c r="U6" s="36">
        <v>35414000</v>
      </c>
      <c r="V6" s="36">
        <v>51536000</v>
      </c>
      <c r="W6" s="36">
        <v>78006000</v>
      </c>
      <c r="X6" s="36">
        <v>33914000</v>
      </c>
      <c r="Y6" s="36">
        <v>29494000</v>
      </c>
      <c r="Z6" s="36">
        <v>44979000</v>
      </c>
      <c r="AA6" s="36">
        <v>70019000</v>
      </c>
      <c r="AB6" s="36">
        <v>24125000</v>
      </c>
      <c r="AC6" s="36">
        <v>27395000</v>
      </c>
      <c r="AD6" s="36">
        <v>41262000</v>
      </c>
      <c r="AE6" s="36">
        <v>66561000</v>
      </c>
      <c r="AF6" s="36">
        <v>19630000</v>
      </c>
      <c r="AG6" s="36">
        <v>21333000</v>
      </c>
      <c r="AH6" s="36">
        <v>43196000</v>
      </c>
      <c r="AI6" s="36">
        <v>67199000</v>
      </c>
      <c r="AJ6" s="36">
        <v>13342000</v>
      </c>
      <c r="AK6" s="36">
        <v>18192000</v>
      </c>
      <c r="AL6" s="36">
        <v>39811000</v>
      </c>
      <c r="AM6" s="36">
        <v>53036000</v>
      </c>
      <c r="AN6" s="36">
        <v>15706000</v>
      </c>
      <c r="AO6" s="36">
        <v>7611000</v>
      </c>
      <c r="AP6" s="36">
        <v>38539000</v>
      </c>
      <c r="AQ6" s="36">
        <v>27436000</v>
      </c>
      <c r="AR6" s="36">
        <v>10377000</v>
      </c>
      <c r="AS6" s="36">
        <v>12340000</v>
      </c>
      <c r="AT6" s="36">
        <v>34764000</v>
      </c>
      <c r="AU6" s="36">
        <v>26782000</v>
      </c>
      <c r="AV6" s="36">
        <v>5640000</v>
      </c>
      <c r="AW6" s="36">
        <v>6535000</v>
      </c>
      <c r="AX6" s="36">
        <v>30341000</v>
      </c>
      <c r="AY6" s="36">
        <v>28263000</v>
      </c>
      <c r="AZ6" s="36">
        <v>5506000</v>
      </c>
      <c r="BA6" s="36">
        <v>8518000</v>
      </c>
      <c r="BB6" s="36">
        <v>38997000</v>
      </c>
      <c r="BC6" s="36">
        <v>45248000</v>
      </c>
      <c r="BD6" s="36">
        <v>6491000</v>
      </c>
      <c r="BE6" s="36">
        <v>16516000</v>
      </c>
      <c r="BF6" s="36">
        <v>58234000</v>
      </c>
      <c r="BG6" s="36">
        <v>56172000</v>
      </c>
      <c r="BH6" s="36">
        <v>16553000</v>
      </c>
      <c r="BI6" s="36">
        <v>21796000</v>
      </c>
      <c r="BJ6" s="36">
        <v>59515000</v>
      </c>
      <c r="BK6" s="36">
        <v>16339000</v>
      </c>
      <c r="BL6" s="36">
        <v>3550000</v>
      </c>
      <c r="BM6" s="36">
        <v>7259000</v>
      </c>
      <c r="BN6" s="36">
        <v>22199000</v>
      </c>
      <c r="BO6" s="36">
        <v>16997000</v>
      </c>
      <c r="BP6" s="36">
        <v>2868000</v>
      </c>
      <c r="BQ6" s="36">
        <v>4766000</v>
      </c>
      <c r="BR6" s="36">
        <v>20482000</v>
      </c>
      <c r="BS6" s="36">
        <v>17435000</v>
      </c>
      <c r="BT6" s="36">
        <v>4098000</v>
      </c>
      <c r="BU6" s="36">
        <v>6560000</v>
      </c>
      <c r="BV6" s="36">
        <v>19101000</v>
      </c>
      <c r="BW6" s="36">
        <v>17678000</v>
      </c>
      <c r="BX6" s="36">
        <v>3337000</v>
      </c>
      <c r="BY6" s="36">
        <v>6623000</v>
      </c>
      <c r="BZ6" s="36">
        <v>20600000</v>
      </c>
      <c r="CA6" s="36">
        <v>19549000</v>
      </c>
      <c r="CB6" s="36">
        <v>4950000</v>
      </c>
      <c r="CC6" s="36">
        <v>4715000</v>
      </c>
      <c r="CD6" s="36">
        <v>21505000</v>
      </c>
      <c r="CE6" s="36">
        <v>14248000</v>
      </c>
      <c r="CF6" s="36">
        <v>3512000</v>
      </c>
      <c r="CG6" s="36">
        <v>5270000</v>
      </c>
      <c r="CH6" s="36">
        <v>20645000</v>
      </c>
      <c r="CI6" s="36">
        <v>15730000</v>
      </c>
      <c r="CJ6" s="36">
        <v>2446000</v>
      </c>
      <c r="CK6" s="36">
        <v>7500000</v>
      </c>
      <c r="CL6" s="36">
        <v>19900000</v>
      </c>
      <c r="CM6" s="36">
        <v>16600000</v>
      </c>
      <c r="CN6" s="36">
        <v>3100000</v>
      </c>
      <c r="CO6" s="36">
        <v>6300000</v>
      </c>
      <c r="CP6" s="36">
        <v>18900000</v>
      </c>
      <c r="CQ6" s="36">
        <v>14300000</v>
      </c>
      <c r="CR6" s="36">
        <v>5300000</v>
      </c>
      <c r="CS6" s="36">
        <v>6500000</v>
      </c>
      <c r="CT6" s="36">
        <v>13100000</v>
      </c>
      <c r="CU6" s="36">
        <v>10900000</v>
      </c>
      <c r="CV6" s="36">
        <v>1300000</v>
      </c>
      <c r="CW6" s="36">
        <v>3000000</v>
      </c>
      <c r="CX6" s="36">
        <v>14700000</v>
      </c>
      <c r="CY6" s="36">
        <v>10200000</v>
      </c>
      <c r="CZ6" s="36">
        <v>700000</v>
      </c>
      <c r="DA6" s="36">
        <v>2500000</v>
      </c>
      <c r="DB6" s="36">
        <v>13000000</v>
      </c>
      <c r="DC6" s="36">
        <v>6400000</v>
      </c>
      <c r="DD6" s="36">
        <v>200000</v>
      </c>
      <c r="DE6" s="36">
        <v>1400000</v>
      </c>
      <c r="DF6" s="36">
        <v>1800000</v>
      </c>
      <c r="DG6" s="36">
        <v>1200000</v>
      </c>
      <c r="DH6" s="36">
        <v>6300000</v>
      </c>
      <c r="DI6" s="36">
        <v>5200000</v>
      </c>
      <c r="DJ6" s="36">
        <v>200000</v>
      </c>
      <c r="DK6" s="36">
        <v>1000000</v>
      </c>
      <c r="DL6" s="36">
        <v>5800000</v>
      </c>
      <c r="DM6" s="36">
        <v>3700000</v>
      </c>
      <c r="DN6" s="36">
        <v>200000</v>
      </c>
      <c r="DO6" s="36">
        <v>800000</v>
      </c>
      <c r="DP6" s="36">
        <v>5100000</v>
      </c>
      <c r="DQ6" s="36">
        <v>4200000</v>
      </c>
      <c r="DR6" s="36">
        <v>200000</v>
      </c>
      <c r="DS6" s="36">
        <v>600000</v>
      </c>
      <c r="DT6" s="36">
        <v>4700000</v>
      </c>
      <c r="DU6" s="36">
        <v>2600000</v>
      </c>
      <c r="DV6" s="36">
        <v>200000</v>
      </c>
      <c r="DW6" s="36">
        <v>300000</v>
      </c>
      <c r="DX6" s="36">
        <v>4600000</v>
      </c>
      <c r="DY6" s="36">
        <v>3300000</v>
      </c>
      <c r="DZ6" s="36">
        <v>200000</v>
      </c>
      <c r="EA6" s="36">
        <v>200000</v>
      </c>
    </row>
    <row r="7" spans="1:131">
      <c r="A7" t="s">
        <v>147</v>
      </c>
      <c r="B7" s="36">
        <v>61749000</v>
      </c>
      <c r="C7" s="36">
        <v>52259000</v>
      </c>
      <c r="D7" s="36">
        <v>33402000</v>
      </c>
      <c r="E7" s="36">
        <v>34445000</v>
      </c>
      <c r="F7" s="36">
        <v>40305000</v>
      </c>
      <c r="G7" s="36">
        <v>41822000</v>
      </c>
      <c r="H7" s="36">
        <v>25652000</v>
      </c>
      <c r="I7" s="36">
        <v>63106000</v>
      </c>
      <c r="J7" s="36">
        <v>68754000</v>
      </c>
      <c r="K7" s="36">
        <v>89546000</v>
      </c>
      <c r="L7" s="36">
        <v>44331000</v>
      </c>
      <c r="M7" s="36">
        <v>51518000</v>
      </c>
      <c r="N7" s="36">
        <v>58398000</v>
      </c>
      <c r="O7" s="36">
        <v>85379000</v>
      </c>
      <c r="P7" s="36">
        <v>30795000</v>
      </c>
      <c r="Q7" s="36">
        <v>37722000</v>
      </c>
      <c r="R7" s="36">
        <v>52303000</v>
      </c>
      <c r="S7" s="36">
        <v>83377000</v>
      </c>
      <c r="T7" s="36">
        <v>28585000</v>
      </c>
      <c r="U7" s="36">
        <v>35414000</v>
      </c>
      <c r="V7" s="36">
        <v>51536000</v>
      </c>
      <c r="W7" s="36">
        <v>78006000</v>
      </c>
      <c r="X7" s="36">
        <v>33914000</v>
      </c>
      <c r="Y7" s="36">
        <v>29494000</v>
      </c>
      <c r="Z7" s="36">
        <v>44979000</v>
      </c>
      <c r="AA7" s="36">
        <v>70019000</v>
      </c>
      <c r="AB7" s="36">
        <v>24125000</v>
      </c>
      <c r="AC7" s="36">
        <v>27395000</v>
      </c>
      <c r="AD7" s="36">
        <v>41262000</v>
      </c>
      <c r="AE7" s="36">
        <v>66561000</v>
      </c>
      <c r="AF7" s="36">
        <v>19630000</v>
      </c>
      <c r="AG7" s="36">
        <v>21333000</v>
      </c>
      <c r="AH7" s="36">
        <v>42534000</v>
      </c>
      <c r="AI7" s="36">
        <v>67199000</v>
      </c>
      <c r="AJ7" s="36">
        <v>13342000</v>
      </c>
      <c r="AK7" s="36">
        <v>18192000</v>
      </c>
      <c r="AL7" s="36">
        <v>29357000</v>
      </c>
      <c r="AM7" s="36">
        <v>42953000</v>
      </c>
      <c r="AN7" s="36">
        <v>6693000</v>
      </c>
      <c r="BA7" s="36">
        <v>8518000</v>
      </c>
      <c r="BB7" s="36">
        <v>38997000</v>
      </c>
      <c r="BC7" s="36">
        <v>45248000</v>
      </c>
      <c r="BD7" s="36">
        <v>6491000</v>
      </c>
      <c r="BE7" s="36">
        <v>16516000</v>
      </c>
      <c r="BF7" s="36">
        <v>58234000</v>
      </c>
      <c r="BG7" s="36">
        <v>56172000</v>
      </c>
      <c r="BH7" s="36">
        <v>16553000</v>
      </c>
      <c r="BI7" s="36">
        <v>21796000</v>
      </c>
      <c r="BJ7" s="36">
        <v>59515000</v>
      </c>
      <c r="BK7" s="36">
        <v>16339000</v>
      </c>
      <c r="BL7" s="36">
        <v>3550000</v>
      </c>
      <c r="BM7" s="36">
        <v>7259000</v>
      </c>
      <c r="BN7" s="36">
        <v>22199000</v>
      </c>
      <c r="BO7" s="36">
        <v>16997000</v>
      </c>
      <c r="BP7" s="36">
        <v>2868000</v>
      </c>
      <c r="BQ7" s="36">
        <v>4766000</v>
      </c>
      <c r="BR7" s="36">
        <v>20482000</v>
      </c>
      <c r="BS7" s="36">
        <v>17435000</v>
      </c>
      <c r="BT7" s="36">
        <v>4098000</v>
      </c>
      <c r="BU7" s="36">
        <v>6560000</v>
      </c>
      <c r="BV7" s="36">
        <v>19101000</v>
      </c>
      <c r="BW7" s="36">
        <v>17678000</v>
      </c>
      <c r="BX7" s="36">
        <v>3337000</v>
      </c>
      <c r="BY7" s="36">
        <v>6623000</v>
      </c>
      <c r="BZ7" s="36">
        <v>20600000</v>
      </c>
      <c r="CA7" s="36">
        <v>19549000</v>
      </c>
      <c r="CB7" s="36">
        <v>4950000</v>
      </c>
      <c r="CC7" s="36">
        <v>4715000</v>
      </c>
      <c r="CD7" s="36">
        <v>21505000</v>
      </c>
      <c r="CE7" s="36">
        <v>14248000</v>
      </c>
      <c r="CF7" s="36">
        <v>3512000</v>
      </c>
    </row>
    <row r="8" spans="1:131">
      <c r="A8" t="s">
        <v>282</v>
      </c>
      <c r="B8" s="36">
        <v>63178000</v>
      </c>
      <c r="C8" s="36">
        <v>91608000</v>
      </c>
      <c r="D8" s="36">
        <v>93496000</v>
      </c>
      <c r="E8" s="36">
        <v>69104000</v>
      </c>
      <c r="AH8" s="36">
        <v>662000</v>
      </c>
      <c r="AI8">
        <v>0</v>
      </c>
      <c r="AJ8">
        <v>0</v>
      </c>
      <c r="AL8" s="36">
        <v>10454000</v>
      </c>
      <c r="AM8" s="36">
        <v>10083000</v>
      </c>
      <c r="AN8" s="36">
        <v>9013000</v>
      </c>
    </row>
    <row r="9" spans="1:131">
      <c r="A9" t="s">
        <v>148</v>
      </c>
      <c r="B9" s="36">
        <v>36861000</v>
      </c>
      <c r="C9" s="36">
        <v>46983000</v>
      </c>
      <c r="D9" s="36">
        <v>48004000</v>
      </c>
      <c r="E9" s="36">
        <v>47479000</v>
      </c>
      <c r="F9" s="36">
        <v>50733000</v>
      </c>
      <c r="G9" s="36">
        <v>45580000</v>
      </c>
      <c r="H9" s="36">
        <v>7394000</v>
      </c>
      <c r="I9" s="36">
        <v>32902000</v>
      </c>
      <c r="J9" s="36">
        <v>37734000</v>
      </c>
      <c r="K9" s="36">
        <v>46860000</v>
      </c>
      <c r="L9" s="36">
        <v>42629000</v>
      </c>
      <c r="M9" s="36">
        <v>30753000</v>
      </c>
      <c r="N9" s="36">
        <v>36549000</v>
      </c>
      <c r="O9" s="36">
        <v>47000000</v>
      </c>
      <c r="P9" s="36">
        <v>40303000</v>
      </c>
      <c r="Q9" s="36">
        <v>29719000</v>
      </c>
      <c r="R9" s="36">
        <v>34240000</v>
      </c>
      <c r="S9" s="36">
        <v>43240000</v>
      </c>
      <c r="T9" s="36">
        <v>39318000</v>
      </c>
      <c r="U9" s="36">
        <v>26276000</v>
      </c>
      <c r="V9" s="36">
        <v>31059000</v>
      </c>
      <c r="W9" s="36">
        <v>46207000</v>
      </c>
      <c r="X9" s="36">
        <v>38455000</v>
      </c>
      <c r="Y9" s="36">
        <v>25029000</v>
      </c>
      <c r="Z9" s="36">
        <v>30162000</v>
      </c>
      <c r="AA9" s="36">
        <v>46627000</v>
      </c>
      <c r="AB9" s="36">
        <v>37369000</v>
      </c>
      <c r="AC9" s="36">
        <v>25883000</v>
      </c>
      <c r="AD9" s="36">
        <v>30461000</v>
      </c>
      <c r="AE9" s="36">
        <v>45571000</v>
      </c>
      <c r="AF9" s="36">
        <v>38264000</v>
      </c>
      <c r="AG9" s="36">
        <v>26080000</v>
      </c>
      <c r="AH9" s="36">
        <v>29316000</v>
      </c>
      <c r="AI9" s="36">
        <v>45452000</v>
      </c>
      <c r="AJ9" s="36">
        <v>39063000</v>
      </c>
      <c r="AK9" s="36">
        <v>27840000</v>
      </c>
      <c r="AL9" s="36">
        <v>33593000</v>
      </c>
      <c r="AM9" s="36">
        <v>51236000</v>
      </c>
      <c r="AN9" s="36">
        <v>44486000</v>
      </c>
      <c r="AO9" s="36">
        <v>33069000</v>
      </c>
      <c r="AP9" s="36">
        <v>36946000</v>
      </c>
      <c r="AQ9" s="36">
        <v>52264000</v>
      </c>
      <c r="AR9" s="36">
        <v>42903000</v>
      </c>
      <c r="AS9" s="36">
        <v>32142000</v>
      </c>
      <c r="AT9" s="36">
        <v>34930000</v>
      </c>
      <c r="AU9" s="36">
        <v>48065000</v>
      </c>
      <c r="AV9" s="36">
        <v>39455000</v>
      </c>
      <c r="AW9" s="36">
        <v>27265000</v>
      </c>
      <c r="AX9" s="36">
        <v>31799000</v>
      </c>
      <c r="AY9" s="36">
        <v>49647000</v>
      </c>
      <c r="AZ9" s="36">
        <v>37489000</v>
      </c>
      <c r="BA9" s="36">
        <v>28591000</v>
      </c>
      <c r="BB9" s="36">
        <v>32008000</v>
      </c>
      <c r="BC9" s="36">
        <v>47517000</v>
      </c>
      <c r="BD9" s="36">
        <v>39128000</v>
      </c>
      <c r="BE9" s="36">
        <v>26884000</v>
      </c>
      <c r="BF9" s="36">
        <v>32116000</v>
      </c>
      <c r="BG9" s="36">
        <v>47822000</v>
      </c>
      <c r="BH9" s="36">
        <v>37297000</v>
      </c>
      <c r="BI9" s="36">
        <v>26377000</v>
      </c>
      <c r="BJ9" s="36">
        <v>31488000</v>
      </c>
      <c r="BK9" s="36">
        <v>30138000</v>
      </c>
      <c r="BL9" s="36">
        <v>23500000</v>
      </c>
      <c r="BM9" s="36">
        <v>17678000</v>
      </c>
      <c r="BN9" s="36">
        <v>20359000</v>
      </c>
      <c r="BO9" s="36">
        <v>28698000</v>
      </c>
      <c r="BP9" s="36">
        <v>22121000</v>
      </c>
      <c r="BQ9" s="36">
        <v>17632000</v>
      </c>
      <c r="BR9" s="36">
        <v>19132000</v>
      </c>
      <c r="BS9" s="36">
        <v>27103000</v>
      </c>
      <c r="BT9" s="36">
        <v>18782000</v>
      </c>
      <c r="BU9" s="36">
        <v>14905000</v>
      </c>
      <c r="BV9" s="36">
        <v>16629000</v>
      </c>
      <c r="BW9" s="36">
        <v>24233000</v>
      </c>
      <c r="BX9" s="36">
        <v>18813000</v>
      </c>
      <c r="BY9" s="36">
        <v>13895000</v>
      </c>
      <c r="BZ9" s="36">
        <v>15724000</v>
      </c>
      <c r="CA9" s="36">
        <v>22673000</v>
      </c>
      <c r="CB9" s="36">
        <v>18831000</v>
      </c>
      <c r="CC9" s="36">
        <v>14116000</v>
      </c>
      <c r="CD9" s="36">
        <v>16095000</v>
      </c>
      <c r="CE9" s="36">
        <v>24376000</v>
      </c>
      <c r="CF9" s="36">
        <v>19334000</v>
      </c>
      <c r="CG9" s="36">
        <v>13358000</v>
      </c>
      <c r="CH9" s="36">
        <v>14292000</v>
      </c>
      <c r="CI9" s="36">
        <v>21560000</v>
      </c>
      <c r="CJ9" s="36">
        <v>17541000</v>
      </c>
      <c r="CK9" s="36">
        <v>12000000</v>
      </c>
      <c r="CL9" s="36">
        <v>12900000</v>
      </c>
      <c r="CM9" s="36">
        <v>19900000</v>
      </c>
      <c r="CN9" s="36">
        <v>16200000</v>
      </c>
      <c r="CO9" s="36">
        <v>10200000</v>
      </c>
      <c r="CP9" s="36">
        <v>10200000</v>
      </c>
      <c r="CQ9" s="36">
        <v>17300000</v>
      </c>
      <c r="CR9" s="36">
        <v>14100000</v>
      </c>
      <c r="CS9" s="36">
        <v>9100000</v>
      </c>
      <c r="CT9" s="36">
        <v>4700000</v>
      </c>
      <c r="CU9" s="36">
        <v>11400000</v>
      </c>
      <c r="CV9" s="36">
        <v>9200000</v>
      </c>
      <c r="CW9" s="36">
        <v>4400000</v>
      </c>
      <c r="CX9" s="36">
        <v>4500000</v>
      </c>
      <c r="CY9" s="36">
        <v>11700000</v>
      </c>
      <c r="CZ9" s="36">
        <v>8800000</v>
      </c>
      <c r="DA9" s="36">
        <v>4400000</v>
      </c>
      <c r="DB9" s="36">
        <v>4400000</v>
      </c>
      <c r="DC9" s="36">
        <v>9200000</v>
      </c>
      <c r="DD9" s="36">
        <v>7000000</v>
      </c>
      <c r="DE9" s="36">
        <v>3400000</v>
      </c>
      <c r="DF9" s="36">
        <v>6800000</v>
      </c>
      <c r="DG9" s="36">
        <v>3500000</v>
      </c>
      <c r="DH9" s="36">
        <v>3300000</v>
      </c>
      <c r="DI9" s="36">
        <v>8600000</v>
      </c>
      <c r="DJ9" s="36">
        <v>6800000</v>
      </c>
      <c r="DK9" s="36">
        <v>4000000</v>
      </c>
      <c r="DL9" s="36">
        <v>3300000</v>
      </c>
      <c r="DM9" s="36">
        <v>6100000</v>
      </c>
      <c r="DN9" s="36">
        <v>5500000</v>
      </c>
      <c r="DO9" s="36">
        <v>2900000</v>
      </c>
      <c r="DP9" s="36">
        <v>2800000</v>
      </c>
      <c r="DQ9" s="36">
        <v>6500000</v>
      </c>
      <c r="DR9" s="36">
        <v>5700000</v>
      </c>
      <c r="DS9" s="36">
        <v>2700000</v>
      </c>
      <c r="DT9" s="36">
        <v>2300000</v>
      </c>
      <c r="DU9" s="36">
        <v>6000000</v>
      </c>
      <c r="DV9" s="36">
        <v>4800000</v>
      </c>
      <c r="DW9" s="36">
        <v>2500000</v>
      </c>
      <c r="DX9" s="36">
        <v>1800000</v>
      </c>
      <c r="DY9" s="36">
        <v>5700000</v>
      </c>
      <c r="DZ9" s="36">
        <v>2700000</v>
      </c>
      <c r="EA9" s="36">
        <v>2600000</v>
      </c>
    </row>
    <row r="10" spans="1:131">
      <c r="A10" t="s">
        <v>149</v>
      </c>
      <c r="D10" s="36">
        <v>6926000</v>
      </c>
      <c r="G10" s="36">
        <v>2147000</v>
      </c>
      <c r="H10" s="36">
        <v>17435000</v>
      </c>
      <c r="K10" s="36">
        <v>20719000</v>
      </c>
      <c r="L10" s="36">
        <v>24487000</v>
      </c>
      <c r="O10" s="36">
        <v>22210000</v>
      </c>
      <c r="P10" s="36">
        <v>25590000</v>
      </c>
      <c r="S10" s="36">
        <v>18779000</v>
      </c>
      <c r="T10" s="36">
        <v>20046000</v>
      </c>
      <c r="W10" s="36">
        <v>20915000</v>
      </c>
      <c r="X10" s="36">
        <v>18929000</v>
      </c>
      <c r="AA10" s="36">
        <v>18648000</v>
      </c>
      <c r="AB10" s="36">
        <v>18268000</v>
      </c>
      <c r="AE10" s="36">
        <v>19697000</v>
      </c>
      <c r="AF10" s="36">
        <v>20101000</v>
      </c>
      <c r="AI10" s="36">
        <v>16614000</v>
      </c>
      <c r="AJ10" s="36">
        <v>16396000</v>
      </c>
      <c r="AM10" s="36">
        <v>16250000</v>
      </c>
      <c r="AN10" s="36">
        <v>11139000</v>
      </c>
      <c r="AO10" s="36">
        <v>4233000</v>
      </c>
      <c r="AP10" s="36">
        <v>2155000</v>
      </c>
      <c r="AQ10" s="36">
        <v>3780000</v>
      </c>
      <c r="AR10" s="36">
        <v>4251000</v>
      </c>
      <c r="AS10" s="36">
        <v>5009000</v>
      </c>
      <c r="AT10" s="36">
        <v>842000</v>
      </c>
      <c r="AU10" s="36">
        <v>2466000</v>
      </c>
      <c r="AV10" s="36">
        <v>2881000</v>
      </c>
      <c r="AW10" s="36">
        <v>3545000</v>
      </c>
      <c r="AX10" s="36">
        <v>13433000</v>
      </c>
      <c r="AY10" s="36">
        <v>48831000</v>
      </c>
      <c r="AZ10" s="36">
        <v>44484000</v>
      </c>
      <c r="BA10" s="36">
        <v>13552000</v>
      </c>
      <c r="BB10" s="36">
        <v>10960000</v>
      </c>
      <c r="BC10" s="36">
        <v>55712000</v>
      </c>
      <c r="BD10" s="36">
        <v>55131000</v>
      </c>
      <c r="BE10" s="36">
        <v>13847000</v>
      </c>
      <c r="BF10" s="36">
        <v>16581000</v>
      </c>
      <c r="BG10" s="36">
        <v>24336000</v>
      </c>
      <c r="BH10" s="36">
        <v>29886000</v>
      </c>
      <c r="BI10" s="36">
        <v>26132000</v>
      </c>
      <c r="BJ10" s="36">
        <v>22480000</v>
      </c>
      <c r="BK10" s="36">
        <v>10159000</v>
      </c>
      <c r="BL10" s="36">
        <v>11464000</v>
      </c>
      <c r="BM10" s="36">
        <v>11252000</v>
      </c>
      <c r="BN10" s="36">
        <v>6992000</v>
      </c>
      <c r="BO10" s="36">
        <v>9345000</v>
      </c>
      <c r="BP10" s="36">
        <v>9109000</v>
      </c>
      <c r="BQ10" s="36">
        <v>7209000</v>
      </c>
      <c r="BR10" s="36">
        <v>3406000</v>
      </c>
      <c r="BS10" s="36">
        <v>8332000</v>
      </c>
      <c r="BT10" s="36">
        <v>8220000</v>
      </c>
      <c r="BU10" s="36">
        <v>6118000</v>
      </c>
      <c r="BV10" s="36">
        <v>2748000</v>
      </c>
      <c r="BW10" s="36">
        <v>6872000</v>
      </c>
      <c r="BX10" s="36">
        <v>8752000</v>
      </c>
      <c r="BY10" s="36">
        <v>6548000</v>
      </c>
      <c r="BZ10" s="36">
        <v>3358000</v>
      </c>
      <c r="CA10" s="36">
        <v>7542000</v>
      </c>
      <c r="CB10" s="36">
        <v>8377000</v>
      </c>
      <c r="CC10" s="36">
        <v>5757000</v>
      </c>
      <c r="CD10" s="36">
        <v>3050000</v>
      </c>
      <c r="CE10" s="36">
        <v>5693000</v>
      </c>
      <c r="CF10" s="36">
        <v>6463000</v>
      </c>
    </row>
    <row r="11" spans="1:131">
      <c r="A11" t="s">
        <v>150</v>
      </c>
      <c r="Y11" s="36">
        <v>12188000</v>
      </c>
      <c r="Z11" s="36">
        <v>9264000</v>
      </c>
      <c r="AA11" s="36">
        <v>20032000</v>
      </c>
      <c r="AB11" s="36">
        <v>40827000</v>
      </c>
      <c r="AC11" s="36">
        <v>9265000</v>
      </c>
      <c r="AD11" s="36">
        <v>9675000</v>
      </c>
      <c r="AE11" s="36">
        <v>22900000</v>
      </c>
      <c r="AF11" s="36">
        <v>26653000</v>
      </c>
      <c r="AG11" s="36">
        <v>9675000</v>
      </c>
      <c r="AH11" s="36">
        <v>8185000</v>
      </c>
      <c r="AI11" s="36">
        <v>28302000</v>
      </c>
      <c r="AJ11" s="36">
        <v>36022000</v>
      </c>
      <c r="AK11" s="36">
        <v>8184000</v>
      </c>
      <c r="AL11" s="36">
        <v>10345000</v>
      </c>
      <c r="AM11" s="36">
        <v>10345000</v>
      </c>
      <c r="AN11" s="36">
        <v>15120000</v>
      </c>
      <c r="AO11" s="36">
        <v>10345000</v>
      </c>
      <c r="AP11" s="36">
        <v>5874000</v>
      </c>
      <c r="AQ11" s="36">
        <v>12867000</v>
      </c>
      <c r="AR11" s="36">
        <v>14410000</v>
      </c>
      <c r="AS11" s="36">
        <v>5874000</v>
      </c>
      <c r="AT11" s="36">
        <v>6725000</v>
      </c>
      <c r="AU11" s="36">
        <v>58241000</v>
      </c>
      <c r="AV11" s="36">
        <v>60854000</v>
      </c>
      <c r="AW11" s="36">
        <v>6725000</v>
      </c>
    </row>
    <row r="12" spans="1:131">
      <c r="A12" t="s">
        <v>151</v>
      </c>
      <c r="Y12" s="36">
        <v>12188000</v>
      </c>
      <c r="Z12" s="36">
        <v>9264000</v>
      </c>
      <c r="AA12" s="36">
        <v>20032000</v>
      </c>
      <c r="AB12" s="36">
        <v>40827000</v>
      </c>
      <c r="AC12" s="36">
        <v>9265000</v>
      </c>
      <c r="AD12" s="36">
        <v>9675000</v>
      </c>
      <c r="AE12" s="36">
        <v>22900000</v>
      </c>
      <c r="AF12" s="36">
        <v>26653000</v>
      </c>
      <c r="AG12" s="36">
        <v>9675000</v>
      </c>
      <c r="AH12" s="36">
        <v>8185000</v>
      </c>
      <c r="AI12" s="36">
        <v>28302000</v>
      </c>
      <c r="AJ12" s="36">
        <v>36022000</v>
      </c>
      <c r="AK12" s="36">
        <v>8184000</v>
      </c>
      <c r="AL12" s="36">
        <v>10345000</v>
      </c>
      <c r="AM12" s="36">
        <v>10345000</v>
      </c>
      <c r="AN12" s="36">
        <v>15120000</v>
      </c>
      <c r="AO12" s="36">
        <v>10345000</v>
      </c>
      <c r="AP12" s="36">
        <v>5874000</v>
      </c>
      <c r="AQ12" s="36">
        <v>12867000</v>
      </c>
      <c r="AR12" s="36">
        <v>14410000</v>
      </c>
      <c r="AS12" s="36">
        <v>5874000</v>
      </c>
      <c r="AT12" s="36">
        <v>6725000</v>
      </c>
      <c r="AU12" s="36">
        <v>58241000</v>
      </c>
      <c r="AV12" s="36">
        <v>60854000</v>
      </c>
      <c r="AW12" s="36">
        <v>6725000</v>
      </c>
    </row>
    <row r="13" spans="1:131">
      <c r="A13" t="s">
        <v>152</v>
      </c>
      <c r="B13" s="36">
        <v>23922000</v>
      </c>
      <c r="C13" s="36">
        <v>40298000</v>
      </c>
      <c r="D13" s="36">
        <v>25847000</v>
      </c>
      <c r="E13" s="36">
        <v>26747000</v>
      </c>
      <c r="F13" s="36">
        <v>24002000</v>
      </c>
      <c r="G13" s="36">
        <v>24602000</v>
      </c>
      <c r="H13" s="36">
        <v>16183000</v>
      </c>
      <c r="I13" s="36">
        <v>15921000</v>
      </c>
      <c r="J13" s="36">
        <v>20196000</v>
      </c>
      <c r="K13" s="36">
        <v>17715000</v>
      </c>
      <c r="L13" s="36">
        <v>13826000</v>
      </c>
      <c r="M13" s="36">
        <v>12589000</v>
      </c>
      <c r="N13" s="36">
        <v>21875000</v>
      </c>
      <c r="O13" s="36">
        <v>18434000</v>
      </c>
      <c r="P13" s="36">
        <v>14408000</v>
      </c>
      <c r="Q13" s="36">
        <v>13297000</v>
      </c>
      <c r="R13" s="36">
        <v>18624000</v>
      </c>
      <c r="S13" s="36">
        <v>15830000</v>
      </c>
      <c r="T13" s="36">
        <v>9043000</v>
      </c>
      <c r="U13" s="36">
        <v>11270000</v>
      </c>
      <c r="V13" s="36">
        <v>13809000</v>
      </c>
      <c r="W13" s="36">
        <v>11559000</v>
      </c>
      <c r="X13" s="36">
        <v>8989000</v>
      </c>
      <c r="Y13" s="36">
        <v>9946000</v>
      </c>
      <c r="Z13" s="36">
        <v>14085000</v>
      </c>
      <c r="AA13" s="36">
        <v>11156000</v>
      </c>
      <c r="AB13" s="36">
        <v>8759000</v>
      </c>
      <c r="AC13" s="36">
        <v>9334000</v>
      </c>
      <c r="AD13" s="36">
        <v>13985000</v>
      </c>
      <c r="AE13" s="36">
        <v>11701000</v>
      </c>
      <c r="AF13" s="36">
        <v>9919000</v>
      </c>
      <c r="AG13" s="36">
        <v>11353000</v>
      </c>
      <c r="AH13" s="36">
        <v>8964000</v>
      </c>
      <c r="AI13" s="36">
        <v>17274000</v>
      </c>
      <c r="AJ13" s="36">
        <v>11319000</v>
      </c>
      <c r="AK13" s="36">
        <v>8060000</v>
      </c>
      <c r="AL13" s="36">
        <v>7443000</v>
      </c>
      <c r="AM13" s="36">
        <v>9339000</v>
      </c>
      <c r="AN13" s="36">
        <v>10258000</v>
      </c>
      <c r="AO13" s="36">
        <v>7733000</v>
      </c>
      <c r="AP13" s="36">
        <v>7144000</v>
      </c>
      <c r="AQ13" s="36">
        <v>10108000</v>
      </c>
      <c r="AR13" s="36">
        <v>7278000</v>
      </c>
      <c r="AS13" s="36">
        <v>5204000</v>
      </c>
      <c r="AT13" s="36">
        <v>5657000</v>
      </c>
      <c r="AU13" s="36">
        <v>11640000</v>
      </c>
      <c r="AV13" s="36">
        <v>8936000</v>
      </c>
      <c r="AW13" s="36">
        <v>5310000</v>
      </c>
      <c r="CG13" s="36">
        <v>4358000</v>
      </c>
      <c r="CH13" s="36">
        <v>2530000</v>
      </c>
      <c r="CI13" s="36">
        <v>6728000</v>
      </c>
      <c r="CJ13" s="36">
        <v>5650000</v>
      </c>
      <c r="CK13" s="36">
        <v>4100000</v>
      </c>
      <c r="CL13" s="36">
        <v>2000000</v>
      </c>
      <c r="CM13" s="36">
        <v>5900000</v>
      </c>
      <c r="CN13" s="36">
        <v>5100000</v>
      </c>
      <c r="CO13" s="36">
        <v>3400000</v>
      </c>
      <c r="CP13" s="36">
        <v>1700000</v>
      </c>
      <c r="CQ13" s="36">
        <v>6100000</v>
      </c>
      <c r="CR13" s="36">
        <v>4900000</v>
      </c>
      <c r="CS13" s="36">
        <v>3900000</v>
      </c>
      <c r="CT13" s="36">
        <v>1100000</v>
      </c>
      <c r="CU13" s="36">
        <v>4400000</v>
      </c>
      <c r="CV13" s="36">
        <v>4300000</v>
      </c>
      <c r="CW13" s="36">
        <v>3000000</v>
      </c>
      <c r="CX13" s="36">
        <v>1000000</v>
      </c>
      <c r="CY13" s="36">
        <v>4300000</v>
      </c>
      <c r="CZ13" s="36">
        <v>4800000</v>
      </c>
      <c r="DA13" s="36">
        <v>2800000</v>
      </c>
      <c r="DB13" s="36">
        <v>900000</v>
      </c>
      <c r="DC13" s="36">
        <v>3500000</v>
      </c>
      <c r="DD13" s="36">
        <v>3200000</v>
      </c>
      <c r="DE13" s="36">
        <v>3000000</v>
      </c>
      <c r="DF13" s="36">
        <v>2600000</v>
      </c>
      <c r="DG13" s="36">
        <v>2000000</v>
      </c>
      <c r="DH13" s="36">
        <v>600000</v>
      </c>
      <c r="DI13" s="36">
        <v>3000000</v>
      </c>
      <c r="DJ13" s="36">
        <v>2900000</v>
      </c>
      <c r="DK13" s="36">
        <v>2200000</v>
      </c>
      <c r="DL13" s="36">
        <v>1100000</v>
      </c>
      <c r="DM13" s="36">
        <v>2600000</v>
      </c>
      <c r="DN13" s="36">
        <v>2800000</v>
      </c>
      <c r="DO13" s="36">
        <v>2400000</v>
      </c>
      <c r="DP13" s="36">
        <v>800000</v>
      </c>
      <c r="DQ13" s="36">
        <v>3200000</v>
      </c>
      <c r="DR13" s="36">
        <v>2600000</v>
      </c>
      <c r="DS13" s="36">
        <v>2200000</v>
      </c>
      <c r="DT13" s="36">
        <v>800000</v>
      </c>
      <c r="DU13" s="36">
        <v>3000000</v>
      </c>
      <c r="DV13" s="36">
        <v>2400000</v>
      </c>
      <c r="DW13" s="36">
        <v>2300000</v>
      </c>
      <c r="DX13" s="36">
        <v>900000</v>
      </c>
      <c r="DY13" s="36">
        <v>3000000</v>
      </c>
      <c r="DZ13" s="36">
        <v>2400000</v>
      </c>
      <c r="EA13" s="36">
        <v>2700000</v>
      </c>
    </row>
    <row r="14" spans="1:131">
      <c r="A14" t="s">
        <v>153</v>
      </c>
      <c r="B14" s="36">
        <v>2066116000</v>
      </c>
      <c r="C14" s="36">
        <v>2140489000</v>
      </c>
      <c r="D14" s="36">
        <v>2148256000</v>
      </c>
      <c r="E14" s="36">
        <v>2138901000</v>
      </c>
      <c r="F14" s="36">
        <v>2161008000</v>
      </c>
      <c r="G14" s="36">
        <v>2242248000</v>
      </c>
      <c r="H14" s="36">
        <v>2296524000</v>
      </c>
      <c r="I14" s="36">
        <v>2286964000</v>
      </c>
      <c r="J14" s="36">
        <v>2273211000</v>
      </c>
      <c r="K14" s="36">
        <v>2033224000</v>
      </c>
      <c r="L14" s="36">
        <v>1946925000</v>
      </c>
      <c r="M14" s="36">
        <v>1823974000</v>
      </c>
      <c r="N14" s="36">
        <v>1821370000</v>
      </c>
      <c r="O14" s="36">
        <v>1846074000</v>
      </c>
      <c r="P14" s="36">
        <v>1850607000</v>
      </c>
      <c r="Q14" s="36">
        <v>1817176000</v>
      </c>
      <c r="R14" s="36">
        <v>1821459000</v>
      </c>
      <c r="S14" s="36">
        <v>1847148000</v>
      </c>
      <c r="T14" s="36">
        <v>1827045000</v>
      </c>
      <c r="U14" s="36">
        <v>1777505000</v>
      </c>
      <c r="V14" s="36">
        <v>1799403000</v>
      </c>
      <c r="W14" s="36">
        <v>1847609000</v>
      </c>
      <c r="X14" s="36">
        <v>1838922000</v>
      </c>
      <c r="Y14" s="36">
        <v>1798693000</v>
      </c>
      <c r="Z14" s="36">
        <v>1804133000</v>
      </c>
      <c r="AA14" s="36">
        <v>1874349000</v>
      </c>
      <c r="AB14" s="36">
        <v>1856828000</v>
      </c>
      <c r="AC14" s="36">
        <v>1834602000</v>
      </c>
      <c r="AD14" s="36">
        <v>1832319000</v>
      </c>
      <c r="AE14" s="36">
        <v>1879232000</v>
      </c>
      <c r="AF14" s="36">
        <v>1849801000</v>
      </c>
      <c r="AG14" s="36">
        <v>1828130000</v>
      </c>
      <c r="AH14" s="36">
        <v>1827904000</v>
      </c>
      <c r="AI14" s="36">
        <v>1862426000</v>
      </c>
      <c r="AJ14" s="36">
        <v>1889476000</v>
      </c>
      <c r="AK14" s="36">
        <v>1886516000</v>
      </c>
      <c r="AL14" s="36">
        <v>1902543000</v>
      </c>
      <c r="AM14" s="36">
        <v>1965763000</v>
      </c>
      <c r="AN14" s="36">
        <v>2009098000</v>
      </c>
      <c r="AO14" s="36">
        <v>1976042000</v>
      </c>
      <c r="AP14" s="36">
        <v>1972369000</v>
      </c>
      <c r="AQ14" s="36">
        <v>2031598000</v>
      </c>
      <c r="AR14" s="36">
        <v>2054169000</v>
      </c>
      <c r="AS14" s="36">
        <v>2012110000</v>
      </c>
      <c r="AT14" s="36">
        <v>2058869000</v>
      </c>
      <c r="AU14" s="36">
        <v>2089732000</v>
      </c>
      <c r="AV14" s="36">
        <v>2114040000</v>
      </c>
      <c r="AW14" s="36">
        <v>2084131000</v>
      </c>
      <c r="AX14" s="36">
        <v>2077317000</v>
      </c>
      <c r="AY14" s="36">
        <v>2136492000</v>
      </c>
      <c r="AZ14" s="36">
        <v>2132906000</v>
      </c>
      <c r="BA14" s="36">
        <v>2121549000</v>
      </c>
      <c r="BB14" s="36">
        <v>2281601000</v>
      </c>
      <c r="BC14" s="36">
        <v>2348253000</v>
      </c>
      <c r="BD14" s="36">
        <v>2362459000</v>
      </c>
      <c r="BE14" s="36">
        <v>2355920000</v>
      </c>
      <c r="BF14" s="36">
        <v>2364326000</v>
      </c>
      <c r="BG14" s="36">
        <v>2435893000</v>
      </c>
      <c r="BH14" s="36">
        <v>2424140000</v>
      </c>
      <c r="BI14" s="36">
        <v>2406413000</v>
      </c>
      <c r="BJ14" s="36">
        <v>2439497000</v>
      </c>
      <c r="BK14" s="36">
        <v>996862000</v>
      </c>
      <c r="BL14" s="36">
        <v>994839000</v>
      </c>
      <c r="BM14" s="36">
        <v>984184000</v>
      </c>
      <c r="BN14" s="36">
        <v>970629000</v>
      </c>
      <c r="BO14" s="36">
        <v>998913000</v>
      </c>
      <c r="BP14" s="36">
        <v>982059000</v>
      </c>
      <c r="BQ14" s="36">
        <v>960248000</v>
      </c>
      <c r="BR14" s="36">
        <v>947198000</v>
      </c>
      <c r="BS14" s="36">
        <v>949594000</v>
      </c>
      <c r="BT14" s="36">
        <v>806339000</v>
      </c>
      <c r="BU14" s="36">
        <v>789564000</v>
      </c>
      <c r="BV14" s="36">
        <v>786196000</v>
      </c>
      <c r="BW14" s="36">
        <v>800288000</v>
      </c>
      <c r="BX14" s="36">
        <v>803776000</v>
      </c>
      <c r="BY14" s="36">
        <v>793020000</v>
      </c>
      <c r="BZ14" s="36">
        <v>787312000</v>
      </c>
      <c r="CA14" s="36">
        <v>793244000</v>
      </c>
      <c r="CB14" s="36">
        <v>794280000</v>
      </c>
      <c r="CC14" s="36">
        <v>783363000</v>
      </c>
      <c r="CD14" s="36">
        <v>781298000</v>
      </c>
      <c r="CE14" s="36">
        <v>791098000</v>
      </c>
      <c r="CF14" s="36">
        <v>745957000</v>
      </c>
      <c r="CG14" s="36">
        <v>738765000</v>
      </c>
      <c r="CH14" s="36">
        <v>734905000</v>
      </c>
      <c r="CI14" s="36">
        <v>738252000</v>
      </c>
      <c r="CJ14" s="36">
        <v>709830000</v>
      </c>
      <c r="CK14" s="36">
        <v>684800000</v>
      </c>
      <c r="CL14" s="36">
        <v>650800000</v>
      </c>
      <c r="CM14" s="36">
        <v>648000000</v>
      </c>
      <c r="CN14" s="36">
        <v>641400000</v>
      </c>
      <c r="CO14" s="36">
        <v>610300000</v>
      </c>
      <c r="CP14" s="36">
        <v>602300000</v>
      </c>
      <c r="CQ14" s="36">
        <v>607000000</v>
      </c>
      <c r="CR14" s="36">
        <v>596100000</v>
      </c>
      <c r="CS14" s="36">
        <v>577600000</v>
      </c>
      <c r="CT14" s="36">
        <v>305100000</v>
      </c>
      <c r="CU14" s="36">
        <v>311900000</v>
      </c>
      <c r="CV14" s="36">
        <v>302200000</v>
      </c>
      <c r="CW14" s="36">
        <v>292400000</v>
      </c>
      <c r="CX14" s="36">
        <v>271500000</v>
      </c>
      <c r="CY14" s="36">
        <v>279300000</v>
      </c>
      <c r="CZ14" s="36">
        <v>275900000</v>
      </c>
      <c r="DA14" s="36">
        <v>264900000</v>
      </c>
      <c r="DB14" s="36">
        <v>259700000</v>
      </c>
      <c r="DC14" s="36">
        <v>229400000</v>
      </c>
      <c r="DD14" s="36">
        <v>222800000</v>
      </c>
      <c r="DE14" s="36">
        <v>215800000</v>
      </c>
      <c r="DF14" s="36">
        <v>215000000</v>
      </c>
      <c r="DG14" s="36">
        <v>211500000</v>
      </c>
      <c r="DH14" s="36">
        <v>206200000</v>
      </c>
      <c r="DI14" s="36">
        <v>209600000</v>
      </c>
      <c r="DJ14" s="36">
        <v>206700000</v>
      </c>
      <c r="DK14" s="36">
        <v>202200000</v>
      </c>
      <c r="DL14" s="36">
        <v>196700000</v>
      </c>
      <c r="DM14" s="36">
        <v>141400000</v>
      </c>
      <c r="DN14" s="36">
        <v>139700000</v>
      </c>
      <c r="DO14" s="36">
        <v>136200000</v>
      </c>
      <c r="DP14" s="36">
        <v>134000000</v>
      </c>
      <c r="DQ14" s="36">
        <v>138900000</v>
      </c>
      <c r="DR14" s="36">
        <v>138600000</v>
      </c>
      <c r="DS14" s="36">
        <v>136100000</v>
      </c>
      <c r="DT14" s="36">
        <v>134000000</v>
      </c>
      <c r="DU14" s="36">
        <v>136400000</v>
      </c>
      <c r="DV14" s="36">
        <v>133700000</v>
      </c>
      <c r="DW14" s="36">
        <v>130400000</v>
      </c>
      <c r="DX14" s="36">
        <v>129400000</v>
      </c>
      <c r="DY14" s="36">
        <v>133900000</v>
      </c>
      <c r="DZ14" s="36">
        <v>129900000</v>
      </c>
      <c r="EA14" s="36">
        <v>130900000</v>
      </c>
    </row>
    <row r="15" spans="1:131">
      <c r="A15" t="s">
        <v>154</v>
      </c>
      <c r="B15" s="36">
        <v>1743833000</v>
      </c>
      <c r="C15" s="36">
        <v>1815721000</v>
      </c>
      <c r="D15" s="36">
        <v>1824189000</v>
      </c>
      <c r="E15" s="36">
        <v>1815508000</v>
      </c>
      <c r="F15" s="36">
        <v>1826635000</v>
      </c>
      <c r="G15" s="36">
        <v>1875906000</v>
      </c>
      <c r="H15" s="36">
        <v>1889801000</v>
      </c>
      <c r="I15" s="36">
        <v>1855932000</v>
      </c>
      <c r="J15" s="36">
        <v>1843398000</v>
      </c>
      <c r="K15" s="36">
        <v>1803820000</v>
      </c>
      <c r="L15" s="36">
        <v>1719348000</v>
      </c>
      <c r="M15" s="36">
        <v>1599438000</v>
      </c>
      <c r="N15" s="36">
        <v>1588699000</v>
      </c>
      <c r="O15" s="36">
        <v>1618998000</v>
      </c>
      <c r="P15" s="36">
        <v>1621099000</v>
      </c>
      <c r="Q15" s="36">
        <v>1585772000</v>
      </c>
      <c r="R15" s="36">
        <v>1580510000</v>
      </c>
      <c r="S15" s="36">
        <v>1608626000</v>
      </c>
      <c r="T15" s="36">
        <v>1588648000</v>
      </c>
      <c r="U15" s="36">
        <v>1539220000</v>
      </c>
      <c r="V15" s="36">
        <v>1526040000</v>
      </c>
      <c r="W15" s="36">
        <v>1576494000</v>
      </c>
      <c r="X15" s="36">
        <v>1570154000</v>
      </c>
      <c r="Y15" s="36">
        <v>1514878000</v>
      </c>
      <c r="Z15" s="36">
        <v>1515082000</v>
      </c>
      <c r="AA15" s="36">
        <v>1574731000</v>
      </c>
      <c r="AB15" s="36">
        <v>1558264000</v>
      </c>
      <c r="AC15" s="36">
        <v>1526551000</v>
      </c>
      <c r="AD15" s="36">
        <v>1518131000</v>
      </c>
      <c r="AE15" s="36">
        <v>1557164000</v>
      </c>
      <c r="AF15" s="36">
        <v>1533962000</v>
      </c>
      <c r="AG15" s="36">
        <v>1505763000</v>
      </c>
      <c r="AH15" s="36">
        <v>1514674000</v>
      </c>
      <c r="AI15" s="36">
        <v>1550901000</v>
      </c>
      <c r="AJ15" s="36">
        <v>1570852000</v>
      </c>
      <c r="AK15" s="36">
        <v>1552029000</v>
      </c>
      <c r="AL15" s="36">
        <v>1563844000</v>
      </c>
      <c r="AM15" s="36">
        <v>1629733000</v>
      </c>
      <c r="AN15" s="36">
        <v>1668490000</v>
      </c>
      <c r="AO15" s="36">
        <v>1638091000</v>
      </c>
      <c r="AP15" s="36">
        <v>1633531000</v>
      </c>
      <c r="AQ15" s="36">
        <v>1684373000</v>
      </c>
      <c r="AR15" s="36">
        <v>1699985000</v>
      </c>
      <c r="AS15" s="36">
        <v>1676641000</v>
      </c>
      <c r="AT15" s="36">
        <v>1733967000</v>
      </c>
      <c r="AU15" s="36">
        <v>1788926000</v>
      </c>
      <c r="AV15" s="36">
        <v>1809212000</v>
      </c>
      <c r="AW15" s="36">
        <v>1781069000</v>
      </c>
      <c r="AX15" s="36">
        <v>1768787000</v>
      </c>
      <c r="AY15" s="36">
        <v>1807278000</v>
      </c>
      <c r="AZ15" s="36">
        <v>1839666000</v>
      </c>
      <c r="BA15" s="36">
        <v>1825091000</v>
      </c>
      <c r="BB15" s="36">
        <v>1874522000</v>
      </c>
      <c r="BC15" s="36">
        <v>1936385000</v>
      </c>
      <c r="BD15" s="36">
        <v>1944363000</v>
      </c>
      <c r="BE15" s="36">
        <v>1933562000</v>
      </c>
      <c r="BF15" s="36">
        <v>1948780000</v>
      </c>
      <c r="BG15" s="36">
        <v>2014417000</v>
      </c>
      <c r="BH15" s="36">
        <v>2006266000</v>
      </c>
      <c r="BI15" s="36">
        <v>1985709000</v>
      </c>
      <c r="BJ15" s="36">
        <v>2002683000</v>
      </c>
      <c r="BK15" s="36">
        <v>980639000</v>
      </c>
      <c r="BL15" s="36">
        <v>978502000</v>
      </c>
      <c r="BM15" s="36">
        <v>967256000</v>
      </c>
      <c r="BN15" s="36">
        <v>959051000</v>
      </c>
      <c r="BO15" s="36">
        <v>972200000</v>
      </c>
      <c r="BP15" s="36">
        <v>960768000</v>
      </c>
      <c r="BQ15" s="36">
        <v>946971000</v>
      </c>
      <c r="BR15" s="36">
        <v>932829000</v>
      </c>
      <c r="BS15" s="36">
        <v>937648000</v>
      </c>
      <c r="BT15" s="36">
        <v>789543000</v>
      </c>
      <c r="BU15" s="36">
        <v>777039000</v>
      </c>
      <c r="BV15" s="36">
        <v>775106000</v>
      </c>
      <c r="BW15" s="36">
        <v>789081000</v>
      </c>
      <c r="BX15" s="36">
        <v>792368000</v>
      </c>
      <c r="BY15" s="36">
        <v>781502000</v>
      </c>
      <c r="BZ15" s="36">
        <v>775703000</v>
      </c>
      <c r="CA15" s="36">
        <v>781557000</v>
      </c>
      <c r="CB15" s="36">
        <v>782550000</v>
      </c>
      <c r="CC15" s="36">
        <v>771918000</v>
      </c>
      <c r="CD15" s="36">
        <v>770727000</v>
      </c>
      <c r="CE15" s="36">
        <v>780505000</v>
      </c>
      <c r="CF15" s="36">
        <v>736159000</v>
      </c>
      <c r="CG15" s="36">
        <v>728919000</v>
      </c>
      <c r="CH15" s="36">
        <v>724955000</v>
      </c>
      <c r="CI15" s="36">
        <v>728291000</v>
      </c>
      <c r="CJ15" s="36">
        <v>699774000</v>
      </c>
      <c r="CK15" s="36">
        <v>674600000</v>
      </c>
      <c r="CL15" s="36">
        <v>640600000</v>
      </c>
      <c r="CM15" s="36">
        <v>637600000</v>
      </c>
      <c r="CN15" s="36">
        <v>631000000</v>
      </c>
      <c r="CO15" s="36">
        <v>600000000</v>
      </c>
      <c r="CP15" s="36">
        <v>591900000</v>
      </c>
      <c r="CQ15" s="36">
        <v>596600000</v>
      </c>
      <c r="CR15" s="36">
        <v>585600000</v>
      </c>
      <c r="CS15" s="36">
        <v>567100000</v>
      </c>
      <c r="CT15" s="36">
        <v>294600000</v>
      </c>
      <c r="CU15" s="36">
        <v>301200000</v>
      </c>
      <c r="CV15" s="36">
        <v>291500000</v>
      </c>
      <c r="CW15" s="36">
        <v>281600000</v>
      </c>
      <c r="CX15" s="36">
        <v>260700000</v>
      </c>
      <c r="CY15" s="36">
        <v>268400000</v>
      </c>
      <c r="CZ15" s="36">
        <v>264900000</v>
      </c>
      <c r="DA15" s="36">
        <v>253800000</v>
      </c>
      <c r="DB15" s="36">
        <v>248600000</v>
      </c>
      <c r="DC15" s="36">
        <v>218200000</v>
      </c>
      <c r="DD15" s="36">
        <v>211400000</v>
      </c>
      <c r="DE15" s="36">
        <v>204300000</v>
      </c>
      <c r="DF15" s="36">
        <v>203300000</v>
      </c>
      <c r="DG15" s="36">
        <v>199600000</v>
      </c>
      <c r="DH15" s="36">
        <v>194300000</v>
      </c>
      <c r="DI15" s="36">
        <v>197500000</v>
      </c>
      <c r="DJ15" s="36">
        <v>194500000</v>
      </c>
      <c r="DK15" s="36">
        <v>189800000</v>
      </c>
      <c r="DL15" s="36">
        <v>187300000</v>
      </c>
      <c r="DM15" s="36">
        <v>140000000</v>
      </c>
      <c r="DN15" s="36">
        <v>138400000</v>
      </c>
      <c r="DO15" s="36">
        <v>134800000</v>
      </c>
      <c r="DP15" s="36">
        <v>132800000</v>
      </c>
      <c r="DQ15" s="36">
        <v>137500000</v>
      </c>
      <c r="DR15" s="36">
        <v>137200000</v>
      </c>
      <c r="DS15" s="36">
        <v>134600000</v>
      </c>
      <c r="DT15" s="36">
        <v>132600000</v>
      </c>
      <c r="DU15" s="36">
        <v>134900000</v>
      </c>
      <c r="DV15" s="36">
        <v>132300000</v>
      </c>
      <c r="DW15" s="36">
        <v>129000000</v>
      </c>
      <c r="DX15" s="36">
        <v>126700000</v>
      </c>
      <c r="DY15" s="36">
        <v>131200000</v>
      </c>
      <c r="DZ15" s="36">
        <v>126900000</v>
      </c>
      <c r="EA15" s="36">
        <v>127300000</v>
      </c>
    </row>
    <row r="16" spans="1:131">
      <c r="A16" t="s">
        <v>155</v>
      </c>
      <c r="B16" s="36">
        <v>3839499000</v>
      </c>
      <c r="C16" s="36">
        <v>3844066000</v>
      </c>
      <c r="D16" s="36">
        <v>3817757000</v>
      </c>
      <c r="E16" s="36">
        <v>3810646000</v>
      </c>
      <c r="F16" s="36">
        <v>3786078000</v>
      </c>
      <c r="G16" s="36">
        <v>3769562000</v>
      </c>
      <c r="H16" s="36">
        <v>3726671000</v>
      </c>
      <c r="I16" s="36">
        <v>3710951000</v>
      </c>
      <c r="J16" s="36">
        <v>3672780000</v>
      </c>
      <c r="K16" s="36">
        <v>3571792000</v>
      </c>
      <c r="L16" s="36">
        <v>3454276000</v>
      </c>
      <c r="M16" s="36">
        <v>3326783000</v>
      </c>
      <c r="N16" s="36">
        <v>3315882000</v>
      </c>
      <c r="O16" s="36">
        <v>3269678000</v>
      </c>
      <c r="P16" s="36">
        <v>3232360000</v>
      </c>
      <c r="Q16" s="36">
        <v>3200013000</v>
      </c>
      <c r="R16" s="36">
        <v>3195237000</v>
      </c>
      <c r="S16" s="36">
        <v>3148579000</v>
      </c>
      <c r="T16" s="36">
        <v>3083053000</v>
      </c>
      <c r="U16" s="36">
        <v>3034025000</v>
      </c>
      <c r="V16" s="36">
        <v>3024948000</v>
      </c>
      <c r="W16" s="36">
        <v>3021005000</v>
      </c>
      <c r="X16" s="36">
        <v>2966742000</v>
      </c>
      <c r="Y16" s="36">
        <v>2908683000</v>
      </c>
      <c r="Z16" s="36">
        <v>2905144000</v>
      </c>
      <c r="AA16" s="36">
        <v>2922326000</v>
      </c>
      <c r="AB16" s="36">
        <v>2861620000</v>
      </c>
      <c r="AC16" s="36">
        <v>2849203000</v>
      </c>
      <c r="AD16" s="36">
        <v>2859688000</v>
      </c>
      <c r="AE16" s="36">
        <v>2856238000</v>
      </c>
      <c r="AF16" s="36">
        <v>2782034000</v>
      </c>
      <c r="AG16" s="36">
        <v>2757503000</v>
      </c>
      <c r="AH16" s="36">
        <v>2760271000</v>
      </c>
      <c r="AI16" s="36">
        <v>2748027000</v>
      </c>
      <c r="AJ16" s="36">
        <v>2738262000</v>
      </c>
      <c r="AK16" s="36">
        <v>2706485000</v>
      </c>
      <c r="AL16" s="36">
        <v>2739588000</v>
      </c>
      <c r="AM16" s="36">
        <v>2741263000</v>
      </c>
      <c r="AN16" s="36">
        <v>2714652000</v>
      </c>
      <c r="AO16" s="36">
        <v>2682680000</v>
      </c>
      <c r="AP16" s="36">
        <v>2677884000</v>
      </c>
      <c r="AQ16" s="36">
        <v>2677344000</v>
      </c>
      <c r="AR16" s="36">
        <v>2651967000</v>
      </c>
      <c r="AS16" s="36">
        <v>2625588000</v>
      </c>
      <c r="AT16" s="36">
        <v>2667214000</v>
      </c>
      <c r="AU16" s="36">
        <v>2663090000</v>
      </c>
      <c r="AV16" s="36">
        <v>2639854000</v>
      </c>
      <c r="AW16" s="36">
        <v>2607107000</v>
      </c>
      <c r="AX16" s="36">
        <v>2580576000</v>
      </c>
      <c r="AY16" s="36">
        <v>2560889000</v>
      </c>
      <c r="AZ16" s="36">
        <v>2548361000</v>
      </c>
      <c r="BA16" s="36">
        <v>2532747000</v>
      </c>
      <c r="BB16" s="36">
        <v>2581228000</v>
      </c>
      <c r="BC16" s="36">
        <v>2599409000</v>
      </c>
      <c r="BD16" s="36">
        <v>2564557000</v>
      </c>
      <c r="BE16" s="36">
        <v>2550002000</v>
      </c>
      <c r="BF16" s="36">
        <v>2557061000</v>
      </c>
      <c r="BG16" s="36">
        <v>2559377000</v>
      </c>
      <c r="BH16" s="36">
        <v>2505411000</v>
      </c>
      <c r="BI16" s="36">
        <v>2484689000</v>
      </c>
      <c r="BJ16" s="36">
        <v>2489943000</v>
      </c>
      <c r="BK16" s="36">
        <v>1415617000</v>
      </c>
      <c r="BL16" s="36">
        <v>1395312000</v>
      </c>
      <c r="BM16" s="36">
        <v>1385077000</v>
      </c>
      <c r="BN16" s="36">
        <v>1370910000</v>
      </c>
      <c r="BO16" s="36">
        <v>1361784000</v>
      </c>
      <c r="BP16" s="36">
        <v>1333015000</v>
      </c>
      <c r="BQ16" s="36">
        <v>1317978000</v>
      </c>
      <c r="BR16" s="36">
        <v>1297223000</v>
      </c>
      <c r="BS16" s="36">
        <v>1281343000</v>
      </c>
      <c r="BT16" s="36">
        <v>1117234000</v>
      </c>
      <c r="BU16" s="36">
        <v>1103770000</v>
      </c>
      <c r="BV16" s="36">
        <v>1101783000</v>
      </c>
      <c r="BW16" s="36">
        <v>1101884000</v>
      </c>
      <c r="BX16" s="36">
        <v>1090069000</v>
      </c>
      <c r="BY16" s="36">
        <v>1075856000</v>
      </c>
      <c r="BZ16" s="36">
        <v>1064887000</v>
      </c>
      <c r="CA16" s="36">
        <v>1056268000</v>
      </c>
      <c r="CB16" s="36">
        <v>1042849000</v>
      </c>
      <c r="CC16" s="36">
        <v>1029168000</v>
      </c>
      <c r="CD16" s="36">
        <v>1023202000</v>
      </c>
      <c r="CE16" s="36">
        <v>1032487000</v>
      </c>
      <c r="CF16" s="36">
        <v>975345000</v>
      </c>
      <c r="CG16" s="36">
        <v>965400000</v>
      </c>
      <c r="CH16" s="36">
        <v>956010000</v>
      </c>
      <c r="CI16" s="36">
        <v>942309000</v>
      </c>
      <c r="CJ16" s="36">
        <v>901233000</v>
      </c>
      <c r="CK16" s="36">
        <v>873900000</v>
      </c>
      <c r="CL16" s="36">
        <v>838400000</v>
      </c>
      <c r="CM16" s="36">
        <v>826000000</v>
      </c>
      <c r="CN16" s="36">
        <v>809800000</v>
      </c>
      <c r="CO16" s="36">
        <v>775600000</v>
      </c>
      <c r="CP16" s="36">
        <v>764300000</v>
      </c>
      <c r="CQ16" s="36">
        <v>757200000</v>
      </c>
      <c r="CR16" s="36">
        <v>735800000</v>
      </c>
      <c r="CS16" s="36">
        <v>714900000</v>
      </c>
      <c r="CT16" s="36">
        <v>443700000</v>
      </c>
      <c r="CU16" s="36">
        <v>438900000</v>
      </c>
      <c r="CV16" s="36">
        <v>421100000</v>
      </c>
      <c r="CW16" s="36">
        <v>412200000</v>
      </c>
      <c r="CX16" s="36">
        <v>391000000</v>
      </c>
      <c r="CY16" s="36">
        <v>389000000</v>
      </c>
      <c r="CZ16" s="36">
        <v>378000000</v>
      </c>
      <c r="DA16" s="36">
        <v>366900000</v>
      </c>
      <c r="DB16" s="36">
        <v>361900000</v>
      </c>
      <c r="DC16" s="36">
        <v>322400000</v>
      </c>
      <c r="DD16" s="36">
        <v>310300000</v>
      </c>
      <c r="DE16" s="36">
        <v>303200000</v>
      </c>
      <c r="DF16" s="36">
        <v>290600000</v>
      </c>
      <c r="DG16" s="36">
        <v>287000000</v>
      </c>
      <c r="DH16" s="36">
        <v>284000000</v>
      </c>
      <c r="DI16" s="36">
        <v>278600000</v>
      </c>
      <c r="DJ16" s="36">
        <v>270300000</v>
      </c>
      <c r="DK16" s="36">
        <v>265500000</v>
      </c>
      <c r="DL16" s="36">
        <v>264100000</v>
      </c>
      <c r="DM16" s="36">
        <v>208900000</v>
      </c>
      <c r="DN16" s="36">
        <v>203200000</v>
      </c>
      <c r="DO16" s="36">
        <v>199600000</v>
      </c>
      <c r="DP16" s="36">
        <v>198300000</v>
      </c>
      <c r="DQ16" s="36">
        <v>197000000</v>
      </c>
      <c r="DR16" s="36">
        <v>192500000</v>
      </c>
      <c r="DS16" s="36">
        <v>189900000</v>
      </c>
      <c r="DT16" s="36">
        <v>188000000</v>
      </c>
      <c r="DU16" s="36">
        <v>185000000</v>
      </c>
      <c r="DV16" s="36">
        <v>178700000</v>
      </c>
      <c r="DW16" s="36">
        <v>175400000</v>
      </c>
      <c r="DX16" s="36">
        <v>173000000</v>
      </c>
      <c r="DY16" s="36">
        <v>172400000</v>
      </c>
      <c r="DZ16" s="36">
        <v>164700000</v>
      </c>
      <c r="EA16" s="36">
        <v>158500000</v>
      </c>
    </row>
    <row r="17" spans="1:131">
      <c r="A17" t="s">
        <v>156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</row>
    <row r="18" spans="1:131">
      <c r="A18" t="s">
        <v>157</v>
      </c>
      <c r="B18" s="36">
        <v>928436000</v>
      </c>
      <c r="C18" s="36">
        <v>930516000</v>
      </c>
      <c r="D18" s="36">
        <v>910969000</v>
      </c>
      <c r="E18" s="36">
        <v>909884000</v>
      </c>
      <c r="F18" s="36">
        <v>902731000</v>
      </c>
      <c r="G18" s="36">
        <v>896424000</v>
      </c>
      <c r="H18" s="36">
        <v>893599000</v>
      </c>
      <c r="I18" s="36">
        <v>901572000</v>
      </c>
      <c r="J18" s="36">
        <v>890578000</v>
      </c>
      <c r="K18" s="36">
        <v>866046000</v>
      </c>
      <c r="L18" s="36">
        <v>707054000</v>
      </c>
      <c r="M18" s="36">
        <v>702912000</v>
      </c>
      <c r="N18" s="36">
        <v>707699000</v>
      </c>
      <c r="O18" s="36">
        <v>700354000</v>
      </c>
      <c r="P18" s="36">
        <v>692678000</v>
      </c>
      <c r="Q18" s="36">
        <v>692614000</v>
      </c>
      <c r="R18" s="36">
        <v>688842000</v>
      </c>
      <c r="S18" s="36">
        <v>685296000</v>
      </c>
      <c r="T18" s="36">
        <v>670263000</v>
      </c>
      <c r="U18" s="36">
        <v>667974000</v>
      </c>
      <c r="V18" s="36">
        <v>661316000</v>
      </c>
      <c r="W18" s="36">
        <v>664970000</v>
      </c>
      <c r="X18" s="36">
        <v>653325000</v>
      </c>
      <c r="Y18" s="36">
        <v>648973000</v>
      </c>
      <c r="Z18" s="36">
        <v>650714000</v>
      </c>
      <c r="AA18" s="36">
        <v>657044000</v>
      </c>
      <c r="AB18" s="36">
        <v>640559000</v>
      </c>
      <c r="AC18" s="36">
        <v>643160000</v>
      </c>
      <c r="AD18" s="36">
        <v>651495000</v>
      </c>
      <c r="AE18" s="36">
        <v>654156000</v>
      </c>
      <c r="AF18" s="36">
        <v>629237000</v>
      </c>
      <c r="AG18" s="36">
        <v>634182000</v>
      </c>
      <c r="AH18" s="36">
        <v>650320000</v>
      </c>
      <c r="AI18" s="36">
        <v>647431000</v>
      </c>
      <c r="AJ18" s="36">
        <v>640246000</v>
      </c>
      <c r="AK18" s="36">
        <v>642429000</v>
      </c>
      <c r="AL18" s="36">
        <v>656888000</v>
      </c>
      <c r="AM18" s="36">
        <v>662169000</v>
      </c>
      <c r="AN18" s="36">
        <v>648220000</v>
      </c>
      <c r="AO18" s="36">
        <v>646282000</v>
      </c>
      <c r="AP18" s="36">
        <v>644730000</v>
      </c>
      <c r="AQ18" s="36">
        <v>646253000</v>
      </c>
      <c r="AR18" s="36">
        <v>636605000</v>
      </c>
      <c r="AS18" s="36">
        <v>634714000</v>
      </c>
      <c r="AT18" s="36">
        <v>642349000</v>
      </c>
      <c r="AU18" s="36">
        <v>643786000</v>
      </c>
      <c r="AV18" s="36">
        <v>637025000</v>
      </c>
      <c r="AW18" s="36">
        <v>631825000</v>
      </c>
      <c r="AX18" s="36">
        <v>626754000</v>
      </c>
      <c r="AY18" s="36">
        <v>621266000</v>
      </c>
      <c r="AZ18" s="36">
        <v>634816000</v>
      </c>
      <c r="BA18" s="36">
        <v>635719000</v>
      </c>
      <c r="BB18" s="36">
        <v>659649000</v>
      </c>
      <c r="BC18" s="36">
        <v>667889000</v>
      </c>
      <c r="BD18" s="36">
        <v>657865000</v>
      </c>
      <c r="BE18" s="36">
        <v>344688000</v>
      </c>
      <c r="BF18" s="36">
        <v>664181000</v>
      </c>
      <c r="BG18" s="36">
        <v>660063000</v>
      </c>
      <c r="BH18" s="36">
        <v>326118000</v>
      </c>
      <c r="BI18" s="36">
        <v>325617000</v>
      </c>
      <c r="BJ18" s="36">
        <v>646871000</v>
      </c>
      <c r="BK18" s="36">
        <v>343949000</v>
      </c>
      <c r="BL18" s="36">
        <v>337937000</v>
      </c>
      <c r="BM18" s="36">
        <v>338033000</v>
      </c>
      <c r="BN18" s="36">
        <v>337167000</v>
      </c>
      <c r="BO18" s="36">
        <v>335664000</v>
      </c>
      <c r="BP18" s="36">
        <v>327666000</v>
      </c>
      <c r="BQ18" s="36">
        <v>327641000</v>
      </c>
      <c r="BR18" s="36">
        <v>326772000</v>
      </c>
      <c r="BS18" s="36">
        <v>325348000</v>
      </c>
      <c r="BT18" s="36">
        <v>281926000</v>
      </c>
      <c r="BU18" s="36">
        <v>281909000</v>
      </c>
      <c r="BV18" s="36">
        <v>281862000</v>
      </c>
      <c r="BW18" s="36">
        <v>281351000</v>
      </c>
      <c r="BX18" s="36">
        <v>277465000</v>
      </c>
      <c r="BY18" s="36">
        <v>277299000</v>
      </c>
      <c r="BZ18" s="36">
        <v>276949000</v>
      </c>
      <c r="CA18" s="36">
        <v>274730000</v>
      </c>
      <c r="CB18" s="36">
        <v>271000000</v>
      </c>
      <c r="CC18" s="36">
        <v>271153000</v>
      </c>
      <c r="CD18" s="36">
        <v>268373000</v>
      </c>
      <c r="CE18" s="36">
        <v>269139000</v>
      </c>
      <c r="CF18" s="36">
        <v>249244000</v>
      </c>
    </row>
    <row r="19" spans="1:131">
      <c r="A19" t="s">
        <v>158</v>
      </c>
      <c r="B19" s="36">
        <v>857610000</v>
      </c>
      <c r="C19" s="36">
        <v>857452000</v>
      </c>
      <c r="D19" s="36">
        <v>845838000</v>
      </c>
      <c r="E19" s="36">
        <v>849404000</v>
      </c>
      <c r="F19" s="36">
        <v>832067000</v>
      </c>
      <c r="G19" s="36">
        <v>832356000</v>
      </c>
      <c r="H19" s="36">
        <v>811048000</v>
      </c>
      <c r="I19" s="36">
        <v>816780000</v>
      </c>
      <c r="J19" s="36">
        <v>801175000</v>
      </c>
      <c r="K19" s="36">
        <v>768050000</v>
      </c>
      <c r="L19" s="36">
        <v>735286000</v>
      </c>
      <c r="M19" s="36">
        <v>732666000</v>
      </c>
      <c r="N19" s="36">
        <v>729108000</v>
      </c>
      <c r="O19" s="36">
        <v>728243000</v>
      </c>
      <c r="P19" s="36">
        <v>694029000</v>
      </c>
      <c r="Q19" s="36">
        <v>693899000</v>
      </c>
      <c r="R19" s="36">
        <v>707964000</v>
      </c>
      <c r="S19" s="36">
        <v>699548000</v>
      </c>
      <c r="T19" s="36">
        <v>664936000</v>
      </c>
      <c r="U19" s="36">
        <v>663982000</v>
      </c>
      <c r="V19" s="36">
        <v>675440000</v>
      </c>
      <c r="W19" s="36">
        <v>674251000</v>
      </c>
      <c r="X19" s="36">
        <v>650581000</v>
      </c>
      <c r="Y19" s="36">
        <v>647514000</v>
      </c>
      <c r="Z19" s="36">
        <v>651564000</v>
      </c>
      <c r="AA19" s="36">
        <v>654619000</v>
      </c>
      <c r="AB19" s="36">
        <v>595688000</v>
      </c>
      <c r="AC19" s="36">
        <v>599907000</v>
      </c>
      <c r="AD19" s="36">
        <v>607065000</v>
      </c>
      <c r="AE19" s="36">
        <v>600335000</v>
      </c>
      <c r="AF19" s="36">
        <v>581525000</v>
      </c>
      <c r="AG19" s="36">
        <v>584659000</v>
      </c>
      <c r="AH19" s="36">
        <v>584066000</v>
      </c>
      <c r="AI19" s="36">
        <v>584545000</v>
      </c>
      <c r="AJ19" s="36">
        <v>587603000</v>
      </c>
      <c r="AK19" s="36">
        <v>584854000</v>
      </c>
      <c r="AL19" s="36">
        <v>581513000</v>
      </c>
      <c r="AM19" s="36">
        <v>580702000</v>
      </c>
      <c r="AN19" s="36">
        <v>580121000</v>
      </c>
      <c r="AO19" s="36">
        <v>579136000</v>
      </c>
      <c r="AP19" s="36">
        <v>578249000</v>
      </c>
      <c r="AQ19" s="36">
        <v>577069000</v>
      </c>
      <c r="AR19" s="36">
        <v>576069000</v>
      </c>
      <c r="AS19" s="36">
        <v>575725000</v>
      </c>
      <c r="AT19" s="36">
        <v>593601000</v>
      </c>
      <c r="AU19" s="36">
        <v>590974000</v>
      </c>
      <c r="AV19" s="36">
        <v>590506000</v>
      </c>
      <c r="AW19" s="36">
        <v>589219000</v>
      </c>
      <c r="AX19" s="36">
        <v>586639000</v>
      </c>
      <c r="AY19" s="36">
        <v>581637000</v>
      </c>
      <c r="AZ19" s="36">
        <v>572712000</v>
      </c>
      <c r="BA19" s="36">
        <v>573842000</v>
      </c>
      <c r="BB19" s="36">
        <v>580538000</v>
      </c>
      <c r="BC19" s="36">
        <v>583108000</v>
      </c>
      <c r="BD19" s="36">
        <v>580411000</v>
      </c>
      <c r="BE19" s="36">
        <v>900465000</v>
      </c>
      <c r="BF19" s="36">
        <v>585035000</v>
      </c>
      <c r="BG19" s="36">
        <v>591889000</v>
      </c>
      <c r="BH19" s="36">
        <v>896807000</v>
      </c>
      <c r="BI19" s="36">
        <v>895994000</v>
      </c>
      <c r="BJ19" s="36">
        <v>582010000</v>
      </c>
      <c r="BK19" s="36">
        <v>313549000</v>
      </c>
      <c r="BL19" s="36">
        <v>308959000</v>
      </c>
      <c r="BM19" s="36">
        <v>308748000</v>
      </c>
      <c r="BN19" s="36">
        <v>307682000</v>
      </c>
      <c r="BO19" s="36">
        <v>306048000</v>
      </c>
      <c r="BP19" s="36">
        <v>298076000</v>
      </c>
      <c r="BQ19" s="36">
        <v>298037000</v>
      </c>
      <c r="BR19" s="36">
        <v>289430000</v>
      </c>
      <c r="BS19" s="36">
        <v>290042000</v>
      </c>
      <c r="BT19" s="36">
        <v>257354000</v>
      </c>
      <c r="BU19" s="36">
        <v>257102000</v>
      </c>
      <c r="BV19" s="36">
        <v>256957000</v>
      </c>
      <c r="BW19" s="36">
        <v>256479000</v>
      </c>
      <c r="BX19" s="36">
        <v>254700000</v>
      </c>
      <c r="BY19" s="36">
        <v>254512000</v>
      </c>
      <c r="BZ19" s="36">
        <v>254701000</v>
      </c>
      <c r="CA19" s="36">
        <v>252890000</v>
      </c>
      <c r="CB19" s="36">
        <v>249434000</v>
      </c>
      <c r="CC19" s="36">
        <v>249786000</v>
      </c>
      <c r="CD19" s="36">
        <v>248844000</v>
      </c>
      <c r="CE19" s="36">
        <v>250354000</v>
      </c>
      <c r="CF19" s="36">
        <v>239517000</v>
      </c>
    </row>
    <row r="20" spans="1:131">
      <c r="A20" t="s">
        <v>159</v>
      </c>
      <c r="B20" s="36">
        <v>1994977000</v>
      </c>
      <c r="C20" s="36">
        <v>2001500000</v>
      </c>
      <c r="D20" s="36">
        <v>1963551000</v>
      </c>
      <c r="E20" s="36">
        <v>1962324000</v>
      </c>
      <c r="F20" s="36">
        <v>1954787000</v>
      </c>
      <c r="G20" s="36">
        <v>1934048000</v>
      </c>
      <c r="H20" s="36">
        <v>1893596000</v>
      </c>
      <c r="I20" s="36">
        <v>1907544000</v>
      </c>
      <c r="J20" s="36">
        <v>1900910000</v>
      </c>
      <c r="K20" s="36">
        <v>1874085000</v>
      </c>
      <c r="L20" s="36">
        <v>1837270000</v>
      </c>
      <c r="M20" s="36">
        <v>1813489000</v>
      </c>
      <c r="N20" s="36">
        <v>1817601000</v>
      </c>
      <c r="O20" s="36">
        <v>1804512000</v>
      </c>
      <c r="P20" s="36">
        <v>1751051000</v>
      </c>
      <c r="Q20" s="36">
        <v>1740653000</v>
      </c>
      <c r="R20" s="36">
        <v>1740826000</v>
      </c>
      <c r="S20" s="36">
        <v>1723960000</v>
      </c>
      <c r="T20" s="36">
        <v>1649934000</v>
      </c>
      <c r="U20" s="36">
        <v>1643770000</v>
      </c>
      <c r="V20" s="36">
        <v>1653274000</v>
      </c>
      <c r="W20" s="36">
        <v>1655689000</v>
      </c>
      <c r="X20" s="36">
        <v>1575003000</v>
      </c>
      <c r="Y20" s="36">
        <v>1561234000</v>
      </c>
      <c r="Z20" s="36">
        <v>1577635000</v>
      </c>
      <c r="AA20" s="36">
        <v>1593907000</v>
      </c>
      <c r="AB20" s="36">
        <v>1540227000</v>
      </c>
      <c r="AC20" s="36">
        <v>1535705000</v>
      </c>
      <c r="AD20" s="36">
        <v>1562070000</v>
      </c>
      <c r="AE20" s="36">
        <v>1567581000</v>
      </c>
      <c r="AF20" s="36">
        <v>1485418000</v>
      </c>
      <c r="AG20" s="36">
        <v>1494112000</v>
      </c>
      <c r="AH20" s="36">
        <v>1506895000</v>
      </c>
      <c r="AI20" s="36">
        <v>1506553000</v>
      </c>
      <c r="AJ20" s="36">
        <v>1446904000</v>
      </c>
      <c r="AK20" s="36">
        <v>1450231000</v>
      </c>
      <c r="AL20" s="36">
        <v>1490289000</v>
      </c>
      <c r="AM20" s="36">
        <v>1492902000</v>
      </c>
      <c r="AN20" s="36">
        <v>1423360000</v>
      </c>
      <c r="AO20" s="36">
        <v>1423370000</v>
      </c>
      <c r="AP20" s="36">
        <v>1437590000</v>
      </c>
      <c r="AQ20" s="36">
        <v>1443907000</v>
      </c>
      <c r="AR20" s="36">
        <v>1400983000</v>
      </c>
      <c r="AS20" s="36">
        <v>1398403000</v>
      </c>
      <c r="AT20" s="36">
        <v>1426720000</v>
      </c>
      <c r="AU20" s="36">
        <v>1422881000</v>
      </c>
      <c r="AV20" s="36">
        <v>1372926000</v>
      </c>
      <c r="AW20" s="36">
        <v>1351595000</v>
      </c>
      <c r="AX20" s="36">
        <v>1348440000</v>
      </c>
      <c r="AY20" s="36">
        <v>1345618000</v>
      </c>
      <c r="AZ20" s="36">
        <v>1295559000</v>
      </c>
      <c r="BA20" s="36">
        <v>1295076000</v>
      </c>
      <c r="BB20" s="36">
        <v>1323771000</v>
      </c>
      <c r="BC20" s="36">
        <v>1334140000</v>
      </c>
      <c r="BD20" s="36">
        <v>1267186000</v>
      </c>
      <c r="BE20" s="36">
        <v>1270852000</v>
      </c>
      <c r="BF20" s="36">
        <v>1294998000</v>
      </c>
      <c r="BG20" s="36">
        <v>1303091000</v>
      </c>
      <c r="BH20" s="36">
        <v>1236610000</v>
      </c>
      <c r="BI20" s="36">
        <v>1237790000</v>
      </c>
      <c r="BJ20" s="36">
        <v>1243364000</v>
      </c>
      <c r="BK20" s="36">
        <v>751533000</v>
      </c>
      <c r="BL20" s="36">
        <v>711125000</v>
      </c>
      <c r="BM20" s="36">
        <v>714862000</v>
      </c>
      <c r="BN20" s="36">
        <v>716006000</v>
      </c>
      <c r="BO20" s="36">
        <v>714872000</v>
      </c>
      <c r="BP20" s="36">
        <v>671362000</v>
      </c>
      <c r="BQ20" s="36">
        <v>671830000</v>
      </c>
      <c r="BR20" s="36">
        <v>643814000</v>
      </c>
      <c r="BS20" s="36">
        <v>645547000</v>
      </c>
      <c r="BT20" s="36">
        <v>552113000</v>
      </c>
      <c r="BU20" s="36">
        <v>553927000</v>
      </c>
      <c r="BV20" s="36">
        <v>558695000</v>
      </c>
      <c r="BW20" s="36">
        <v>562967000</v>
      </c>
      <c r="BX20" s="36">
        <v>522768000</v>
      </c>
      <c r="BY20" s="36">
        <v>522234000</v>
      </c>
      <c r="BZ20" s="36">
        <v>522828000</v>
      </c>
      <c r="CA20" s="36">
        <v>524093000</v>
      </c>
      <c r="CB20" s="36">
        <v>491436000</v>
      </c>
      <c r="CC20" s="36">
        <v>495241000</v>
      </c>
      <c r="CD20" s="36">
        <v>494955000</v>
      </c>
      <c r="CE20" s="36">
        <v>510159000</v>
      </c>
      <c r="CF20" s="36">
        <v>468920000</v>
      </c>
    </row>
    <row r="21" spans="1:131">
      <c r="A21" t="s">
        <v>160</v>
      </c>
      <c r="B21" s="36">
        <v>14061000</v>
      </c>
      <c r="C21" s="36">
        <v>13520000</v>
      </c>
      <c r="D21" s="36">
        <v>13741000</v>
      </c>
      <c r="E21" s="36">
        <v>13527000</v>
      </c>
      <c r="F21" s="36">
        <v>13021000</v>
      </c>
      <c r="G21" s="36">
        <v>13322000</v>
      </c>
      <c r="H21" s="36">
        <v>13688000</v>
      </c>
      <c r="I21" s="36">
        <v>14324000</v>
      </c>
      <c r="J21" s="36">
        <v>11067000</v>
      </c>
      <c r="K21" s="36">
        <v>4354000</v>
      </c>
      <c r="L21" s="36">
        <v>72594000</v>
      </c>
    </row>
    <row r="22" spans="1:131">
      <c r="A22" t="s">
        <v>161</v>
      </c>
      <c r="B22" s="36">
        <v>44415000</v>
      </c>
      <c r="C22" s="36">
        <v>41078000</v>
      </c>
      <c r="D22" s="36">
        <v>83658000</v>
      </c>
      <c r="E22" s="36">
        <v>75507000</v>
      </c>
      <c r="F22" s="36">
        <v>83472000</v>
      </c>
      <c r="G22" s="36">
        <v>93412000</v>
      </c>
      <c r="H22" s="36">
        <v>114740000</v>
      </c>
      <c r="I22" s="36">
        <v>70731000</v>
      </c>
      <c r="J22" s="36">
        <v>69050000</v>
      </c>
      <c r="K22" s="36">
        <v>59257000</v>
      </c>
      <c r="L22" s="36">
        <v>102072000</v>
      </c>
      <c r="M22" s="36">
        <v>77716000</v>
      </c>
      <c r="N22" s="36">
        <v>61474000</v>
      </c>
      <c r="O22" s="36">
        <v>36569000</v>
      </c>
      <c r="P22" s="36">
        <v>94602000</v>
      </c>
      <c r="Q22" s="36">
        <v>72847000</v>
      </c>
      <c r="R22" s="36">
        <v>57605000</v>
      </c>
      <c r="S22" s="36">
        <v>39775000</v>
      </c>
      <c r="T22" s="36">
        <v>97920000</v>
      </c>
      <c r="U22" s="36">
        <v>58299000</v>
      </c>
      <c r="V22" s="36">
        <v>34918000</v>
      </c>
      <c r="W22" s="36">
        <v>26095000</v>
      </c>
      <c r="X22" s="36">
        <v>87833000</v>
      </c>
      <c r="Y22" s="36">
        <v>50962000</v>
      </c>
      <c r="Z22" s="36">
        <v>25231000</v>
      </c>
      <c r="AA22" s="36">
        <v>16756000</v>
      </c>
      <c r="AB22" s="36">
        <v>85146000</v>
      </c>
      <c r="AC22" s="36">
        <v>70431000</v>
      </c>
      <c r="AD22" s="36">
        <v>39058000</v>
      </c>
      <c r="AE22" s="36">
        <v>34166000</v>
      </c>
      <c r="AF22" s="36">
        <v>85854000</v>
      </c>
      <c r="AG22" s="36">
        <v>44550000</v>
      </c>
      <c r="AH22" s="36">
        <v>18990000</v>
      </c>
      <c r="AI22" s="36">
        <v>9498000</v>
      </c>
      <c r="AJ22" s="36">
        <v>63509000</v>
      </c>
      <c r="AK22" s="36">
        <v>28971000</v>
      </c>
      <c r="AL22" s="36">
        <v>10898000</v>
      </c>
      <c r="AM22" s="36">
        <v>5490000</v>
      </c>
      <c r="AN22" s="36">
        <v>62951000</v>
      </c>
      <c r="AO22" s="36">
        <v>33892000</v>
      </c>
      <c r="AP22" s="36">
        <v>17315000</v>
      </c>
      <c r="AQ22" s="36">
        <v>10115000</v>
      </c>
      <c r="AR22" s="36">
        <v>38310000</v>
      </c>
      <c r="AS22" s="36">
        <v>16746000</v>
      </c>
      <c r="AT22" s="36">
        <v>4544000</v>
      </c>
      <c r="AU22" s="36">
        <v>5449000</v>
      </c>
      <c r="AV22" s="36">
        <v>39397000</v>
      </c>
      <c r="AW22" s="36">
        <v>34468000</v>
      </c>
      <c r="AX22" s="36">
        <v>18743000</v>
      </c>
      <c r="AY22" s="36">
        <v>12368000</v>
      </c>
      <c r="AZ22" s="36">
        <v>45274000</v>
      </c>
      <c r="BA22" s="36">
        <v>28110000</v>
      </c>
      <c r="BB22" s="36">
        <v>17270000</v>
      </c>
      <c r="BC22" s="36">
        <v>14272000</v>
      </c>
      <c r="BD22" s="36">
        <v>59095000</v>
      </c>
      <c r="BE22" s="36">
        <v>33997000</v>
      </c>
      <c r="BF22" s="36">
        <v>12847000</v>
      </c>
      <c r="BG22" s="36">
        <v>4334000</v>
      </c>
      <c r="BH22" s="36">
        <v>45876000</v>
      </c>
      <c r="BI22" s="36">
        <v>25288000</v>
      </c>
      <c r="BJ22" s="36">
        <v>17698000</v>
      </c>
      <c r="BK22" s="36">
        <v>6586000</v>
      </c>
      <c r="BL22" s="36">
        <v>37291000</v>
      </c>
      <c r="BM22" s="36">
        <v>23434000</v>
      </c>
      <c r="BN22" s="36">
        <v>10055000</v>
      </c>
      <c r="BO22" s="36">
        <v>5200000</v>
      </c>
      <c r="BP22" s="36">
        <v>35911000</v>
      </c>
      <c r="BQ22" s="36">
        <v>20470000</v>
      </c>
      <c r="BR22" s="36">
        <v>37207000</v>
      </c>
      <c r="BS22" s="36">
        <v>20406000</v>
      </c>
      <c r="BT22" s="36">
        <v>25841000</v>
      </c>
      <c r="BU22" s="36">
        <v>10832000</v>
      </c>
      <c r="BV22" s="36">
        <v>4269000</v>
      </c>
      <c r="BW22" s="36">
        <v>1087000</v>
      </c>
      <c r="BX22" s="36">
        <v>35136000</v>
      </c>
      <c r="BY22" s="36">
        <v>21811000</v>
      </c>
      <c r="BZ22" s="36">
        <v>10409000</v>
      </c>
      <c r="CA22" s="36">
        <v>4555000</v>
      </c>
      <c r="CB22" s="36">
        <v>30979000</v>
      </c>
      <c r="CC22" s="36">
        <v>12988000</v>
      </c>
      <c r="CD22" s="36">
        <v>11030000</v>
      </c>
      <c r="CE22" s="36">
        <v>2835000</v>
      </c>
      <c r="CF22" s="36">
        <v>17664000</v>
      </c>
    </row>
    <row r="23" spans="1:131">
      <c r="A23" t="s">
        <v>162</v>
      </c>
      <c r="B23" s="36">
        <v>-2095666000</v>
      </c>
      <c r="C23" s="36">
        <v>-2028345000</v>
      </c>
      <c r="D23" s="36">
        <v>-1993568000</v>
      </c>
      <c r="E23" s="36">
        <v>-1995138000</v>
      </c>
      <c r="F23" s="36">
        <v>-1959443000</v>
      </c>
      <c r="G23" s="36">
        <v>-1893656000</v>
      </c>
      <c r="H23" s="36">
        <v>-1836870000</v>
      </c>
      <c r="I23" s="36">
        <v>-1855019000</v>
      </c>
      <c r="J23" s="36">
        <v>-1829382000</v>
      </c>
      <c r="K23" s="36">
        <v>-1767972000</v>
      </c>
      <c r="L23" s="36">
        <v>-1734928000</v>
      </c>
      <c r="M23" s="36">
        <v>-1727345000</v>
      </c>
      <c r="N23" s="36">
        <v>-1727183000</v>
      </c>
      <c r="O23" s="36">
        <v>-1650680000</v>
      </c>
      <c r="P23" s="36">
        <v>-1611261000</v>
      </c>
      <c r="Q23" s="36">
        <v>-1614241000</v>
      </c>
      <c r="R23" s="36">
        <v>-1614727000</v>
      </c>
      <c r="S23" s="36">
        <v>-1539953000</v>
      </c>
      <c r="T23" s="36">
        <v>-1494405000</v>
      </c>
      <c r="U23" s="36">
        <v>-1494805000</v>
      </c>
      <c r="V23" s="36">
        <v>-1498908000</v>
      </c>
      <c r="W23" s="36">
        <v>-1444511000</v>
      </c>
      <c r="X23" s="36">
        <v>-1396588000</v>
      </c>
      <c r="Y23" s="36">
        <v>-1393805000</v>
      </c>
      <c r="Z23" s="36">
        <v>-1390062000</v>
      </c>
      <c r="AA23" s="36">
        <v>-1347595000</v>
      </c>
      <c r="AB23" s="36">
        <v>-1303356000</v>
      </c>
      <c r="AC23" s="36">
        <v>-1322652000</v>
      </c>
      <c r="AD23" s="36">
        <v>-1341557000</v>
      </c>
      <c r="AE23" s="36">
        <v>-1299074000</v>
      </c>
      <c r="AF23" s="36">
        <v>-1248072000</v>
      </c>
      <c r="AG23" s="36">
        <v>-1251740000</v>
      </c>
      <c r="AH23" s="36">
        <v>-1245597000</v>
      </c>
      <c r="AI23" s="36">
        <v>-1197126000</v>
      </c>
      <c r="AJ23" s="36">
        <v>-1167410000</v>
      </c>
      <c r="AK23" s="36">
        <v>-1154456000</v>
      </c>
      <c r="AL23" s="36">
        <v>-1175744000</v>
      </c>
      <c r="AM23" s="36">
        <v>-1111530000</v>
      </c>
      <c r="AN23" s="36">
        <v>-1046162000</v>
      </c>
      <c r="AO23" s="36">
        <v>-1044589000</v>
      </c>
      <c r="AP23" s="36">
        <v>-1044353000</v>
      </c>
      <c r="AQ23" s="36">
        <v>-992971000</v>
      </c>
      <c r="AR23" s="36">
        <v>-951982000</v>
      </c>
      <c r="AS23" s="36">
        <v>-948947000</v>
      </c>
      <c r="AT23" s="36">
        <v>-933247000</v>
      </c>
      <c r="AU23" s="36">
        <v>-874164000</v>
      </c>
      <c r="AV23" s="36">
        <v>-830642000</v>
      </c>
      <c r="AW23" s="36">
        <v>-826038000</v>
      </c>
      <c r="AX23" s="36">
        <v>-811789000</v>
      </c>
      <c r="AY23" s="36">
        <v>-753611000</v>
      </c>
      <c r="AZ23" s="36">
        <v>-708695000</v>
      </c>
      <c r="BA23" s="36">
        <v>-707656000</v>
      </c>
      <c r="BB23" s="36">
        <v>-706706000</v>
      </c>
      <c r="BC23" s="36">
        <v>-663024000</v>
      </c>
      <c r="BD23" s="36">
        <v>-620194000</v>
      </c>
      <c r="BE23" s="36">
        <v>-616440000</v>
      </c>
      <c r="BF23" s="36">
        <v>-608281000</v>
      </c>
      <c r="BG23" s="36">
        <v>-544960000</v>
      </c>
      <c r="BH23" s="36">
        <v>-499145000</v>
      </c>
      <c r="BI23" s="36">
        <v>-498980000</v>
      </c>
      <c r="BJ23" s="36">
        <v>-487260000</v>
      </c>
      <c r="BK23" s="36">
        <v>-434978000</v>
      </c>
      <c r="BL23" s="36">
        <v>-416810000</v>
      </c>
      <c r="BM23" s="36">
        <v>-417821000</v>
      </c>
      <c r="BN23" s="36">
        <v>-411859000</v>
      </c>
      <c r="BO23" s="36">
        <v>-389584000</v>
      </c>
      <c r="BP23" s="36">
        <v>-372247000</v>
      </c>
      <c r="BQ23" s="36">
        <v>-371007000</v>
      </c>
      <c r="BR23" s="36">
        <v>-364394000</v>
      </c>
      <c r="BS23" s="36">
        <v>-343695000</v>
      </c>
      <c r="BT23" s="36">
        <v>-327691000</v>
      </c>
      <c r="BU23" s="36">
        <v>-326731000</v>
      </c>
      <c r="BV23" s="36">
        <v>-326677000</v>
      </c>
      <c r="BW23" s="36">
        <v>-312803000</v>
      </c>
      <c r="BX23" s="36">
        <v>-297701000</v>
      </c>
      <c r="BY23" s="36">
        <v>-294354000</v>
      </c>
      <c r="BZ23" s="36">
        <v>-289184000</v>
      </c>
      <c r="CA23" s="36">
        <v>-274711000</v>
      </c>
      <c r="CB23" s="36">
        <v>-260299000</v>
      </c>
      <c r="CC23" s="36">
        <v>-257250000</v>
      </c>
      <c r="CD23" s="36">
        <v>-252475000</v>
      </c>
      <c r="CE23" s="36">
        <v>-251982000</v>
      </c>
      <c r="CF23" s="36">
        <v>-239186000</v>
      </c>
      <c r="CG23" s="36">
        <v>-236481000</v>
      </c>
      <c r="CH23" s="36">
        <v>-231055000</v>
      </c>
      <c r="CI23" s="36">
        <v>-214018000</v>
      </c>
      <c r="CJ23" s="36">
        <v>-201459000</v>
      </c>
      <c r="CK23" s="36">
        <v>-199300000</v>
      </c>
      <c r="CL23" s="36">
        <v>-197800000</v>
      </c>
      <c r="CM23" s="36">
        <v>-188400000</v>
      </c>
      <c r="CN23" s="36">
        <v>-178800000</v>
      </c>
      <c r="CO23" s="36">
        <v>-175600000</v>
      </c>
      <c r="CP23" s="36">
        <v>-172400000</v>
      </c>
      <c r="CQ23" s="36">
        <v>-160600000</v>
      </c>
      <c r="CR23" s="36">
        <v>-150200000</v>
      </c>
      <c r="CS23" s="36">
        <v>-147800000</v>
      </c>
      <c r="CT23" s="36">
        <v>-149100000</v>
      </c>
      <c r="CU23" s="36">
        <v>-137700000</v>
      </c>
      <c r="CV23" s="36">
        <v>-129600000</v>
      </c>
      <c r="CW23" s="36">
        <v>-130600000</v>
      </c>
      <c r="CX23" s="36">
        <v>-130300000</v>
      </c>
      <c r="CY23" s="36">
        <v>-120600000</v>
      </c>
      <c r="CZ23" s="36">
        <v>-113100000</v>
      </c>
      <c r="DA23" s="36">
        <v>-113100000</v>
      </c>
      <c r="DB23" s="36">
        <v>-113300000</v>
      </c>
      <c r="DC23" s="36">
        <v>-104200000</v>
      </c>
      <c r="DD23" s="36">
        <v>-98900000</v>
      </c>
      <c r="DE23" s="36">
        <v>-98900000</v>
      </c>
      <c r="DF23" s="36">
        <v>-87300000</v>
      </c>
      <c r="DG23" s="36">
        <v>-87400000</v>
      </c>
      <c r="DH23" s="36">
        <v>-89700000</v>
      </c>
      <c r="DI23" s="36">
        <v>-81100000</v>
      </c>
      <c r="DJ23" s="36">
        <v>-75800000</v>
      </c>
      <c r="DK23" s="36">
        <v>-75700000</v>
      </c>
      <c r="DL23" s="36">
        <v>-76800000</v>
      </c>
      <c r="DM23" s="36">
        <v>-68900000</v>
      </c>
      <c r="DN23" s="36">
        <v>-64800000</v>
      </c>
      <c r="DO23" s="36">
        <v>-64800000</v>
      </c>
      <c r="DP23" s="36">
        <v>-65500000</v>
      </c>
      <c r="DQ23" s="36">
        <v>-59500000</v>
      </c>
      <c r="DR23" s="36">
        <v>-55300000</v>
      </c>
      <c r="DS23" s="36">
        <v>-55300000</v>
      </c>
      <c r="DT23" s="36">
        <v>-55400000</v>
      </c>
      <c r="DU23" s="36">
        <v>-50100000</v>
      </c>
      <c r="DV23" s="36">
        <v>-46400000</v>
      </c>
      <c r="DW23" s="36">
        <v>-46400000</v>
      </c>
      <c r="DX23" s="36">
        <v>-46300000</v>
      </c>
      <c r="DY23" s="36">
        <v>-41200000</v>
      </c>
      <c r="DZ23" s="36">
        <v>-37800000</v>
      </c>
      <c r="EA23" s="36">
        <v>-31200000</v>
      </c>
    </row>
    <row r="24" spans="1:131">
      <c r="A24" t="s">
        <v>163</v>
      </c>
      <c r="B24" s="36">
        <v>317343000</v>
      </c>
      <c r="C24" s="36">
        <v>319944000</v>
      </c>
      <c r="D24" s="36">
        <v>318231000</v>
      </c>
      <c r="E24" s="36">
        <v>317249000</v>
      </c>
      <c r="F24" s="36">
        <v>313577000</v>
      </c>
      <c r="G24" s="36">
        <v>328074000</v>
      </c>
      <c r="H24" s="36">
        <v>326317000</v>
      </c>
      <c r="I24" s="36">
        <v>419553000</v>
      </c>
      <c r="J24" s="36">
        <v>418144000</v>
      </c>
      <c r="K24" s="36">
        <v>217895000</v>
      </c>
      <c r="L24" s="36">
        <v>216581000</v>
      </c>
      <c r="M24" s="36">
        <v>215095000</v>
      </c>
      <c r="N24" s="36">
        <v>219135000</v>
      </c>
      <c r="O24" s="36">
        <v>217177000</v>
      </c>
      <c r="P24" s="36">
        <v>220001000</v>
      </c>
      <c r="Q24" s="36">
        <v>221894000</v>
      </c>
      <c r="R24" s="36">
        <v>223542000</v>
      </c>
      <c r="S24" s="36">
        <v>218023000</v>
      </c>
      <c r="T24" s="36">
        <v>217623000</v>
      </c>
      <c r="U24" s="36">
        <v>217497000</v>
      </c>
      <c r="V24" s="36">
        <v>251890000</v>
      </c>
      <c r="W24" s="36">
        <v>253859000</v>
      </c>
      <c r="X24" s="36">
        <v>251363000</v>
      </c>
      <c r="Y24" s="36">
        <v>246706000</v>
      </c>
      <c r="Z24" s="36">
        <v>250568000</v>
      </c>
      <c r="AA24" s="36">
        <v>258940000</v>
      </c>
      <c r="AB24" s="36">
        <v>256866000</v>
      </c>
      <c r="AC24" s="36">
        <v>266482000</v>
      </c>
      <c r="AD24" s="36">
        <v>271279000</v>
      </c>
      <c r="AE24" s="36">
        <v>277159000</v>
      </c>
      <c r="AF24" s="36">
        <v>272448000</v>
      </c>
      <c r="AG24" s="36">
        <v>277560000</v>
      </c>
      <c r="AH24" s="36">
        <v>281961000</v>
      </c>
      <c r="AI24" s="36">
        <v>279199000</v>
      </c>
      <c r="AJ24" s="36">
        <v>283976000</v>
      </c>
      <c r="AK24" s="36">
        <v>286873000</v>
      </c>
      <c r="AL24" s="36">
        <v>288528000</v>
      </c>
      <c r="AM24" s="36">
        <v>283488000</v>
      </c>
      <c r="AN24" s="36">
        <v>286415000</v>
      </c>
      <c r="AO24" s="36">
        <v>283763000</v>
      </c>
      <c r="AP24" s="36">
        <v>282216000</v>
      </c>
      <c r="AQ24" s="36">
        <v>288319000</v>
      </c>
      <c r="AR24" s="36">
        <v>289347000</v>
      </c>
      <c r="AS24" s="36">
        <v>286891000</v>
      </c>
      <c r="AT24" s="36">
        <v>283374000</v>
      </c>
      <c r="AU24" s="36">
        <v>281947000</v>
      </c>
      <c r="AV24" s="36">
        <v>284600000</v>
      </c>
      <c r="AW24" s="36">
        <v>282214000</v>
      </c>
      <c r="AX24" s="36">
        <v>285606000</v>
      </c>
      <c r="AY24" s="36">
        <v>283129000</v>
      </c>
      <c r="AZ24" s="36">
        <v>274959000</v>
      </c>
      <c r="BA24" s="36">
        <v>276680000</v>
      </c>
      <c r="BB24" s="36">
        <v>385482000</v>
      </c>
      <c r="BC24" s="36">
        <v>388788000</v>
      </c>
      <c r="BD24" s="36">
        <v>388955000</v>
      </c>
      <c r="BE24" s="36">
        <v>391516000</v>
      </c>
      <c r="BF24" s="36">
        <v>388149000</v>
      </c>
      <c r="BG24" s="36">
        <v>384946000</v>
      </c>
      <c r="BH24" s="36">
        <v>379736000</v>
      </c>
      <c r="BI24" s="36">
        <v>378894000</v>
      </c>
      <c r="BJ24" s="36">
        <v>398782000</v>
      </c>
      <c r="BK24" s="36">
        <v>16223000</v>
      </c>
      <c r="BL24" s="36">
        <v>16337000</v>
      </c>
      <c r="BM24" s="36">
        <v>16928000</v>
      </c>
      <c r="BN24" s="36">
        <v>11578000</v>
      </c>
      <c r="BO24" s="36">
        <v>26713000</v>
      </c>
      <c r="BP24" s="36">
        <v>21291000</v>
      </c>
      <c r="BQ24" s="36">
        <v>13277000</v>
      </c>
      <c r="BR24" s="36">
        <v>14369000</v>
      </c>
      <c r="BS24" s="36">
        <v>11946000</v>
      </c>
      <c r="BT24" s="36">
        <v>16796000</v>
      </c>
      <c r="BU24" s="36">
        <v>12525000</v>
      </c>
      <c r="BV24" s="36">
        <v>11090000</v>
      </c>
      <c r="BW24" s="36">
        <v>11207000</v>
      </c>
      <c r="BX24" s="36">
        <v>11408000</v>
      </c>
      <c r="BY24" s="36">
        <v>11518000</v>
      </c>
      <c r="BZ24" s="36">
        <v>11609000</v>
      </c>
      <c r="CA24" s="36">
        <v>11687000</v>
      </c>
      <c r="CB24" s="36">
        <v>11730000</v>
      </c>
      <c r="CC24" s="36">
        <v>11445000</v>
      </c>
      <c r="CD24" s="36">
        <v>10571000</v>
      </c>
      <c r="CE24" s="36">
        <v>10593000</v>
      </c>
      <c r="CF24" s="36">
        <v>9798000</v>
      </c>
      <c r="CG24" s="36">
        <v>9846000</v>
      </c>
      <c r="CH24" s="36">
        <v>9950000</v>
      </c>
      <c r="CI24" s="36">
        <v>9961000</v>
      </c>
      <c r="CJ24" s="36">
        <v>10056000</v>
      </c>
      <c r="CK24" s="36">
        <v>10100000</v>
      </c>
      <c r="CL24" s="36">
        <v>10200000</v>
      </c>
      <c r="CM24" s="36">
        <v>10300000</v>
      </c>
      <c r="CN24" s="36">
        <v>10400000</v>
      </c>
      <c r="CO24" s="36">
        <v>10300000</v>
      </c>
      <c r="CP24" s="36">
        <v>10400000</v>
      </c>
      <c r="CQ24" s="36">
        <v>10500000</v>
      </c>
      <c r="CR24" s="36">
        <v>10600000</v>
      </c>
      <c r="CS24" s="36">
        <v>10500000</v>
      </c>
      <c r="CT24" s="36">
        <v>10600000</v>
      </c>
      <c r="CU24" s="36">
        <v>10700000</v>
      </c>
      <c r="CV24" s="36">
        <v>10600000</v>
      </c>
      <c r="CW24" s="36">
        <v>10700000</v>
      </c>
      <c r="CX24" s="36">
        <v>10800000</v>
      </c>
      <c r="CY24" s="36">
        <v>10900000</v>
      </c>
      <c r="CZ24" s="36">
        <v>11000000</v>
      </c>
      <c r="DA24" s="36">
        <v>11100000</v>
      </c>
      <c r="DB24" s="36">
        <v>11200000</v>
      </c>
      <c r="DC24" s="36">
        <v>11300000</v>
      </c>
      <c r="DD24" s="36">
        <v>11400000</v>
      </c>
      <c r="DE24" s="36">
        <v>11500000</v>
      </c>
      <c r="DF24" s="36">
        <v>11800000</v>
      </c>
      <c r="DG24" s="36">
        <v>11900000</v>
      </c>
      <c r="DH24" s="36">
        <v>12000000</v>
      </c>
      <c r="DI24" s="36">
        <v>12100000</v>
      </c>
      <c r="DJ24" s="36">
        <v>12200000</v>
      </c>
      <c r="DK24" s="36">
        <v>12300000</v>
      </c>
      <c r="DL24" s="36">
        <v>9400000</v>
      </c>
      <c r="DM24" s="36">
        <v>1400000</v>
      </c>
      <c r="DN24" s="36">
        <v>1400000</v>
      </c>
      <c r="DO24" s="36">
        <v>1500000</v>
      </c>
      <c r="DP24" s="36">
        <v>1300000</v>
      </c>
      <c r="DQ24" s="36">
        <v>1300000</v>
      </c>
      <c r="DR24" s="36">
        <v>1400000</v>
      </c>
      <c r="DS24" s="36">
        <v>1400000</v>
      </c>
      <c r="DT24" s="36">
        <v>1400000</v>
      </c>
      <c r="DU24" s="36">
        <v>1400000</v>
      </c>
      <c r="DV24" s="36">
        <v>1500000</v>
      </c>
      <c r="DW24" s="36">
        <v>1400000</v>
      </c>
      <c r="DX24" s="36">
        <v>1500000</v>
      </c>
      <c r="DY24" s="36">
        <v>1500000</v>
      </c>
      <c r="DZ24" s="36">
        <v>1600000</v>
      </c>
      <c r="EA24" s="36">
        <v>2100000</v>
      </c>
    </row>
    <row r="25" spans="1:131">
      <c r="A25" t="s">
        <v>164</v>
      </c>
      <c r="B25" s="36">
        <v>267216000</v>
      </c>
      <c r="C25" s="36">
        <v>269193000</v>
      </c>
      <c r="D25" s="36">
        <v>267718000</v>
      </c>
      <c r="E25" s="36">
        <v>266961000</v>
      </c>
      <c r="F25" s="36">
        <v>263860000</v>
      </c>
      <c r="G25" s="36">
        <v>276238000</v>
      </c>
      <c r="H25" s="36">
        <v>274659000</v>
      </c>
      <c r="I25" s="36">
        <v>359654000</v>
      </c>
      <c r="J25" s="36">
        <v>358451000</v>
      </c>
      <c r="K25" s="36">
        <v>181199000</v>
      </c>
      <c r="L25" s="36">
        <v>179939000</v>
      </c>
      <c r="M25" s="36">
        <v>178719000</v>
      </c>
      <c r="N25" s="36">
        <v>182004000</v>
      </c>
      <c r="O25" s="36">
        <v>180186000</v>
      </c>
      <c r="P25" s="36">
        <v>182291000</v>
      </c>
      <c r="Q25" s="36">
        <v>183830000</v>
      </c>
      <c r="R25" s="36">
        <v>185010000</v>
      </c>
      <c r="S25" s="36">
        <v>180370000</v>
      </c>
      <c r="T25" s="36">
        <v>179899000</v>
      </c>
      <c r="U25" s="36">
        <v>179660000</v>
      </c>
      <c r="V25" s="36">
        <v>215460000</v>
      </c>
      <c r="W25" s="36">
        <v>217026000</v>
      </c>
      <c r="X25" s="36">
        <v>214708000</v>
      </c>
      <c r="Y25" s="36">
        <v>210811000</v>
      </c>
      <c r="Z25" s="36">
        <v>214319000</v>
      </c>
      <c r="AA25" s="36">
        <v>221662000</v>
      </c>
      <c r="AB25" s="36">
        <v>219883000</v>
      </c>
      <c r="AC25" s="36">
        <v>228291000</v>
      </c>
      <c r="AD25" s="36">
        <v>232513000</v>
      </c>
      <c r="AE25" s="36">
        <v>237650000</v>
      </c>
      <c r="AF25" s="36">
        <v>233528000</v>
      </c>
      <c r="AG25" s="36">
        <v>238089000</v>
      </c>
      <c r="AH25" s="36">
        <v>241936000</v>
      </c>
      <c r="AI25" s="36">
        <v>239480000</v>
      </c>
      <c r="AJ25" s="36">
        <v>243653000</v>
      </c>
      <c r="AK25" s="36">
        <v>246221000</v>
      </c>
      <c r="AL25" s="36">
        <v>247663000</v>
      </c>
      <c r="AM25" s="36">
        <v>243239000</v>
      </c>
      <c r="AN25" s="36">
        <v>245808000</v>
      </c>
      <c r="AO25" s="36">
        <v>243490000</v>
      </c>
      <c r="AP25" s="36">
        <v>242149000</v>
      </c>
      <c r="AQ25" s="36">
        <v>247500000</v>
      </c>
      <c r="AR25" s="36">
        <v>248426000</v>
      </c>
      <c r="AS25" s="36">
        <v>246259000</v>
      </c>
      <c r="AT25" s="36">
        <v>242374000</v>
      </c>
      <c r="AU25" s="36">
        <v>241109000</v>
      </c>
      <c r="AV25" s="36">
        <v>242112000</v>
      </c>
      <c r="AW25" s="36">
        <v>240006000</v>
      </c>
      <c r="AX25" s="36">
        <v>235082000</v>
      </c>
      <c r="AY25" s="36">
        <v>228942000</v>
      </c>
      <c r="AZ25" s="36">
        <v>221399000</v>
      </c>
      <c r="BA25" s="36">
        <v>222602000</v>
      </c>
      <c r="BB25" s="36">
        <v>321299000</v>
      </c>
      <c r="BC25" s="36">
        <v>323882000</v>
      </c>
      <c r="BD25" s="36">
        <v>323708000</v>
      </c>
      <c r="BE25" s="36">
        <v>325418000</v>
      </c>
      <c r="BF25" s="36">
        <v>321856000</v>
      </c>
      <c r="BG25" s="36">
        <v>319474000</v>
      </c>
      <c r="BH25" s="36">
        <v>315169000</v>
      </c>
      <c r="BI25" s="36">
        <v>314057000</v>
      </c>
      <c r="BJ25" s="36">
        <v>332478000</v>
      </c>
    </row>
    <row r="26" spans="1:131">
      <c r="A26" t="s">
        <v>165</v>
      </c>
      <c r="B26" s="36">
        <v>50127000</v>
      </c>
      <c r="C26" s="36">
        <v>50751000</v>
      </c>
      <c r="D26" s="36">
        <v>50513000</v>
      </c>
      <c r="E26" s="36">
        <v>50288000</v>
      </c>
      <c r="F26" s="36">
        <v>49717000</v>
      </c>
      <c r="G26" s="36">
        <v>51836000</v>
      </c>
      <c r="H26" s="36">
        <v>51658000</v>
      </c>
      <c r="I26" s="36">
        <v>59899000</v>
      </c>
      <c r="J26" s="36">
        <v>59693000</v>
      </c>
      <c r="K26" s="36">
        <v>36696000</v>
      </c>
      <c r="L26" s="36">
        <v>36642000</v>
      </c>
      <c r="M26" s="36">
        <v>36376000</v>
      </c>
      <c r="N26" s="36">
        <v>37131000</v>
      </c>
      <c r="O26" s="36">
        <v>36991000</v>
      </c>
      <c r="P26" s="36">
        <v>37710000</v>
      </c>
      <c r="Q26" s="36">
        <v>38064000</v>
      </c>
      <c r="R26" s="36">
        <v>38532000</v>
      </c>
      <c r="S26" s="36">
        <v>37653000</v>
      </c>
      <c r="T26" s="36">
        <v>37724000</v>
      </c>
      <c r="U26" s="36">
        <v>37837000</v>
      </c>
      <c r="V26" s="36">
        <v>36430000</v>
      </c>
      <c r="W26" s="36">
        <v>36833000</v>
      </c>
      <c r="X26" s="36">
        <v>36655000</v>
      </c>
      <c r="Y26" s="36">
        <v>35895000</v>
      </c>
      <c r="Z26" s="36">
        <v>36249000</v>
      </c>
      <c r="AA26" s="36">
        <v>37278000</v>
      </c>
      <c r="AB26" s="36">
        <v>36983000</v>
      </c>
      <c r="AC26" s="36">
        <v>38191000</v>
      </c>
      <c r="AD26" s="36">
        <v>38766000</v>
      </c>
      <c r="AE26" s="36">
        <v>39509000</v>
      </c>
      <c r="AF26" s="36">
        <v>38920000</v>
      </c>
      <c r="AG26" s="36">
        <v>39471000</v>
      </c>
      <c r="AH26" s="36">
        <v>40025000</v>
      </c>
      <c r="AI26" s="36">
        <v>39719000</v>
      </c>
      <c r="AJ26" s="36">
        <v>40323000</v>
      </c>
      <c r="AK26" s="36">
        <v>40652000</v>
      </c>
      <c r="AL26" s="36">
        <v>40865000</v>
      </c>
      <c r="AM26" s="36">
        <v>40249000</v>
      </c>
      <c r="AN26" s="36">
        <v>40607000</v>
      </c>
      <c r="AO26" s="36">
        <v>40273000</v>
      </c>
      <c r="AP26" s="36">
        <v>40067000</v>
      </c>
      <c r="AQ26" s="36">
        <v>40819000</v>
      </c>
      <c r="AR26" s="36">
        <v>40921000</v>
      </c>
      <c r="AS26" s="36">
        <v>40632000</v>
      </c>
      <c r="AT26" s="36">
        <v>41000000</v>
      </c>
      <c r="AU26" s="36">
        <v>40838000</v>
      </c>
      <c r="AV26" s="36">
        <v>42488000</v>
      </c>
      <c r="AW26" s="36">
        <v>42208000</v>
      </c>
      <c r="AX26" s="36">
        <v>50524000</v>
      </c>
      <c r="AY26" s="36">
        <v>54187000</v>
      </c>
      <c r="AZ26" s="36">
        <v>53560000</v>
      </c>
      <c r="BA26" s="36">
        <v>54078000</v>
      </c>
      <c r="BB26" s="36">
        <v>64183000</v>
      </c>
      <c r="BC26" s="36">
        <v>64906000</v>
      </c>
      <c r="BD26" s="36">
        <v>65247000</v>
      </c>
      <c r="BE26" s="36">
        <v>66098000</v>
      </c>
      <c r="BF26" s="36">
        <v>66293000</v>
      </c>
      <c r="BG26" s="36">
        <v>65472000</v>
      </c>
      <c r="BH26" s="36">
        <v>64567000</v>
      </c>
      <c r="BI26" s="36">
        <v>64837000</v>
      </c>
      <c r="BJ26" s="36">
        <v>66304000</v>
      </c>
      <c r="BK26" s="36">
        <v>16223000</v>
      </c>
      <c r="BL26" s="36">
        <v>16337000</v>
      </c>
      <c r="BM26" s="36">
        <v>16928000</v>
      </c>
      <c r="BN26" s="36">
        <v>11578000</v>
      </c>
      <c r="BO26" s="36">
        <v>26713000</v>
      </c>
      <c r="BP26" s="36">
        <v>21291000</v>
      </c>
      <c r="BQ26" s="36">
        <v>13277000</v>
      </c>
      <c r="BR26" s="36">
        <v>14369000</v>
      </c>
      <c r="BS26" s="36">
        <v>11946000</v>
      </c>
      <c r="BT26" s="36">
        <v>16796000</v>
      </c>
      <c r="BU26" s="36">
        <v>12525000</v>
      </c>
      <c r="BV26" s="36">
        <v>11090000</v>
      </c>
      <c r="BW26" s="36">
        <v>11207000</v>
      </c>
      <c r="BX26" s="36">
        <v>11408000</v>
      </c>
      <c r="BY26" s="36">
        <v>11518000</v>
      </c>
      <c r="BZ26" s="36">
        <v>11609000</v>
      </c>
      <c r="CA26" s="36">
        <v>11687000</v>
      </c>
      <c r="CB26" s="36">
        <v>11730000</v>
      </c>
      <c r="CC26" s="36">
        <v>11445000</v>
      </c>
      <c r="CD26" s="36">
        <v>10571000</v>
      </c>
      <c r="CE26" s="36">
        <v>10593000</v>
      </c>
      <c r="CF26" s="36">
        <v>9798000</v>
      </c>
      <c r="CG26" s="36">
        <v>9846000</v>
      </c>
      <c r="CH26" s="36">
        <v>9950000</v>
      </c>
      <c r="CI26" s="36">
        <v>9961000</v>
      </c>
      <c r="CJ26" s="36">
        <v>10056000</v>
      </c>
      <c r="CK26" s="36">
        <v>10100000</v>
      </c>
      <c r="CL26" s="36">
        <v>10200000</v>
      </c>
      <c r="CM26" s="36">
        <v>10300000</v>
      </c>
      <c r="CN26" s="36">
        <v>10400000</v>
      </c>
      <c r="CO26" s="36">
        <v>10300000</v>
      </c>
      <c r="CP26" s="36">
        <v>10400000</v>
      </c>
      <c r="CQ26" s="36">
        <v>10500000</v>
      </c>
      <c r="CR26" s="36">
        <v>10600000</v>
      </c>
      <c r="CS26" s="36">
        <v>10500000</v>
      </c>
      <c r="CT26" s="36">
        <v>10600000</v>
      </c>
      <c r="CU26" s="36">
        <v>10700000</v>
      </c>
      <c r="CV26" s="36">
        <v>10600000</v>
      </c>
      <c r="CW26" s="36">
        <v>10700000</v>
      </c>
      <c r="CX26" s="36">
        <v>10800000</v>
      </c>
      <c r="CY26" s="36">
        <v>10900000</v>
      </c>
      <c r="CZ26" s="36">
        <v>11000000</v>
      </c>
      <c r="DA26" s="36">
        <v>11100000</v>
      </c>
      <c r="DB26" s="36">
        <v>11200000</v>
      </c>
      <c r="DC26" s="36">
        <v>11300000</v>
      </c>
      <c r="DD26" s="36">
        <v>11400000</v>
      </c>
      <c r="DE26" s="36">
        <v>11500000</v>
      </c>
      <c r="DF26" s="36">
        <v>11800000</v>
      </c>
      <c r="DG26" s="36">
        <v>11900000</v>
      </c>
      <c r="DH26" s="36">
        <v>12000000</v>
      </c>
      <c r="DI26" s="36">
        <v>12100000</v>
      </c>
      <c r="DJ26" s="36">
        <v>12200000</v>
      </c>
      <c r="DK26" s="36">
        <v>12300000</v>
      </c>
      <c r="DL26" s="36">
        <v>9400000</v>
      </c>
      <c r="DM26" s="36">
        <v>1400000</v>
      </c>
      <c r="DN26" s="36">
        <v>1400000</v>
      </c>
      <c r="DO26" s="36">
        <v>1500000</v>
      </c>
      <c r="DP26" s="36">
        <v>1300000</v>
      </c>
      <c r="DQ26" s="36">
        <v>1300000</v>
      </c>
      <c r="DR26" s="36">
        <v>1400000</v>
      </c>
      <c r="DS26" s="36">
        <v>1400000</v>
      </c>
      <c r="DT26" s="36">
        <v>1400000</v>
      </c>
      <c r="DU26" s="36">
        <v>1400000</v>
      </c>
      <c r="DV26" s="36">
        <v>1500000</v>
      </c>
      <c r="DW26" s="36">
        <v>1400000</v>
      </c>
      <c r="DX26" s="36">
        <v>1500000</v>
      </c>
      <c r="DY26" s="36">
        <v>1500000</v>
      </c>
      <c r="DZ26" s="36">
        <v>1600000</v>
      </c>
      <c r="EA26" s="36">
        <v>2100000</v>
      </c>
    </row>
    <row r="27" spans="1:131">
      <c r="A27" t="s">
        <v>166</v>
      </c>
      <c r="B27" s="36">
        <v>4940000</v>
      </c>
      <c r="C27" s="36">
        <v>4824000</v>
      </c>
      <c r="D27" s="36">
        <v>5836000</v>
      </c>
      <c r="E27" s="36">
        <v>6144000</v>
      </c>
      <c r="F27" s="36">
        <v>20796000</v>
      </c>
      <c r="G27" s="36">
        <v>38268000</v>
      </c>
      <c r="H27" s="36">
        <v>80406000</v>
      </c>
      <c r="I27" s="36">
        <v>11479000</v>
      </c>
      <c r="J27" s="36">
        <v>11669000</v>
      </c>
      <c r="K27" s="36">
        <v>11509000</v>
      </c>
      <c r="L27" s="36">
        <v>10996000</v>
      </c>
      <c r="M27" s="36">
        <v>9441000</v>
      </c>
      <c r="N27" s="36">
        <v>13536000</v>
      </c>
      <c r="O27" s="36">
        <v>9899000</v>
      </c>
      <c r="P27" s="36">
        <v>9507000</v>
      </c>
      <c r="Q27" s="36">
        <v>9510000</v>
      </c>
      <c r="R27" s="36">
        <v>17407000</v>
      </c>
      <c r="S27" s="36">
        <v>20499000</v>
      </c>
      <c r="T27" s="36">
        <v>20774000</v>
      </c>
      <c r="U27" s="36">
        <v>20788000</v>
      </c>
      <c r="V27" s="36">
        <v>21473000</v>
      </c>
      <c r="W27" s="36">
        <v>17256000</v>
      </c>
      <c r="X27" s="36">
        <v>17405000</v>
      </c>
      <c r="Y27" s="36">
        <v>37109000</v>
      </c>
      <c r="Z27" s="36">
        <v>38483000</v>
      </c>
      <c r="AA27" s="36">
        <v>40678000</v>
      </c>
      <c r="AB27" s="36">
        <v>41698000</v>
      </c>
      <c r="AC27" s="36">
        <v>41569000</v>
      </c>
      <c r="AD27" s="36">
        <v>42909000</v>
      </c>
      <c r="AE27" s="36">
        <v>44909000</v>
      </c>
      <c r="AF27" s="36">
        <v>43391000</v>
      </c>
      <c r="AG27" s="36">
        <v>44807000</v>
      </c>
      <c r="AH27" s="36">
        <v>31269000</v>
      </c>
      <c r="AI27" s="36">
        <v>32326000</v>
      </c>
      <c r="AJ27" s="36">
        <v>34648000</v>
      </c>
      <c r="AK27" s="36">
        <v>47614000</v>
      </c>
      <c r="AL27" s="36">
        <v>50171000</v>
      </c>
      <c r="AM27" s="36">
        <v>52542000</v>
      </c>
      <c r="AN27" s="36">
        <v>54193000</v>
      </c>
      <c r="AO27" s="36">
        <v>54188000</v>
      </c>
      <c r="AP27" s="36">
        <v>56622000</v>
      </c>
      <c r="AQ27" s="36">
        <v>58906000</v>
      </c>
      <c r="AR27" s="36">
        <v>64837000</v>
      </c>
      <c r="AS27" s="36">
        <v>48578000</v>
      </c>
      <c r="AT27" s="36">
        <v>41528000</v>
      </c>
      <c r="AU27" s="36">
        <v>18859000</v>
      </c>
      <c r="AV27" s="36">
        <v>20228000</v>
      </c>
      <c r="AW27" s="36">
        <v>20848000</v>
      </c>
      <c r="AX27" s="36">
        <v>22924000</v>
      </c>
      <c r="AY27" s="36">
        <v>46085000</v>
      </c>
      <c r="AZ27" s="36">
        <v>18281000</v>
      </c>
      <c r="BA27" s="36">
        <v>19778000</v>
      </c>
      <c r="BB27" s="36">
        <v>21597000</v>
      </c>
      <c r="BC27" s="36">
        <v>23080000</v>
      </c>
      <c r="BD27" s="36">
        <v>29141000</v>
      </c>
      <c r="BE27" s="36">
        <v>30842000</v>
      </c>
      <c r="BF27" s="36">
        <v>27397000</v>
      </c>
      <c r="BG27" s="36">
        <v>36530000</v>
      </c>
      <c r="BH27" s="36">
        <v>38138000</v>
      </c>
      <c r="BI27" s="36">
        <v>41810000</v>
      </c>
      <c r="BJ27" s="36">
        <v>38032000</v>
      </c>
      <c r="CK27" s="36">
        <v>100000</v>
      </c>
      <c r="CM27" s="36">
        <v>100000</v>
      </c>
      <c r="CQ27" s="36">
        <v>-100000</v>
      </c>
      <c r="CR27" s="36">
        <v>-100000</v>
      </c>
      <c r="CT27" s="36">
        <v>-100000</v>
      </c>
      <c r="CV27" s="36">
        <v>100000</v>
      </c>
      <c r="CW27" s="36">
        <v>100000</v>
      </c>
      <c r="DB27" s="36">
        <v>-100000</v>
      </c>
      <c r="DC27" s="36">
        <v>-100000</v>
      </c>
      <c r="DF27" s="36">
        <v>-100000</v>
      </c>
      <c r="DH27" s="36">
        <v>-100000</v>
      </c>
      <c r="DK27" s="36">
        <v>100000</v>
      </c>
      <c r="DN27" s="36">
        <v>-100000</v>
      </c>
      <c r="DO27" s="36">
        <v>-100000</v>
      </c>
      <c r="DP27" s="36">
        <v>-100000</v>
      </c>
      <c r="DQ27" s="36">
        <v>100000</v>
      </c>
      <c r="DS27" s="36">
        <v>100000</v>
      </c>
      <c r="DU27" s="36">
        <v>100000</v>
      </c>
      <c r="DV27" s="36">
        <v>-100000</v>
      </c>
      <c r="DX27" s="36">
        <v>1200000</v>
      </c>
      <c r="DY27" s="36">
        <v>1200000</v>
      </c>
      <c r="DZ27" s="36">
        <v>1400000</v>
      </c>
      <c r="EA27" s="36">
        <v>1500000</v>
      </c>
    </row>
    <row r="28" spans="1:131">
      <c r="A28" t="s">
        <v>167</v>
      </c>
      <c r="B28" s="36">
        <v>3497132000</v>
      </c>
      <c r="C28" s="36">
        <v>3505793000</v>
      </c>
      <c r="D28" s="36">
        <v>3408271000</v>
      </c>
      <c r="E28" s="36">
        <v>3359849000</v>
      </c>
      <c r="F28" s="36">
        <v>3052848000</v>
      </c>
      <c r="G28" s="36">
        <v>3069396000</v>
      </c>
      <c r="H28" s="36">
        <v>2663697000</v>
      </c>
      <c r="I28" s="36">
        <v>2591111000</v>
      </c>
      <c r="J28" s="36">
        <v>2615292000</v>
      </c>
      <c r="K28" s="36">
        <v>2633006000</v>
      </c>
      <c r="L28" s="36">
        <v>2242068000</v>
      </c>
      <c r="M28" s="36">
        <v>1991767000</v>
      </c>
      <c r="N28" s="36">
        <v>2037278000</v>
      </c>
      <c r="O28" s="36">
        <v>2149287000</v>
      </c>
      <c r="P28" s="36">
        <v>2055554000</v>
      </c>
      <c r="Q28" s="36">
        <v>1981213000</v>
      </c>
      <c r="R28" s="36">
        <v>2101290000</v>
      </c>
      <c r="S28" s="36">
        <v>2170097000</v>
      </c>
      <c r="T28" s="36">
        <v>2005831000</v>
      </c>
      <c r="U28" s="36">
        <v>1912662000</v>
      </c>
      <c r="V28" s="36">
        <v>1977662000</v>
      </c>
      <c r="W28" s="36">
        <v>2100808000</v>
      </c>
      <c r="X28" s="36">
        <v>2045566000</v>
      </c>
      <c r="Y28" s="36">
        <v>1937898000</v>
      </c>
      <c r="Z28" s="36">
        <v>1973804000</v>
      </c>
      <c r="AA28" s="36">
        <v>2079809000</v>
      </c>
      <c r="AB28" s="36">
        <v>2027093000</v>
      </c>
      <c r="AC28" s="36">
        <v>1942102000</v>
      </c>
      <c r="AD28" s="36">
        <v>1963520000</v>
      </c>
      <c r="AE28" s="36">
        <v>2062181000</v>
      </c>
      <c r="AF28" s="36">
        <v>1952444000</v>
      </c>
      <c r="AG28" s="36">
        <v>1875496000</v>
      </c>
      <c r="AH28" s="36">
        <v>1908830000</v>
      </c>
      <c r="AI28" s="36">
        <v>2041662000</v>
      </c>
      <c r="AJ28" s="36">
        <v>1993130000</v>
      </c>
      <c r="AK28" s="36">
        <v>1868362000</v>
      </c>
      <c r="AL28" s="36">
        <v>1903806000</v>
      </c>
      <c r="AM28" s="36">
        <v>2074389000</v>
      </c>
      <c r="AN28" s="36">
        <v>2041258000</v>
      </c>
      <c r="AO28" s="36">
        <v>1915837000</v>
      </c>
      <c r="AP28" s="36">
        <v>1961426000</v>
      </c>
      <c r="AQ28" s="36">
        <v>2121525000</v>
      </c>
      <c r="AR28" s="36">
        <v>2081892000</v>
      </c>
      <c r="AS28" s="36">
        <v>1945308000</v>
      </c>
      <c r="AT28" s="36">
        <v>2006160000</v>
      </c>
      <c r="AU28" s="36">
        <v>2150618000</v>
      </c>
      <c r="AV28" s="36">
        <v>2135002000</v>
      </c>
      <c r="AW28" s="36">
        <v>2017577000</v>
      </c>
      <c r="AX28" s="36">
        <v>2058941000</v>
      </c>
      <c r="AY28" s="36">
        <v>2249754000</v>
      </c>
      <c r="AZ28" s="36">
        <v>2195807000</v>
      </c>
      <c r="BA28" s="36">
        <v>2079297000</v>
      </c>
      <c r="BB28" s="36">
        <v>2054341000</v>
      </c>
      <c r="BC28" s="36">
        <v>2316667000</v>
      </c>
      <c r="BD28" s="36">
        <v>2299942000</v>
      </c>
      <c r="BE28" s="36">
        <v>2133576000</v>
      </c>
      <c r="BF28" s="36">
        <v>2161853000</v>
      </c>
      <c r="BG28" s="36">
        <v>2260198000</v>
      </c>
      <c r="BH28" s="36">
        <v>2204599000</v>
      </c>
      <c r="BI28" s="36">
        <v>2100306000</v>
      </c>
      <c r="BJ28" s="36">
        <v>2170752000</v>
      </c>
      <c r="BK28" s="36">
        <v>703641000</v>
      </c>
      <c r="BL28" s="36">
        <v>655174000</v>
      </c>
      <c r="BM28" s="36">
        <v>590560000</v>
      </c>
      <c r="BN28" s="36">
        <v>572424000</v>
      </c>
      <c r="BO28" s="36">
        <v>762114000</v>
      </c>
      <c r="BP28" s="36">
        <v>697722000</v>
      </c>
      <c r="BQ28" s="36">
        <v>622725000</v>
      </c>
      <c r="BR28" s="36">
        <v>592710000</v>
      </c>
      <c r="BS28" s="36">
        <v>769127000</v>
      </c>
      <c r="BT28" s="36">
        <v>583141000</v>
      </c>
      <c r="BU28" s="36">
        <v>510450000</v>
      </c>
      <c r="BV28" s="36">
        <v>490393000</v>
      </c>
      <c r="BW28" s="36">
        <v>610819000</v>
      </c>
      <c r="BX28" s="36">
        <v>584053000</v>
      </c>
      <c r="BY28" s="36">
        <v>516937000</v>
      </c>
      <c r="BZ28" s="36">
        <v>494995000</v>
      </c>
      <c r="CA28" s="36">
        <v>600951000</v>
      </c>
      <c r="CB28" s="36">
        <v>572587000</v>
      </c>
      <c r="CC28" s="36">
        <v>501981000</v>
      </c>
      <c r="CD28" s="36">
        <v>483200000</v>
      </c>
      <c r="CE28" s="36">
        <v>580459000</v>
      </c>
      <c r="CF28" s="36">
        <v>499675000</v>
      </c>
      <c r="CG28" s="36">
        <v>433554000</v>
      </c>
      <c r="CH28" s="36">
        <v>407296000</v>
      </c>
      <c r="CI28" s="36">
        <v>493719000</v>
      </c>
      <c r="CJ28" s="36">
        <v>438125000</v>
      </c>
      <c r="CK28" s="36">
        <v>359000000</v>
      </c>
      <c r="CL28" s="36">
        <v>311400000</v>
      </c>
      <c r="CM28" s="36">
        <v>398000000</v>
      </c>
      <c r="CN28" s="36">
        <v>366200000</v>
      </c>
      <c r="CO28" s="36">
        <v>289300000</v>
      </c>
      <c r="CP28" s="36">
        <v>269200000</v>
      </c>
      <c r="CQ28" s="36">
        <v>359400000</v>
      </c>
      <c r="CR28" s="36">
        <v>328200000</v>
      </c>
      <c r="CS28" s="36">
        <v>262400000</v>
      </c>
      <c r="CT28" s="36">
        <v>118000000</v>
      </c>
      <c r="CU28" s="36">
        <v>204900000</v>
      </c>
      <c r="CV28" s="36">
        <v>179100000</v>
      </c>
      <c r="CW28" s="36">
        <v>134100000</v>
      </c>
      <c r="CX28" s="36">
        <v>100800000</v>
      </c>
      <c r="CY28" s="36">
        <v>182200000</v>
      </c>
      <c r="CZ28" s="36">
        <v>167900000</v>
      </c>
      <c r="DA28" s="36">
        <v>123200000</v>
      </c>
      <c r="DB28" s="36">
        <v>100800000</v>
      </c>
      <c r="DC28" s="36">
        <v>163300000</v>
      </c>
      <c r="DD28" s="36">
        <v>143800000</v>
      </c>
      <c r="DE28" s="36">
        <v>108900000</v>
      </c>
      <c r="DF28" s="36">
        <v>148300000</v>
      </c>
      <c r="DG28" s="36">
        <v>118400000</v>
      </c>
      <c r="DH28" s="36">
        <v>94900000</v>
      </c>
      <c r="DI28" s="36">
        <v>168800000</v>
      </c>
      <c r="DJ28" s="36">
        <v>157000000</v>
      </c>
      <c r="DK28" s="36">
        <v>128200000</v>
      </c>
      <c r="DL28" s="36">
        <v>104500000</v>
      </c>
      <c r="DM28" s="36">
        <v>115500000</v>
      </c>
      <c r="DN28" s="36">
        <v>109800000</v>
      </c>
      <c r="DO28" s="36">
        <v>87400000</v>
      </c>
      <c r="DP28" s="36">
        <v>75100000</v>
      </c>
      <c r="DQ28" s="36">
        <v>115000000</v>
      </c>
      <c r="DR28" s="36">
        <v>111700000</v>
      </c>
      <c r="DS28" s="36">
        <v>89900000</v>
      </c>
      <c r="DT28" s="36">
        <v>75100000</v>
      </c>
      <c r="DU28" s="36">
        <v>117900000</v>
      </c>
      <c r="DV28" s="36">
        <v>108300000</v>
      </c>
      <c r="DW28" s="36">
        <v>88600000</v>
      </c>
      <c r="DX28" s="36">
        <v>75700000</v>
      </c>
      <c r="DY28" s="36">
        <v>120500000</v>
      </c>
      <c r="DZ28" s="36">
        <v>94400000</v>
      </c>
      <c r="EA28" s="36">
        <v>95300000</v>
      </c>
    </row>
    <row r="29" spans="1:131">
      <c r="A29" t="s">
        <v>168</v>
      </c>
      <c r="B29" s="36">
        <v>416603000</v>
      </c>
      <c r="C29" s="36">
        <v>442955000</v>
      </c>
      <c r="D29" s="36">
        <v>333011000</v>
      </c>
      <c r="E29" s="36">
        <v>299981000</v>
      </c>
      <c r="F29" s="36">
        <v>297363000</v>
      </c>
      <c r="G29" s="36">
        <v>231473000</v>
      </c>
      <c r="H29" s="36">
        <v>177839000</v>
      </c>
      <c r="I29" s="36">
        <v>324138000</v>
      </c>
      <c r="J29" s="36">
        <v>329479000</v>
      </c>
      <c r="K29" s="36">
        <v>359748000</v>
      </c>
      <c r="L29" s="36">
        <v>294179000</v>
      </c>
      <c r="M29" s="36">
        <v>234719000</v>
      </c>
      <c r="N29" s="36">
        <v>288063000</v>
      </c>
      <c r="O29" s="36">
        <v>360499000</v>
      </c>
      <c r="P29" s="36">
        <v>253180000</v>
      </c>
      <c r="Q29" s="36">
        <v>225494000</v>
      </c>
      <c r="R29" s="36">
        <v>301804000</v>
      </c>
      <c r="S29" s="36">
        <v>354820000</v>
      </c>
      <c r="T29" s="36">
        <v>236625000</v>
      </c>
      <c r="U29" s="36">
        <v>242683000</v>
      </c>
      <c r="V29" s="36">
        <v>262606000</v>
      </c>
      <c r="W29" s="36">
        <v>329440000</v>
      </c>
      <c r="X29" s="36">
        <v>265524000</v>
      </c>
      <c r="Y29" s="36">
        <v>198671000</v>
      </c>
      <c r="Z29" s="36">
        <v>221196000</v>
      </c>
      <c r="AA29" s="36">
        <v>291039000</v>
      </c>
      <c r="AB29" s="36">
        <v>223515000</v>
      </c>
      <c r="AC29" s="36">
        <v>198219000</v>
      </c>
      <c r="AD29" s="36">
        <v>199484000</v>
      </c>
      <c r="AE29" s="36">
        <v>262798000</v>
      </c>
      <c r="AF29" s="36">
        <v>185262000</v>
      </c>
      <c r="AG29" s="36">
        <v>158799000</v>
      </c>
      <c r="AH29" s="36">
        <v>186777000</v>
      </c>
      <c r="AI29" s="36">
        <v>270246000</v>
      </c>
      <c r="AJ29" s="36">
        <v>178872000</v>
      </c>
      <c r="AK29" s="36">
        <v>138202000</v>
      </c>
      <c r="AL29" s="36">
        <v>186848000</v>
      </c>
      <c r="AM29" s="36">
        <v>243087000</v>
      </c>
      <c r="AN29" s="36">
        <v>175441000</v>
      </c>
      <c r="AO29" s="36">
        <v>203443000</v>
      </c>
      <c r="AP29" s="36">
        <v>242877000</v>
      </c>
      <c r="AQ29" s="36">
        <v>321307000</v>
      </c>
      <c r="AR29" s="36">
        <v>250116000</v>
      </c>
      <c r="AS29" s="36">
        <v>168852000</v>
      </c>
      <c r="AT29" s="36">
        <v>172311000</v>
      </c>
      <c r="AU29" s="36">
        <v>210905000</v>
      </c>
      <c r="AV29" s="36">
        <v>158696000</v>
      </c>
      <c r="AW29" s="36">
        <v>131520000</v>
      </c>
      <c r="AX29" s="36">
        <v>189045000</v>
      </c>
      <c r="AY29" s="36">
        <v>201880000</v>
      </c>
      <c r="AZ29" s="36">
        <v>127300000</v>
      </c>
      <c r="BA29" s="36">
        <v>115239000</v>
      </c>
      <c r="BB29" s="36">
        <v>207891000</v>
      </c>
      <c r="BC29" s="36">
        <v>233311000</v>
      </c>
      <c r="BD29" s="36">
        <v>158115000</v>
      </c>
      <c r="BE29" s="36">
        <v>122708000</v>
      </c>
      <c r="BF29" s="36">
        <v>239825000</v>
      </c>
      <c r="BG29" s="36">
        <v>221360000</v>
      </c>
      <c r="BH29" s="36">
        <v>152518000</v>
      </c>
      <c r="BI29" s="36">
        <v>159258000</v>
      </c>
      <c r="BJ29" s="36">
        <v>252777000</v>
      </c>
      <c r="BK29" s="36">
        <v>174298000</v>
      </c>
      <c r="BL29" s="36">
        <v>142918000</v>
      </c>
      <c r="BM29" s="36">
        <v>130733000</v>
      </c>
      <c r="BN29" s="36">
        <v>146725000</v>
      </c>
      <c r="BO29" s="36">
        <v>157762000</v>
      </c>
      <c r="BP29" s="36">
        <v>114626000</v>
      </c>
      <c r="BQ29" s="36">
        <v>121517000</v>
      </c>
      <c r="BR29" s="36">
        <v>142711000</v>
      </c>
      <c r="BS29" s="36">
        <v>147466000</v>
      </c>
      <c r="BT29" s="36">
        <v>110239000</v>
      </c>
      <c r="BU29" s="36">
        <v>111694000</v>
      </c>
      <c r="BV29" s="36">
        <v>117324000</v>
      </c>
      <c r="BW29" s="36">
        <v>122258000</v>
      </c>
      <c r="BX29" s="36">
        <v>91473000</v>
      </c>
      <c r="BY29" s="36">
        <v>106338000</v>
      </c>
      <c r="BZ29" s="36">
        <v>112536000</v>
      </c>
      <c r="CA29" s="36">
        <v>124669000</v>
      </c>
      <c r="CB29" s="36">
        <v>90120000</v>
      </c>
      <c r="CC29" s="36">
        <v>96700000</v>
      </c>
      <c r="CD29" s="36">
        <v>309846000</v>
      </c>
      <c r="CE29" s="36">
        <v>447650000</v>
      </c>
      <c r="CF29" s="36">
        <v>167716000</v>
      </c>
      <c r="CG29" s="36">
        <v>114024000</v>
      </c>
      <c r="CH29" s="36">
        <v>132833000</v>
      </c>
      <c r="CI29" s="36">
        <v>182802000</v>
      </c>
      <c r="CJ29" s="36">
        <v>92758000</v>
      </c>
      <c r="CK29" s="36">
        <v>86600000</v>
      </c>
      <c r="CL29" s="36">
        <v>103900000</v>
      </c>
      <c r="CM29" s="36">
        <v>108500000</v>
      </c>
      <c r="CN29" s="36">
        <v>86800000</v>
      </c>
      <c r="CO29" s="36">
        <v>77200000</v>
      </c>
      <c r="CP29" s="36">
        <v>93300000</v>
      </c>
      <c r="CQ29" s="36">
        <v>99200000</v>
      </c>
      <c r="CR29" s="36">
        <v>72900000</v>
      </c>
      <c r="CS29" s="36">
        <v>62400000</v>
      </c>
      <c r="CT29" s="36">
        <v>47500000</v>
      </c>
      <c r="CU29" s="36">
        <v>60600000</v>
      </c>
      <c r="CV29" s="36">
        <v>46100000</v>
      </c>
      <c r="CW29" s="36">
        <v>39200000</v>
      </c>
      <c r="CX29" s="36">
        <v>45200000</v>
      </c>
      <c r="CY29" s="36">
        <v>56200000</v>
      </c>
      <c r="CZ29" s="36">
        <v>43400000</v>
      </c>
      <c r="DA29" s="36">
        <v>37600000</v>
      </c>
      <c r="DB29" s="36">
        <v>43900000</v>
      </c>
      <c r="DC29" s="36">
        <v>50700000</v>
      </c>
      <c r="DD29" s="36">
        <v>37900000</v>
      </c>
      <c r="DE29" s="36">
        <v>33600000</v>
      </c>
      <c r="DF29" s="36">
        <v>36400000</v>
      </c>
      <c r="DG29" s="36">
        <v>31600000</v>
      </c>
      <c r="DH29" s="36">
        <v>34000000</v>
      </c>
      <c r="DI29" s="36">
        <v>38700000</v>
      </c>
      <c r="DJ29" s="36">
        <v>32100000</v>
      </c>
      <c r="DK29" s="36">
        <v>27400000</v>
      </c>
      <c r="DL29" s="36">
        <v>30600000</v>
      </c>
      <c r="DM29" s="36">
        <v>28800000</v>
      </c>
      <c r="DN29" s="36">
        <v>24900000</v>
      </c>
      <c r="DO29" s="36">
        <v>21500000</v>
      </c>
      <c r="DP29" s="36">
        <v>25200000</v>
      </c>
      <c r="DQ29" s="36">
        <v>28000000</v>
      </c>
      <c r="DR29" s="36">
        <v>21000000</v>
      </c>
      <c r="DS29" s="36">
        <v>20000000</v>
      </c>
      <c r="DT29" s="36">
        <v>22300000</v>
      </c>
      <c r="DU29" s="36">
        <v>24300000</v>
      </c>
      <c r="DV29" s="36">
        <v>21000000</v>
      </c>
      <c r="DW29" s="36">
        <v>17500000</v>
      </c>
      <c r="DX29" s="36">
        <v>19700000</v>
      </c>
      <c r="DY29" s="36">
        <v>30600000</v>
      </c>
      <c r="DZ29" s="36">
        <v>16400000</v>
      </c>
      <c r="EA29" s="36">
        <v>15600000</v>
      </c>
    </row>
    <row r="30" spans="1:131">
      <c r="A30" t="s">
        <v>169</v>
      </c>
      <c r="B30" s="36">
        <v>205791000</v>
      </c>
      <c r="C30" s="36">
        <v>145113000</v>
      </c>
      <c r="D30" s="36">
        <v>121288000</v>
      </c>
      <c r="E30" s="36">
        <v>94305000</v>
      </c>
      <c r="F30" s="36">
        <v>118838000</v>
      </c>
      <c r="G30" s="36">
        <v>104611000</v>
      </c>
      <c r="H30" s="36">
        <v>114831000</v>
      </c>
      <c r="I30" s="36">
        <v>140596000</v>
      </c>
      <c r="J30" s="36">
        <v>167877000</v>
      </c>
      <c r="K30" s="36">
        <v>113579000</v>
      </c>
      <c r="L30" s="36">
        <v>111764000</v>
      </c>
      <c r="M30" s="36">
        <v>97999000</v>
      </c>
      <c r="N30" s="36">
        <v>156064000</v>
      </c>
      <c r="O30" s="36">
        <v>122179000</v>
      </c>
      <c r="P30" s="36">
        <v>103856000</v>
      </c>
      <c r="Q30" s="36">
        <v>114256000</v>
      </c>
      <c r="R30" s="36">
        <v>187523000</v>
      </c>
      <c r="S30" s="36">
        <v>127122000</v>
      </c>
      <c r="T30" s="36">
        <v>90310000</v>
      </c>
      <c r="U30" s="36">
        <v>130080000</v>
      </c>
      <c r="V30" s="36">
        <v>168838000</v>
      </c>
      <c r="W30" s="36">
        <v>130790000</v>
      </c>
      <c r="X30" s="36">
        <v>131966000</v>
      </c>
      <c r="Y30" s="36">
        <v>102686000</v>
      </c>
      <c r="Z30" s="36">
        <v>141080000</v>
      </c>
      <c r="AA30" s="36">
        <v>112181000</v>
      </c>
      <c r="AB30" s="36">
        <v>98077000</v>
      </c>
      <c r="AC30" s="36">
        <v>101890000</v>
      </c>
      <c r="AD30" s="36">
        <v>122812000</v>
      </c>
      <c r="AE30" s="36">
        <v>102317000</v>
      </c>
      <c r="AF30" s="36">
        <v>90968000</v>
      </c>
      <c r="AG30" s="36">
        <v>90625000</v>
      </c>
      <c r="AH30" s="36">
        <v>118762000</v>
      </c>
      <c r="AI30" s="36">
        <v>106989000</v>
      </c>
      <c r="AJ30" s="36">
        <v>82831000</v>
      </c>
      <c r="AK30" s="36">
        <v>74811000</v>
      </c>
      <c r="AL30" s="36">
        <v>92855000</v>
      </c>
      <c r="AM30" s="36">
        <v>73713000</v>
      </c>
      <c r="AN30" s="36">
        <v>53450000</v>
      </c>
      <c r="AO30" s="36">
        <v>78014000</v>
      </c>
      <c r="AP30" s="36">
        <v>87766000</v>
      </c>
      <c r="AQ30" s="36">
        <v>85874000</v>
      </c>
      <c r="AR30" s="36">
        <v>81561000</v>
      </c>
      <c r="AS30" s="36">
        <v>73051000</v>
      </c>
      <c r="AT30" s="36">
        <v>111493000</v>
      </c>
      <c r="AU30" s="36">
        <v>90477000</v>
      </c>
      <c r="AV30" s="36">
        <v>82425000</v>
      </c>
      <c r="AW30" s="36">
        <v>70600000</v>
      </c>
      <c r="AX30" s="36">
        <v>124076000</v>
      </c>
      <c r="AY30" s="36">
        <v>89960000</v>
      </c>
      <c r="AZ30" s="36">
        <v>60120000</v>
      </c>
      <c r="BA30" s="36">
        <v>62377000</v>
      </c>
      <c r="BB30" s="36">
        <v>146703000</v>
      </c>
      <c r="BC30" s="36">
        <v>115263000</v>
      </c>
      <c r="BD30" s="36">
        <v>81740000</v>
      </c>
      <c r="BE30" s="36">
        <v>64875000</v>
      </c>
      <c r="BF30" s="36">
        <v>178844000</v>
      </c>
      <c r="BG30" s="36">
        <v>109857000</v>
      </c>
      <c r="BH30" s="36">
        <v>84473000</v>
      </c>
      <c r="BI30" s="36">
        <v>100194000</v>
      </c>
      <c r="BJ30" s="36">
        <v>191605000</v>
      </c>
      <c r="BK30" s="36">
        <v>61608000</v>
      </c>
      <c r="BL30" s="36">
        <v>48246000</v>
      </c>
      <c r="BM30" s="36">
        <v>58704000</v>
      </c>
      <c r="BN30" s="36">
        <v>87644000</v>
      </c>
      <c r="BO30" s="36">
        <v>99185000</v>
      </c>
      <c r="BP30" s="36">
        <v>56769000</v>
      </c>
      <c r="BQ30" s="36">
        <v>63193000</v>
      </c>
      <c r="BR30" s="36">
        <v>85642000</v>
      </c>
      <c r="BS30" s="36">
        <v>93317000</v>
      </c>
      <c r="BT30" s="36">
        <v>50318000</v>
      </c>
      <c r="BU30" s="36">
        <v>52871000</v>
      </c>
      <c r="BV30" s="36">
        <v>64247000</v>
      </c>
      <c r="BW30" s="36">
        <v>79579000</v>
      </c>
      <c r="BX30" s="36">
        <v>49115000</v>
      </c>
      <c r="BY30" s="36">
        <v>63836000</v>
      </c>
      <c r="BZ30" s="36">
        <v>67579000</v>
      </c>
      <c r="CA30" s="36">
        <v>82551000</v>
      </c>
      <c r="CB30" s="36">
        <v>48587000</v>
      </c>
      <c r="CC30" s="36">
        <v>21206000</v>
      </c>
      <c r="CD30" s="36">
        <v>68172000</v>
      </c>
      <c r="CE30" s="36">
        <v>75403000</v>
      </c>
      <c r="CF30" s="36">
        <v>45014000</v>
      </c>
      <c r="CG30" s="36">
        <v>16562000</v>
      </c>
      <c r="CH30" s="36">
        <v>25228000</v>
      </c>
      <c r="CI30" s="36">
        <v>44272000</v>
      </c>
      <c r="CJ30" s="36">
        <v>28770000</v>
      </c>
      <c r="CK30" s="36">
        <v>21600000</v>
      </c>
      <c r="CL30" s="36">
        <v>30900000</v>
      </c>
      <c r="CM30" s="36">
        <v>40200000</v>
      </c>
      <c r="CN30" s="36">
        <v>27300000</v>
      </c>
      <c r="CO30" s="36">
        <v>17000000</v>
      </c>
      <c r="CP30" s="36">
        <v>23400000</v>
      </c>
      <c r="CQ30" s="36">
        <v>37000000</v>
      </c>
      <c r="CR30" s="36">
        <v>24700000</v>
      </c>
      <c r="CS30" s="36">
        <v>15600000</v>
      </c>
      <c r="CT30" s="36">
        <v>7200000</v>
      </c>
      <c r="CU30" s="36">
        <v>19800000</v>
      </c>
      <c r="CV30" s="36">
        <v>15500000</v>
      </c>
      <c r="CW30" s="36">
        <v>5300000</v>
      </c>
      <c r="CX30" s="36">
        <v>5700000</v>
      </c>
      <c r="CY30" s="36">
        <v>17300000</v>
      </c>
      <c r="CZ30" s="36">
        <v>13500000</v>
      </c>
      <c r="DA30" s="36">
        <v>6400000</v>
      </c>
      <c r="DB30" s="36">
        <v>7400000</v>
      </c>
      <c r="DC30" s="36">
        <v>17800000</v>
      </c>
      <c r="DD30" s="36">
        <v>11800000</v>
      </c>
      <c r="DE30" s="36">
        <v>5700000</v>
      </c>
      <c r="DF30" s="36">
        <v>10100000</v>
      </c>
      <c r="DG30" s="36">
        <v>5000000</v>
      </c>
      <c r="DH30" s="36">
        <v>6100000</v>
      </c>
      <c r="DI30" s="36">
        <v>12500000</v>
      </c>
      <c r="DJ30" s="36">
        <v>10200000</v>
      </c>
      <c r="DK30" s="36">
        <v>4900000</v>
      </c>
      <c r="DL30" s="36">
        <v>5800000</v>
      </c>
      <c r="DM30" s="36">
        <v>8800000</v>
      </c>
      <c r="DN30" s="36">
        <v>7500000</v>
      </c>
      <c r="DO30" s="36">
        <v>3600000</v>
      </c>
      <c r="DP30" s="36">
        <v>3600000</v>
      </c>
      <c r="DQ30" s="36">
        <v>8200000</v>
      </c>
      <c r="DR30" s="36">
        <v>6700000</v>
      </c>
      <c r="DS30" s="36">
        <v>3900000</v>
      </c>
      <c r="DT30" s="36">
        <v>4100000</v>
      </c>
      <c r="DU30" s="36">
        <v>8100000</v>
      </c>
      <c r="DV30" s="36">
        <v>6200000</v>
      </c>
      <c r="DW30" s="36">
        <v>3200000</v>
      </c>
      <c r="DX30" s="36">
        <v>4300000</v>
      </c>
      <c r="DY30" s="36">
        <v>6900000</v>
      </c>
    </row>
    <row r="31" spans="1:131">
      <c r="A31" t="s">
        <v>170</v>
      </c>
      <c r="B31" s="36">
        <v>63791000</v>
      </c>
      <c r="C31" s="36">
        <v>64454000</v>
      </c>
      <c r="D31" s="36">
        <v>32491000</v>
      </c>
      <c r="E31" s="36">
        <v>25047000</v>
      </c>
      <c r="F31" s="36">
        <v>29612000</v>
      </c>
      <c r="G31" s="36">
        <v>37525000</v>
      </c>
      <c r="H31" s="36">
        <v>45656000</v>
      </c>
      <c r="I31" s="36">
        <v>68581000</v>
      </c>
      <c r="J31" s="36">
        <v>81193000</v>
      </c>
      <c r="K31" s="36">
        <v>65560000</v>
      </c>
      <c r="L31" s="36">
        <v>57137000</v>
      </c>
      <c r="M31" s="36">
        <v>52905000</v>
      </c>
      <c r="N31" s="36">
        <v>81361000</v>
      </c>
      <c r="O31" s="36">
        <v>62291000</v>
      </c>
      <c r="P31" s="36">
        <v>49988000</v>
      </c>
      <c r="Q31" s="36">
        <v>68596000</v>
      </c>
      <c r="R31" s="36">
        <v>112367000</v>
      </c>
      <c r="S31" s="36">
        <v>75726000</v>
      </c>
      <c r="T31" s="36">
        <v>53251000</v>
      </c>
      <c r="U31" s="36">
        <v>79809000</v>
      </c>
      <c r="V31" s="36">
        <v>102807000</v>
      </c>
      <c r="W31" s="36">
        <v>71071000</v>
      </c>
      <c r="X31" s="36">
        <v>90969000</v>
      </c>
      <c r="Y31" s="36">
        <v>59059000</v>
      </c>
      <c r="Z31" s="36">
        <v>71153000</v>
      </c>
      <c r="AA31" s="36">
        <v>52060000</v>
      </c>
      <c r="AB31" s="36">
        <v>48424000</v>
      </c>
      <c r="AC31" s="36">
        <v>45733000</v>
      </c>
      <c r="AD31" s="36">
        <v>60273000</v>
      </c>
      <c r="AE31" s="36">
        <v>44756000</v>
      </c>
      <c r="AF31" s="36">
        <v>51480000</v>
      </c>
      <c r="AG31" s="36">
        <v>32703000</v>
      </c>
      <c r="AH31" s="36">
        <v>61270000</v>
      </c>
      <c r="AI31" s="36">
        <v>44360000</v>
      </c>
      <c r="AJ31" s="36">
        <v>46443000</v>
      </c>
      <c r="AK31" s="36">
        <v>28547000</v>
      </c>
      <c r="AL31" s="36">
        <v>75000000</v>
      </c>
      <c r="AM31" s="36">
        <v>49032000</v>
      </c>
      <c r="AN31" s="36">
        <v>37032000</v>
      </c>
      <c r="AO31" s="36">
        <v>28864000</v>
      </c>
      <c r="AP31" s="36">
        <v>61551000</v>
      </c>
      <c r="AQ31" s="36">
        <v>49943000</v>
      </c>
      <c r="AR31" s="36">
        <v>30132000</v>
      </c>
      <c r="AS31" s="36">
        <v>25931000</v>
      </c>
      <c r="AT31" s="36">
        <v>54155000</v>
      </c>
      <c r="AU31" s="36">
        <v>51801000</v>
      </c>
      <c r="AV31" s="36">
        <v>38539000</v>
      </c>
      <c r="AW31" s="36">
        <v>27970000</v>
      </c>
      <c r="AX31" s="36">
        <v>65884000</v>
      </c>
      <c r="AY31" s="36">
        <v>50703000</v>
      </c>
      <c r="AZ31" s="36">
        <v>33139000</v>
      </c>
      <c r="BA31" s="36">
        <v>31208000</v>
      </c>
      <c r="BB31" s="36">
        <v>31344000</v>
      </c>
      <c r="BC31" s="36">
        <v>62539000</v>
      </c>
      <c r="BD31" s="36">
        <v>36202000</v>
      </c>
      <c r="BE31" s="36">
        <v>18566000</v>
      </c>
      <c r="BF31" s="36">
        <v>41362000</v>
      </c>
      <c r="BG31" s="36">
        <v>57377000</v>
      </c>
      <c r="BH31" s="36">
        <v>34162000</v>
      </c>
      <c r="BI31" s="36">
        <v>19764000</v>
      </c>
      <c r="BJ31" s="36">
        <v>49360000</v>
      </c>
      <c r="BK31" s="36">
        <v>29833000</v>
      </c>
      <c r="BL31" s="36">
        <v>19098000</v>
      </c>
      <c r="BM31" s="36">
        <v>16590000</v>
      </c>
      <c r="BN31" s="36">
        <v>41042000</v>
      </c>
      <c r="BO31" s="36">
        <v>57360000</v>
      </c>
      <c r="BP31" s="36">
        <v>31644000</v>
      </c>
      <c r="BQ31" s="36">
        <v>21708000</v>
      </c>
      <c r="BR31" s="36">
        <v>41006000</v>
      </c>
      <c r="BS31" s="36">
        <v>52878000</v>
      </c>
      <c r="BT31" s="36">
        <v>32040000</v>
      </c>
      <c r="BU31" s="36">
        <v>20757000</v>
      </c>
      <c r="BV31" s="36">
        <v>28163000</v>
      </c>
      <c r="BW31" s="36">
        <v>45134000</v>
      </c>
      <c r="BX31" s="36">
        <v>33080000</v>
      </c>
      <c r="BY31" s="36">
        <v>28045000</v>
      </c>
      <c r="BZ31" s="36">
        <v>32400000</v>
      </c>
      <c r="CA31" s="36">
        <v>47554000</v>
      </c>
      <c r="CB31" s="36">
        <v>30662000</v>
      </c>
      <c r="CC31" s="36">
        <v>21206000</v>
      </c>
      <c r="CD31" s="36">
        <v>29724000</v>
      </c>
      <c r="CE31" s="36">
        <v>43805000</v>
      </c>
      <c r="CF31" s="36">
        <v>26589000</v>
      </c>
      <c r="CG31" s="36">
        <v>16562000</v>
      </c>
      <c r="CH31" s="36">
        <v>25228000</v>
      </c>
      <c r="CI31" s="36">
        <v>44272000</v>
      </c>
      <c r="CJ31" s="36">
        <v>28770000</v>
      </c>
      <c r="CK31" s="36">
        <v>21600000</v>
      </c>
      <c r="CL31" s="36">
        <v>30900000</v>
      </c>
      <c r="CM31" s="36">
        <v>40200000</v>
      </c>
      <c r="CN31" s="36">
        <v>27300000</v>
      </c>
      <c r="CO31" s="36">
        <v>17000000</v>
      </c>
      <c r="CP31" s="36">
        <v>23400000</v>
      </c>
      <c r="CQ31" s="36">
        <v>37000000</v>
      </c>
      <c r="CR31" s="36">
        <v>24700000</v>
      </c>
      <c r="CS31" s="36">
        <v>15600000</v>
      </c>
      <c r="CT31" s="36">
        <v>7200000</v>
      </c>
      <c r="CU31" s="36">
        <v>19800000</v>
      </c>
      <c r="CV31" s="36">
        <v>15500000</v>
      </c>
      <c r="CW31" s="36">
        <v>5300000</v>
      </c>
      <c r="CX31" s="36">
        <v>5700000</v>
      </c>
      <c r="CY31" s="36">
        <v>17300000</v>
      </c>
      <c r="CZ31" s="36">
        <v>13500000</v>
      </c>
      <c r="DA31" s="36">
        <v>6400000</v>
      </c>
      <c r="DB31" s="36">
        <v>7400000</v>
      </c>
      <c r="DC31" s="36">
        <v>17800000</v>
      </c>
      <c r="DD31" s="36">
        <v>11800000</v>
      </c>
      <c r="DE31" s="36">
        <v>5700000</v>
      </c>
      <c r="DF31" s="36">
        <v>10100000</v>
      </c>
      <c r="DG31" s="36">
        <v>5000000</v>
      </c>
      <c r="DH31" s="36">
        <v>6100000</v>
      </c>
      <c r="DI31" s="36">
        <v>12500000</v>
      </c>
      <c r="DJ31" s="36">
        <v>10200000</v>
      </c>
      <c r="DK31" s="36">
        <v>4900000</v>
      </c>
      <c r="DL31" s="36">
        <v>5800000</v>
      </c>
      <c r="DM31" s="36">
        <v>8800000</v>
      </c>
      <c r="DN31" s="36">
        <v>7500000</v>
      </c>
      <c r="DO31" s="36">
        <v>3600000</v>
      </c>
      <c r="DP31" s="36">
        <v>3600000</v>
      </c>
      <c r="DQ31" s="36">
        <v>8200000</v>
      </c>
      <c r="DR31" s="36">
        <v>6700000</v>
      </c>
      <c r="DS31" s="36">
        <v>3900000</v>
      </c>
      <c r="DT31" s="36">
        <v>4100000</v>
      </c>
      <c r="DU31" s="36">
        <v>8100000</v>
      </c>
      <c r="DV31" s="36">
        <v>6200000</v>
      </c>
      <c r="DW31" s="36">
        <v>3200000</v>
      </c>
      <c r="DX31" s="36">
        <v>4300000</v>
      </c>
      <c r="DY31" s="36">
        <v>6900000</v>
      </c>
    </row>
    <row r="32" spans="1:131">
      <c r="A32" t="s">
        <v>171</v>
      </c>
      <c r="B32" s="36">
        <v>49085000</v>
      </c>
      <c r="C32" s="36">
        <v>51452000</v>
      </c>
      <c r="D32" s="36">
        <v>22613000</v>
      </c>
      <c r="E32" s="36">
        <v>14272000</v>
      </c>
      <c r="F32" s="36">
        <v>16305000</v>
      </c>
      <c r="G32" s="36">
        <v>24848000</v>
      </c>
      <c r="H32" s="36">
        <v>39000000</v>
      </c>
      <c r="I32" s="36">
        <v>29344000</v>
      </c>
      <c r="J32" s="36">
        <v>32928000</v>
      </c>
      <c r="K32" s="36">
        <v>49284000</v>
      </c>
      <c r="L32" s="36">
        <v>47254000</v>
      </c>
      <c r="M32" s="36">
        <v>23314000</v>
      </c>
      <c r="N32" s="36">
        <v>32989000</v>
      </c>
      <c r="O32" s="36">
        <v>49551000</v>
      </c>
      <c r="P32" s="36">
        <v>39812000</v>
      </c>
      <c r="Q32" s="36">
        <v>24621000</v>
      </c>
      <c r="R32" s="36">
        <v>33710000</v>
      </c>
      <c r="S32" s="36">
        <v>45374000</v>
      </c>
      <c r="T32" s="36">
        <v>44715000</v>
      </c>
      <c r="U32" s="36">
        <v>20851000</v>
      </c>
      <c r="V32" s="36">
        <v>32891000</v>
      </c>
      <c r="W32" s="36">
        <v>40242000</v>
      </c>
      <c r="X32" s="36">
        <v>34092000</v>
      </c>
      <c r="Y32" s="36">
        <v>17122000</v>
      </c>
      <c r="Z32" s="36">
        <v>21418000</v>
      </c>
      <c r="AA32" s="36">
        <v>39917000</v>
      </c>
      <c r="AB32" s="36">
        <v>38265000</v>
      </c>
      <c r="AC32" s="36">
        <v>23933000</v>
      </c>
      <c r="AD32" s="36">
        <v>21866000</v>
      </c>
      <c r="AE32" s="36">
        <v>37503000</v>
      </c>
      <c r="AF32" s="36">
        <v>45028000</v>
      </c>
      <c r="AG32" s="36">
        <v>13222000</v>
      </c>
      <c r="AH32" s="36">
        <v>21877000</v>
      </c>
      <c r="AI32" s="36">
        <v>34339000</v>
      </c>
      <c r="AJ32" s="36">
        <v>37443000</v>
      </c>
      <c r="AK32" s="36">
        <v>10734000</v>
      </c>
      <c r="AL32" s="36">
        <v>22596000</v>
      </c>
      <c r="AM32" s="36">
        <v>38292000</v>
      </c>
      <c r="AN32" s="36">
        <v>28212000</v>
      </c>
      <c r="AO32" s="36">
        <v>12856000</v>
      </c>
      <c r="AP32" s="36">
        <v>28458000</v>
      </c>
      <c r="AQ32" s="36">
        <v>43240000</v>
      </c>
      <c r="AR32" s="36">
        <v>25090000</v>
      </c>
      <c r="AS32" s="36">
        <v>10787000</v>
      </c>
      <c r="AT32" s="36">
        <v>24841000</v>
      </c>
      <c r="AU32" s="36">
        <v>41200000</v>
      </c>
      <c r="AV32" s="36">
        <v>26081000</v>
      </c>
      <c r="AW32" s="36">
        <v>10040000</v>
      </c>
      <c r="AX32" s="36">
        <v>22228000</v>
      </c>
      <c r="AY32" s="36">
        <v>40503000</v>
      </c>
      <c r="AZ32" s="36">
        <v>22361000</v>
      </c>
      <c r="BA32" s="36">
        <v>14627000</v>
      </c>
      <c r="BB32" s="36">
        <v>31344000</v>
      </c>
      <c r="BC32" s="36">
        <v>62539000</v>
      </c>
      <c r="BD32" s="36">
        <v>36202000</v>
      </c>
      <c r="BE32" s="36">
        <v>18566000</v>
      </c>
      <c r="BF32" s="36">
        <v>41362000</v>
      </c>
      <c r="BG32" s="36">
        <v>57377000</v>
      </c>
      <c r="BH32" s="36">
        <v>34162000</v>
      </c>
      <c r="BI32" s="36">
        <v>19764000</v>
      </c>
      <c r="BJ32" s="36">
        <v>49360000</v>
      </c>
      <c r="BK32" s="36">
        <v>29833000</v>
      </c>
      <c r="BL32" s="36">
        <v>19098000</v>
      </c>
      <c r="BM32" s="36">
        <v>16590000</v>
      </c>
      <c r="BN32" s="36">
        <v>41042000</v>
      </c>
      <c r="BO32" s="36">
        <v>57360000</v>
      </c>
      <c r="BP32" s="36">
        <v>31644000</v>
      </c>
      <c r="BQ32" s="36">
        <v>21708000</v>
      </c>
      <c r="BR32" s="36">
        <v>41006000</v>
      </c>
      <c r="BS32" s="36">
        <v>52878000</v>
      </c>
      <c r="BT32" s="36">
        <v>32040000</v>
      </c>
      <c r="BU32" s="36">
        <v>20757000</v>
      </c>
      <c r="BV32" s="36">
        <v>28163000</v>
      </c>
      <c r="BW32" s="36">
        <v>45134000</v>
      </c>
      <c r="BX32" s="36">
        <v>33080000</v>
      </c>
      <c r="BY32" s="36">
        <v>28045000</v>
      </c>
      <c r="BZ32" s="36">
        <v>32400000</v>
      </c>
      <c r="CA32" s="36">
        <v>47554000</v>
      </c>
      <c r="CB32" s="36">
        <v>30662000</v>
      </c>
      <c r="CC32" s="36">
        <v>21206000</v>
      </c>
      <c r="CD32" s="36">
        <v>29724000</v>
      </c>
      <c r="CE32" s="36">
        <v>43805000</v>
      </c>
      <c r="CF32" s="36">
        <v>26589000</v>
      </c>
      <c r="CG32" s="36">
        <v>16562000</v>
      </c>
      <c r="CH32" s="36">
        <v>25228000</v>
      </c>
      <c r="CI32" s="36">
        <v>44272000</v>
      </c>
      <c r="CJ32" s="36">
        <v>28770000</v>
      </c>
      <c r="CK32" s="36">
        <v>21600000</v>
      </c>
      <c r="CL32" s="36">
        <v>30900000</v>
      </c>
      <c r="CM32" s="36">
        <v>40200000</v>
      </c>
      <c r="CN32" s="36">
        <v>27300000</v>
      </c>
      <c r="CO32" s="36">
        <v>17000000</v>
      </c>
      <c r="CP32" s="36">
        <v>23400000</v>
      </c>
      <c r="CQ32" s="36">
        <v>37000000</v>
      </c>
      <c r="CR32" s="36">
        <v>24700000</v>
      </c>
      <c r="CS32" s="36">
        <v>15600000</v>
      </c>
      <c r="CT32" s="36">
        <v>7200000</v>
      </c>
      <c r="CU32" s="36">
        <v>19800000</v>
      </c>
      <c r="CV32" s="36">
        <v>15500000</v>
      </c>
      <c r="CW32" s="36">
        <v>5300000</v>
      </c>
      <c r="CX32" s="36">
        <v>5700000</v>
      </c>
      <c r="CY32" s="36">
        <v>17300000</v>
      </c>
      <c r="CZ32" s="36">
        <v>13500000</v>
      </c>
      <c r="DA32" s="36">
        <v>6400000</v>
      </c>
      <c r="DB32" s="36">
        <v>7400000</v>
      </c>
      <c r="DC32" s="36">
        <v>17800000</v>
      </c>
      <c r="DD32" s="36">
        <v>11800000</v>
      </c>
      <c r="DE32" s="36">
        <v>5700000</v>
      </c>
      <c r="DF32" s="36">
        <v>10100000</v>
      </c>
      <c r="DG32" s="36">
        <v>5000000</v>
      </c>
      <c r="DH32" s="36">
        <v>6100000</v>
      </c>
      <c r="DI32" s="36">
        <v>12500000</v>
      </c>
      <c r="DJ32" s="36">
        <v>10200000</v>
      </c>
      <c r="DK32" s="36">
        <v>4900000</v>
      </c>
      <c r="DL32" s="36">
        <v>5800000</v>
      </c>
      <c r="DM32" s="36">
        <v>8800000</v>
      </c>
      <c r="DN32" s="36">
        <v>7500000</v>
      </c>
      <c r="DO32" s="36">
        <v>3600000</v>
      </c>
      <c r="DP32" s="36">
        <v>3600000</v>
      </c>
      <c r="DQ32" s="36">
        <v>8200000</v>
      </c>
      <c r="DR32" s="36">
        <v>6700000</v>
      </c>
      <c r="DS32" s="36">
        <v>3900000</v>
      </c>
      <c r="DT32" s="36">
        <v>4100000</v>
      </c>
      <c r="DU32" s="36">
        <v>8100000</v>
      </c>
      <c r="DV32" s="36">
        <v>6200000</v>
      </c>
      <c r="DW32" s="36">
        <v>3200000</v>
      </c>
      <c r="DX32" s="36">
        <v>4300000</v>
      </c>
      <c r="DY32" s="36">
        <v>6900000</v>
      </c>
    </row>
    <row r="33" spans="1:131">
      <c r="A33" t="s">
        <v>172</v>
      </c>
      <c r="B33" s="36">
        <v>14706000</v>
      </c>
      <c r="C33" s="36">
        <v>13002000</v>
      </c>
      <c r="D33" s="36">
        <v>9878000</v>
      </c>
      <c r="E33" s="36">
        <v>10775000</v>
      </c>
      <c r="F33" s="36">
        <v>13307000</v>
      </c>
      <c r="G33" s="36">
        <v>12677000</v>
      </c>
      <c r="H33" s="36">
        <v>6656000</v>
      </c>
      <c r="I33" s="36">
        <v>39237000</v>
      </c>
      <c r="J33" s="36">
        <v>48265000</v>
      </c>
      <c r="K33" s="36">
        <v>16276000</v>
      </c>
      <c r="L33" s="36">
        <v>9883000</v>
      </c>
      <c r="M33" s="36">
        <v>29591000</v>
      </c>
      <c r="N33" s="36">
        <v>48372000</v>
      </c>
      <c r="O33" s="36">
        <v>12740000</v>
      </c>
      <c r="P33" s="36">
        <v>10176000</v>
      </c>
      <c r="Q33" s="36">
        <v>43975000</v>
      </c>
      <c r="R33" s="36">
        <v>78657000</v>
      </c>
      <c r="S33" s="36">
        <v>30352000</v>
      </c>
      <c r="T33" s="36">
        <v>8536000</v>
      </c>
      <c r="U33" s="36">
        <v>58958000</v>
      </c>
      <c r="V33" s="36">
        <v>69916000</v>
      </c>
      <c r="W33" s="36">
        <v>30829000</v>
      </c>
      <c r="X33" s="36">
        <v>10563000</v>
      </c>
      <c r="Y33" s="36">
        <v>41937000</v>
      </c>
      <c r="Z33" s="36">
        <v>49735000</v>
      </c>
      <c r="AA33" s="36">
        <v>12143000</v>
      </c>
      <c r="AB33" s="36">
        <v>10159000</v>
      </c>
      <c r="AC33" s="36">
        <v>21800000</v>
      </c>
      <c r="AD33" s="36">
        <v>38407000</v>
      </c>
      <c r="AE33" s="36">
        <v>7253000</v>
      </c>
      <c r="AF33" s="36">
        <v>6452000</v>
      </c>
      <c r="AG33" s="36">
        <v>19481000</v>
      </c>
      <c r="AH33" s="36">
        <v>39393000</v>
      </c>
      <c r="AI33" s="36">
        <v>10021000</v>
      </c>
      <c r="AJ33" s="36">
        <v>9000000</v>
      </c>
      <c r="AK33" s="36">
        <v>17813000</v>
      </c>
      <c r="AL33" s="36">
        <v>52404000</v>
      </c>
      <c r="AM33" s="36">
        <v>10740000</v>
      </c>
      <c r="AN33" s="36">
        <v>8820000</v>
      </c>
      <c r="AO33" s="36">
        <v>16008000</v>
      </c>
      <c r="AP33" s="36">
        <v>33093000</v>
      </c>
      <c r="AQ33" s="36">
        <v>6703000</v>
      </c>
      <c r="AR33" s="36">
        <v>5042000</v>
      </c>
      <c r="AS33" s="36">
        <v>15144000</v>
      </c>
      <c r="AT33" s="36">
        <v>29314000</v>
      </c>
      <c r="AU33" s="36">
        <v>10601000</v>
      </c>
      <c r="AV33" s="36">
        <v>12458000</v>
      </c>
      <c r="AW33" s="36">
        <v>17930000</v>
      </c>
      <c r="AX33" s="36">
        <v>43656000</v>
      </c>
      <c r="AY33" s="36">
        <v>10200000</v>
      </c>
      <c r="AZ33" s="36">
        <v>10778000</v>
      </c>
      <c r="BA33" s="36">
        <v>16581000</v>
      </c>
    </row>
    <row r="34" spans="1:131">
      <c r="A34" t="s">
        <v>300</v>
      </c>
      <c r="T34">
        <v>0</v>
      </c>
      <c r="X34" s="36">
        <v>46314000</v>
      </c>
    </row>
    <row r="35" spans="1:131">
      <c r="A35" t="s">
        <v>173</v>
      </c>
      <c r="B35" s="36">
        <v>142000000</v>
      </c>
      <c r="C35" s="36">
        <v>80659000</v>
      </c>
      <c r="D35" s="36">
        <v>88797000</v>
      </c>
      <c r="E35" s="36">
        <v>69258000</v>
      </c>
      <c r="F35" s="36">
        <v>89226000</v>
      </c>
      <c r="G35" s="36">
        <v>67086000</v>
      </c>
      <c r="H35" s="36">
        <v>69175000</v>
      </c>
      <c r="I35" s="36">
        <v>72015000</v>
      </c>
      <c r="J35" s="36">
        <v>86684000</v>
      </c>
      <c r="K35" s="36">
        <v>48019000</v>
      </c>
      <c r="L35" s="36">
        <v>54627000</v>
      </c>
      <c r="M35" s="36">
        <v>45094000</v>
      </c>
      <c r="N35" s="36">
        <v>74703000</v>
      </c>
      <c r="O35" s="36">
        <v>59888000</v>
      </c>
      <c r="P35" s="36">
        <v>53868000</v>
      </c>
      <c r="Q35" s="36">
        <v>45660000</v>
      </c>
      <c r="R35" s="36">
        <v>75156000</v>
      </c>
      <c r="S35" s="36">
        <v>51396000</v>
      </c>
      <c r="T35" s="36">
        <v>37059000</v>
      </c>
      <c r="U35" s="36">
        <v>50271000</v>
      </c>
      <c r="V35" s="36">
        <v>66031000</v>
      </c>
      <c r="W35" s="36">
        <v>59719000</v>
      </c>
      <c r="X35" s="36">
        <v>40997000</v>
      </c>
      <c r="Y35" s="36">
        <v>43627000</v>
      </c>
      <c r="Z35" s="36">
        <v>69927000</v>
      </c>
      <c r="AA35" s="36">
        <v>60121000</v>
      </c>
      <c r="AB35" s="36">
        <v>49653000</v>
      </c>
      <c r="AC35" s="36">
        <v>56157000</v>
      </c>
      <c r="AD35" s="36">
        <v>62539000</v>
      </c>
      <c r="AE35" s="36">
        <v>57561000</v>
      </c>
      <c r="AF35" s="36">
        <v>39488000</v>
      </c>
      <c r="AG35" s="36">
        <v>57922000</v>
      </c>
      <c r="AH35" s="36">
        <v>57492000</v>
      </c>
      <c r="AI35" s="36">
        <v>62629000</v>
      </c>
      <c r="AJ35" s="36">
        <v>36388000</v>
      </c>
      <c r="AK35" s="36">
        <v>46264000</v>
      </c>
      <c r="AL35" s="36">
        <v>17855000</v>
      </c>
      <c r="AM35" s="36">
        <v>24681000</v>
      </c>
      <c r="AN35" s="36">
        <v>16418000</v>
      </c>
      <c r="AO35" s="36">
        <v>49150000</v>
      </c>
      <c r="AP35" s="36">
        <v>26215000</v>
      </c>
      <c r="AQ35" s="36">
        <v>35931000</v>
      </c>
      <c r="AR35" s="36">
        <v>51429000</v>
      </c>
      <c r="AS35" s="36">
        <v>47120000</v>
      </c>
      <c r="AT35" s="36">
        <v>57338000</v>
      </c>
      <c r="AU35" s="36">
        <v>38676000</v>
      </c>
      <c r="AV35" s="36">
        <v>43886000</v>
      </c>
      <c r="AW35" s="36">
        <v>42630000</v>
      </c>
      <c r="AX35" s="36">
        <v>58192000</v>
      </c>
      <c r="AY35" s="36">
        <v>39257000</v>
      </c>
      <c r="AZ35" s="36">
        <v>26981000</v>
      </c>
      <c r="BA35" s="36">
        <v>31169000</v>
      </c>
      <c r="BB35" s="36">
        <v>115359000</v>
      </c>
      <c r="BC35" s="36">
        <v>52724000</v>
      </c>
      <c r="BD35" s="36">
        <v>45538000</v>
      </c>
      <c r="BE35" s="36">
        <v>46309000</v>
      </c>
      <c r="BF35" s="36">
        <v>137482000</v>
      </c>
      <c r="BG35" s="36">
        <v>52480000</v>
      </c>
      <c r="BH35" s="36">
        <v>50311000</v>
      </c>
      <c r="BI35" s="36">
        <v>80430000</v>
      </c>
      <c r="BJ35" s="36">
        <v>142245000</v>
      </c>
      <c r="BK35" s="36">
        <v>31775000</v>
      </c>
      <c r="BL35" s="36">
        <v>29148000</v>
      </c>
      <c r="BM35" s="36">
        <v>42114000</v>
      </c>
      <c r="BN35" s="36">
        <v>46602000</v>
      </c>
      <c r="BO35" s="36">
        <v>41825000</v>
      </c>
      <c r="BP35" s="36">
        <v>25125000</v>
      </c>
      <c r="BQ35" s="36">
        <v>41485000</v>
      </c>
      <c r="BR35" s="36">
        <v>44636000</v>
      </c>
      <c r="BS35" s="36">
        <v>40439000</v>
      </c>
      <c r="BT35" s="36">
        <v>18278000</v>
      </c>
      <c r="BU35" s="36">
        <v>32114000</v>
      </c>
      <c r="BV35" s="36">
        <v>36084000</v>
      </c>
      <c r="BW35" s="36">
        <v>34445000</v>
      </c>
      <c r="BX35" s="36">
        <v>16035000</v>
      </c>
      <c r="BY35" s="36">
        <v>35791000</v>
      </c>
      <c r="BZ35" s="36">
        <v>35179000</v>
      </c>
      <c r="CA35" s="36">
        <v>34997000</v>
      </c>
      <c r="CB35" s="36">
        <v>17925000</v>
      </c>
      <c r="CD35" s="36">
        <v>38448000</v>
      </c>
      <c r="CE35" s="36">
        <v>31598000</v>
      </c>
      <c r="CF35" s="36">
        <v>18425000</v>
      </c>
    </row>
    <row r="36" spans="1:131">
      <c r="A36" t="s">
        <v>283</v>
      </c>
      <c r="B36" s="36">
        <v>58919000</v>
      </c>
      <c r="C36" s="36">
        <v>34402000</v>
      </c>
      <c r="D36" s="36">
        <v>58977000</v>
      </c>
      <c r="E36" s="36">
        <v>33718000</v>
      </c>
      <c r="F36" s="36">
        <v>50666000</v>
      </c>
      <c r="G36" s="36">
        <v>30794000</v>
      </c>
      <c r="H36" s="36">
        <v>28617000</v>
      </c>
      <c r="I36" s="36">
        <v>21442000</v>
      </c>
      <c r="J36" s="36">
        <v>30181000</v>
      </c>
      <c r="K36" s="36">
        <v>8176000</v>
      </c>
      <c r="L36" s="36">
        <v>20886000</v>
      </c>
      <c r="M36" s="36">
        <v>7927000</v>
      </c>
      <c r="N36" s="36">
        <v>21893000</v>
      </c>
      <c r="O36" s="36">
        <v>9265000</v>
      </c>
      <c r="P36" s="36">
        <v>21119000</v>
      </c>
      <c r="Q36" s="36">
        <v>8124000</v>
      </c>
      <c r="R36" s="36">
        <v>23928000</v>
      </c>
      <c r="S36" s="36">
        <v>9735000</v>
      </c>
      <c r="T36" s="36">
        <v>11013000</v>
      </c>
      <c r="U36" s="36">
        <v>9986000</v>
      </c>
      <c r="V36" s="36">
        <v>10939000</v>
      </c>
      <c r="W36" s="36">
        <v>11710000</v>
      </c>
      <c r="X36" s="36">
        <v>11360000</v>
      </c>
      <c r="Y36" s="36">
        <v>9910000</v>
      </c>
      <c r="Z36" s="36">
        <v>11898000</v>
      </c>
      <c r="AA36" s="36">
        <v>12455000</v>
      </c>
      <c r="AB36" s="36">
        <v>12056000</v>
      </c>
      <c r="AC36" s="36">
        <v>9916000</v>
      </c>
      <c r="AD36" s="36">
        <v>12008000</v>
      </c>
      <c r="AE36" s="36">
        <v>12516000</v>
      </c>
      <c r="AF36" s="36">
        <v>10073000</v>
      </c>
      <c r="AG36" s="36">
        <v>23201000</v>
      </c>
      <c r="AH36" s="36">
        <v>10253000</v>
      </c>
      <c r="AI36" s="36">
        <v>23944000</v>
      </c>
      <c r="AJ36" s="36">
        <v>8339000</v>
      </c>
      <c r="AK36" s="36">
        <v>15512000</v>
      </c>
      <c r="AL36" s="36">
        <v>7012000</v>
      </c>
      <c r="AM36" s="36">
        <v>16029000</v>
      </c>
      <c r="AN36" s="36">
        <v>10314000</v>
      </c>
      <c r="AO36" s="36">
        <v>15762000</v>
      </c>
      <c r="AP36" s="36">
        <v>13968000</v>
      </c>
      <c r="AQ36" s="36">
        <v>23870000</v>
      </c>
      <c r="AR36" s="36">
        <v>15337000</v>
      </c>
      <c r="AS36" s="36">
        <v>20409000</v>
      </c>
      <c r="AT36" s="36">
        <v>16219000</v>
      </c>
      <c r="AU36" s="36">
        <v>10207000</v>
      </c>
      <c r="AV36" s="36">
        <v>10268000</v>
      </c>
      <c r="AW36" s="36">
        <v>4905000</v>
      </c>
      <c r="AX36" s="36">
        <v>10017000</v>
      </c>
      <c r="AY36" s="36">
        <v>9488000</v>
      </c>
      <c r="AZ36" s="36">
        <v>9471000</v>
      </c>
      <c r="BA36" s="36">
        <v>3395000</v>
      </c>
    </row>
    <row r="37" spans="1:131">
      <c r="A37" t="s">
        <v>284</v>
      </c>
      <c r="B37" s="36">
        <v>24286000</v>
      </c>
      <c r="C37" s="36">
        <v>22336000</v>
      </c>
      <c r="D37" s="36">
        <v>22071000</v>
      </c>
      <c r="E37" s="36">
        <v>22322000</v>
      </c>
      <c r="F37" s="36">
        <v>22037000</v>
      </c>
      <c r="G37" s="36">
        <v>23028000</v>
      </c>
      <c r="H37" s="36">
        <v>25127000</v>
      </c>
      <c r="I37" s="36">
        <v>24665000</v>
      </c>
      <c r="J37" s="36">
        <v>23837000</v>
      </c>
      <c r="K37" s="36">
        <v>21427000</v>
      </c>
      <c r="L37" s="36">
        <v>23579000</v>
      </c>
      <c r="M37" s="36">
        <v>24021000</v>
      </c>
      <c r="N37" s="36">
        <v>25923000</v>
      </c>
      <c r="O37" s="36">
        <v>25272000</v>
      </c>
      <c r="P37" s="36">
        <v>24811000</v>
      </c>
      <c r="Q37" s="36">
        <v>25107000</v>
      </c>
      <c r="R37" s="36">
        <v>27549000</v>
      </c>
      <c r="S37" s="36">
        <v>26860000</v>
      </c>
      <c r="T37" s="36">
        <v>25833000</v>
      </c>
      <c r="U37" s="36">
        <v>27063000</v>
      </c>
      <c r="V37" s="36">
        <v>26820000</v>
      </c>
      <c r="W37" s="36">
        <v>25588000</v>
      </c>
      <c r="X37" s="36">
        <v>24252000</v>
      </c>
      <c r="Y37" s="36">
        <v>23996000</v>
      </c>
      <c r="Z37" s="36">
        <v>24402000</v>
      </c>
      <c r="AA37" s="36">
        <v>24020000</v>
      </c>
      <c r="AB37" s="36">
        <v>22785000</v>
      </c>
      <c r="AC37" s="36">
        <v>23377000</v>
      </c>
      <c r="AD37" s="36">
        <v>23931000</v>
      </c>
      <c r="AE37" s="36">
        <v>23659000</v>
      </c>
      <c r="AF37" s="36">
        <v>22696000</v>
      </c>
      <c r="AG37" s="36">
        <v>23653000</v>
      </c>
      <c r="AH37" s="36">
        <v>24088000</v>
      </c>
      <c r="AI37" s="36">
        <v>24592000</v>
      </c>
      <c r="AJ37" s="36">
        <v>23557000</v>
      </c>
      <c r="AK37" s="36">
        <v>23906000</v>
      </c>
    </row>
    <row r="38" spans="1:131">
      <c r="A38" t="s">
        <v>174</v>
      </c>
      <c r="AL38" s="36">
        <v>36219000</v>
      </c>
      <c r="AM38" s="36">
        <v>37709000</v>
      </c>
      <c r="AN38" s="36">
        <v>33562000</v>
      </c>
      <c r="AP38" s="36">
        <v>41109000</v>
      </c>
      <c r="AQ38" s="36">
        <v>28379000</v>
      </c>
      <c r="BA38" s="36">
        <v>17822000</v>
      </c>
    </row>
    <row r="39" spans="1:131">
      <c r="A39" t="s">
        <v>175</v>
      </c>
      <c r="H39" s="36">
        <v>7500000</v>
      </c>
      <c r="I39" s="36">
        <v>7500000</v>
      </c>
      <c r="J39" s="36">
        <v>7500000</v>
      </c>
      <c r="K39" s="36">
        <v>7500000</v>
      </c>
      <c r="L39" s="36">
        <v>7500000</v>
      </c>
      <c r="M39" s="36">
        <v>5625000</v>
      </c>
      <c r="N39" s="36">
        <v>3750000</v>
      </c>
      <c r="O39" s="36">
        <v>1875000</v>
      </c>
      <c r="S39" s="36">
        <v>7500000</v>
      </c>
      <c r="T39" s="36">
        <v>4350000</v>
      </c>
      <c r="U39" s="36">
        <v>2775000</v>
      </c>
      <c r="V39" s="36">
        <v>1200000</v>
      </c>
      <c r="X39" s="36">
        <v>4050000</v>
      </c>
      <c r="Y39" s="36">
        <v>2475000</v>
      </c>
      <c r="AD39" s="36">
        <v>4600000</v>
      </c>
      <c r="AE39" s="36">
        <v>3025000</v>
      </c>
      <c r="AF39" s="36">
        <v>1450000</v>
      </c>
      <c r="AH39" s="36">
        <v>6300000</v>
      </c>
      <c r="AI39" s="36">
        <v>6300000</v>
      </c>
      <c r="AJ39" s="36">
        <v>6300000</v>
      </c>
      <c r="AN39" s="36">
        <v>15921000</v>
      </c>
      <c r="AO39" s="36">
        <v>15921000</v>
      </c>
      <c r="AQ39" s="36">
        <v>11800000</v>
      </c>
      <c r="AR39" s="36">
        <v>11800000</v>
      </c>
      <c r="AT39" s="36">
        <v>11750000</v>
      </c>
      <c r="AU39" s="36">
        <v>15546000</v>
      </c>
      <c r="AV39" s="36">
        <v>15546000</v>
      </c>
      <c r="AW39" s="36">
        <v>15959000</v>
      </c>
      <c r="AX39" s="36">
        <v>16496000</v>
      </c>
      <c r="AY39" s="36">
        <v>17183000</v>
      </c>
      <c r="AZ39" s="36">
        <v>17317000</v>
      </c>
      <c r="BA39" s="36">
        <v>17450000</v>
      </c>
      <c r="BB39" s="36">
        <v>17450000</v>
      </c>
      <c r="BC39" s="36">
        <v>17450000</v>
      </c>
      <c r="BD39" s="36">
        <v>17450000</v>
      </c>
      <c r="BE39" s="36">
        <v>17450000</v>
      </c>
      <c r="BF39" s="36">
        <v>17450000</v>
      </c>
      <c r="BG39" s="36">
        <v>17450000</v>
      </c>
      <c r="BH39" s="36">
        <v>17450000</v>
      </c>
      <c r="BI39" s="36">
        <v>17450000</v>
      </c>
      <c r="BJ39" s="36">
        <v>17450000</v>
      </c>
      <c r="BK39" s="36">
        <v>40000000</v>
      </c>
      <c r="BL39" s="36">
        <v>40000000</v>
      </c>
      <c r="BM39" s="36">
        <v>20000000</v>
      </c>
      <c r="BN39" s="36">
        <v>20000000</v>
      </c>
      <c r="BO39" s="36">
        <v>20000000</v>
      </c>
      <c r="BP39" s="36">
        <v>20000000</v>
      </c>
      <c r="BQ39" s="36">
        <v>20000000</v>
      </c>
      <c r="BR39" s="36">
        <v>20000000</v>
      </c>
      <c r="BS39" s="36">
        <v>20000000</v>
      </c>
      <c r="BT39" s="36">
        <v>20000000</v>
      </c>
      <c r="BU39" s="36">
        <v>20000000</v>
      </c>
      <c r="BV39" s="36">
        <v>20000000</v>
      </c>
      <c r="BW39" s="36">
        <v>10000000</v>
      </c>
      <c r="BX39" s="36">
        <v>10000000</v>
      </c>
      <c r="BY39" s="36">
        <v>10000000</v>
      </c>
      <c r="BZ39" s="36">
        <v>10000000</v>
      </c>
      <c r="CA39" s="36">
        <v>10000000</v>
      </c>
      <c r="CB39" s="36">
        <v>10000000</v>
      </c>
      <c r="CC39" s="36">
        <v>10000000</v>
      </c>
      <c r="CD39" s="36">
        <v>208950000</v>
      </c>
      <c r="CE39" s="36">
        <v>343450000</v>
      </c>
      <c r="CF39" s="36">
        <v>92450000</v>
      </c>
      <c r="CG39" s="36">
        <v>38550000</v>
      </c>
      <c r="CH39" s="36">
        <v>40000000</v>
      </c>
      <c r="CI39" s="36">
        <v>57650000</v>
      </c>
      <c r="DB39" s="36">
        <v>13300000</v>
      </c>
    </row>
    <row r="40" spans="1:131">
      <c r="A40" t="s">
        <v>176</v>
      </c>
      <c r="H40" s="36">
        <v>7500000</v>
      </c>
      <c r="I40" s="36">
        <v>7500000</v>
      </c>
      <c r="J40" s="36">
        <v>7500000</v>
      </c>
      <c r="K40" s="36">
        <v>7500000</v>
      </c>
      <c r="L40" s="36">
        <v>7500000</v>
      </c>
      <c r="M40" s="36">
        <v>5625000</v>
      </c>
      <c r="N40" s="36">
        <v>3750000</v>
      </c>
      <c r="O40" s="36">
        <v>1875000</v>
      </c>
      <c r="S40" s="36">
        <v>7500000</v>
      </c>
      <c r="T40" s="36">
        <v>4350000</v>
      </c>
      <c r="U40" s="36">
        <v>2775000</v>
      </c>
      <c r="V40" s="36">
        <v>1200000</v>
      </c>
      <c r="X40" s="36">
        <v>4050000</v>
      </c>
      <c r="Y40" s="36">
        <v>2475000</v>
      </c>
      <c r="AD40" s="36">
        <v>4600000</v>
      </c>
      <c r="AE40" s="36">
        <v>3025000</v>
      </c>
      <c r="AF40" s="36">
        <v>1450000</v>
      </c>
      <c r="AH40" s="36">
        <v>6300000</v>
      </c>
      <c r="AI40" s="36">
        <v>6300000</v>
      </c>
      <c r="AJ40" s="36">
        <v>6300000</v>
      </c>
      <c r="AN40" s="36">
        <v>15921000</v>
      </c>
      <c r="AO40" s="36">
        <v>15921000</v>
      </c>
      <c r="AQ40" s="36">
        <v>11800000</v>
      </c>
      <c r="AR40" s="36">
        <v>11800000</v>
      </c>
      <c r="AT40" s="36">
        <v>11750000</v>
      </c>
      <c r="AU40" s="36">
        <v>15546000</v>
      </c>
      <c r="AV40" s="36">
        <v>15546000</v>
      </c>
      <c r="AW40" s="36">
        <v>15959000</v>
      </c>
      <c r="AX40" s="36">
        <v>16496000</v>
      </c>
      <c r="AY40" s="36">
        <v>17183000</v>
      </c>
      <c r="AZ40" s="36">
        <v>17317000</v>
      </c>
      <c r="BA40" s="36">
        <v>17450000</v>
      </c>
      <c r="BB40" s="36">
        <v>17450000</v>
      </c>
      <c r="BC40" s="36">
        <v>17450000</v>
      </c>
      <c r="BD40" s="36">
        <v>17450000</v>
      </c>
      <c r="BE40" s="36">
        <v>17450000</v>
      </c>
      <c r="BF40" s="36">
        <v>17450000</v>
      </c>
      <c r="BG40" s="36">
        <v>17450000</v>
      </c>
      <c r="BH40" s="36">
        <v>17450000</v>
      </c>
      <c r="BI40" s="36">
        <v>17450000</v>
      </c>
      <c r="BJ40" s="36">
        <v>17450000</v>
      </c>
      <c r="BK40" s="36">
        <v>40000000</v>
      </c>
      <c r="BL40" s="36">
        <v>40000000</v>
      </c>
      <c r="BM40" s="36">
        <v>20000000</v>
      </c>
      <c r="BN40" s="36">
        <v>20000000</v>
      </c>
      <c r="BO40" s="36">
        <v>20000000</v>
      </c>
      <c r="BP40" s="36">
        <v>20000000</v>
      </c>
      <c r="BQ40" s="36">
        <v>20000000</v>
      </c>
      <c r="BR40" s="36">
        <v>20000000</v>
      </c>
      <c r="BS40" s="36">
        <v>20000000</v>
      </c>
      <c r="BT40" s="36">
        <v>20000000</v>
      </c>
      <c r="BU40" s="36">
        <v>20000000</v>
      </c>
      <c r="BV40" s="36">
        <v>20000000</v>
      </c>
      <c r="BW40" s="36">
        <v>10000000</v>
      </c>
      <c r="BX40" s="36">
        <v>10000000</v>
      </c>
      <c r="BY40" s="36">
        <v>10000000</v>
      </c>
      <c r="BZ40" s="36">
        <v>10000000</v>
      </c>
      <c r="CA40" s="36">
        <v>10000000</v>
      </c>
      <c r="CB40" s="36">
        <v>10000000</v>
      </c>
      <c r="CC40" s="36">
        <v>10000000</v>
      </c>
      <c r="CD40" s="36">
        <v>208950000</v>
      </c>
      <c r="CE40" s="36">
        <v>343450000</v>
      </c>
      <c r="CF40" s="36">
        <v>92450000</v>
      </c>
      <c r="CG40" s="36">
        <v>38550000</v>
      </c>
      <c r="CH40" s="36">
        <v>40000000</v>
      </c>
      <c r="CI40" s="36">
        <v>57650000</v>
      </c>
      <c r="DB40" s="36">
        <v>13300000</v>
      </c>
    </row>
    <row r="41" spans="1:131">
      <c r="A41" t="s">
        <v>177</v>
      </c>
      <c r="V41" s="36">
        <v>1200000</v>
      </c>
      <c r="X41" s="36">
        <v>4050000</v>
      </c>
      <c r="Y41" s="36">
        <v>2475000</v>
      </c>
      <c r="AN41" s="36">
        <v>15921000</v>
      </c>
      <c r="AO41" s="36">
        <v>15921000</v>
      </c>
      <c r="AQ41" s="36">
        <v>11800000</v>
      </c>
      <c r="AR41" s="36">
        <v>11800000</v>
      </c>
    </row>
    <row r="42" spans="1:131">
      <c r="A42" t="s">
        <v>178</v>
      </c>
      <c r="B42" s="36">
        <v>186526000</v>
      </c>
      <c r="C42" s="36">
        <v>275506000</v>
      </c>
      <c r="D42" s="36">
        <v>189652000</v>
      </c>
      <c r="E42" s="36">
        <v>183354000</v>
      </c>
      <c r="F42" s="36">
        <v>156488000</v>
      </c>
      <c r="G42" s="36">
        <v>103834000</v>
      </c>
      <c r="H42" s="36">
        <v>30381000</v>
      </c>
      <c r="I42" s="36">
        <v>151377000</v>
      </c>
      <c r="J42" s="36">
        <v>130265000</v>
      </c>
      <c r="K42" s="36">
        <v>217242000</v>
      </c>
      <c r="L42" s="36">
        <v>151336000</v>
      </c>
      <c r="M42" s="36">
        <v>107074000</v>
      </c>
      <c r="N42" s="36">
        <v>102326000</v>
      </c>
      <c r="O42" s="36">
        <v>211173000</v>
      </c>
      <c r="P42" s="36">
        <v>124513000</v>
      </c>
      <c r="Q42" s="36">
        <v>86131000</v>
      </c>
      <c r="R42" s="36">
        <v>86732000</v>
      </c>
      <c r="S42" s="36">
        <v>193338000</v>
      </c>
      <c r="T42" s="36">
        <v>116132000</v>
      </c>
      <c r="U42" s="36">
        <v>82765000</v>
      </c>
      <c r="V42" s="36">
        <v>65748000</v>
      </c>
      <c r="W42" s="36">
        <v>173062000</v>
      </c>
      <c r="X42" s="36">
        <v>105256000</v>
      </c>
      <c r="Y42" s="36">
        <v>69514000</v>
      </c>
      <c r="Z42" s="36">
        <v>51944000</v>
      </c>
      <c r="AA42" s="36">
        <v>147943000</v>
      </c>
      <c r="AB42" s="36">
        <v>92664000</v>
      </c>
      <c r="AC42" s="36">
        <v>61161000</v>
      </c>
      <c r="AD42" s="36">
        <v>48141000</v>
      </c>
      <c r="AE42" s="36">
        <v>133797000</v>
      </c>
      <c r="AF42" s="36">
        <v>70148000</v>
      </c>
      <c r="AG42" s="36">
        <v>44521000</v>
      </c>
      <c r="AH42" s="36">
        <v>37627000</v>
      </c>
      <c r="AI42" s="36">
        <v>132365000</v>
      </c>
      <c r="AJ42" s="36">
        <v>66184000</v>
      </c>
      <c r="AK42" s="36">
        <v>39485000</v>
      </c>
      <c r="AL42" s="36">
        <v>34682000</v>
      </c>
      <c r="AM42" s="36">
        <v>108467000</v>
      </c>
      <c r="AN42" s="36">
        <v>50754000</v>
      </c>
      <c r="AO42" s="36">
        <v>29594000</v>
      </c>
      <c r="AP42" s="36">
        <v>32694000</v>
      </c>
      <c r="AQ42" s="36">
        <v>95734000</v>
      </c>
      <c r="AR42" s="36">
        <v>45349000</v>
      </c>
      <c r="AS42" s="36">
        <v>74314000</v>
      </c>
      <c r="AT42" s="36">
        <v>27437000</v>
      </c>
      <c r="AU42" s="36">
        <v>82428000</v>
      </c>
      <c r="AV42" s="36">
        <v>39570000</v>
      </c>
      <c r="AW42" s="36">
        <v>23176000</v>
      </c>
      <c r="AX42" s="36">
        <v>27270000</v>
      </c>
      <c r="AY42" s="36">
        <v>73527000</v>
      </c>
      <c r="AZ42" s="36">
        <v>30146000</v>
      </c>
      <c r="BA42" s="36">
        <v>17590000</v>
      </c>
      <c r="BB42" s="36">
        <v>22745000</v>
      </c>
      <c r="BC42" s="36">
        <v>79654000</v>
      </c>
      <c r="BD42" s="36">
        <v>38080000</v>
      </c>
      <c r="BE42" s="36">
        <v>18844000</v>
      </c>
      <c r="BF42" s="36">
        <v>19700000</v>
      </c>
      <c r="BG42" s="36">
        <v>71931000</v>
      </c>
      <c r="BH42" s="36">
        <v>29276000</v>
      </c>
      <c r="BI42" s="36">
        <v>19490000</v>
      </c>
      <c r="BJ42" s="36">
        <v>23068000</v>
      </c>
      <c r="BK42" s="36">
        <v>26136000</v>
      </c>
      <c r="BL42" s="36">
        <v>15545000</v>
      </c>
      <c r="BM42" s="36">
        <v>10794000</v>
      </c>
    </row>
    <row r="43" spans="1:131">
      <c r="A43" t="s">
        <v>179</v>
      </c>
      <c r="B43" s="36">
        <v>186526000</v>
      </c>
      <c r="C43" s="36">
        <v>275506000</v>
      </c>
      <c r="D43" s="36">
        <v>189652000</v>
      </c>
      <c r="E43" s="36">
        <v>183354000</v>
      </c>
      <c r="F43" s="36">
        <v>156488000</v>
      </c>
      <c r="G43" s="36">
        <v>103834000</v>
      </c>
      <c r="H43" s="36">
        <v>30381000</v>
      </c>
      <c r="I43" s="36">
        <v>151377000</v>
      </c>
      <c r="J43" s="36">
        <v>130265000</v>
      </c>
      <c r="K43" s="36">
        <v>217242000</v>
      </c>
      <c r="L43" s="36">
        <v>151336000</v>
      </c>
      <c r="M43" s="36">
        <v>107074000</v>
      </c>
      <c r="N43" s="36">
        <v>102326000</v>
      </c>
      <c r="O43" s="36">
        <v>211173000</v>
      </c>
      <c r="P43" s="36">
        <v>124513000</v>
      </c>
      <c r="Q43" s="36">
        <v>86131000</v>
      </c>
      <c r="R43" s="36">
        <v>86732000</v>
      </c>
      <c r="S43" s="36">
        <v>193338000</v>
      </c>
      <c r="T43" s="36">
        <v>116132000</v>
      </c>
      <c r="U43" s="36">
        <v>82765000</v>
      </c>
      <c r="V43" s="36">
        <v>65748000</v>
      </c>
      <c r="W43" s="36">
        <v>173062000</v>
      </c>
      <c r="X43" s="36">
        <v>105256000</v>
      </c>
      <c r="Y43" s="36">
        <v>69514000</v>
      </c>
      <c r="Z43" s="36">
        <v>51944000</v>
      </c>
      <c r="AA43" s="36">
        <v>147943000</v>
      </c>
      <c r="AB43" s="36">
        <v>92664000</v>
      </c>
      <c r="AC43" s="36">
        <v>61161000</v>
      </c>
      <c r="AD43" s="36">
        <v>48141000</v>
      </c>
      <c r="AE43" s="36">
        <v>133797000</v>
      </c>
      <c r="AF43" s="36">
        <v>70148000</v>
      </c>
      <c r="AG43" s="36">
        <v>44521000</v>
      </c>
      <c r="AH43" s="36">
        <v>37627000</v>
      </c>
      <c r="AI43" s="36">
        <v>132365000</v>
      </c>
      <c r="AJ43" s="36">
        <v>66184000</v>
      </c>
      <c r="AK43" s="36">
        <v>39485000</v>
      </c>
      <c r="AL43" s="36">
        <v>34682000</v>
      </c>
      <c r="AM43" s="36">
        <v>108467000</v>
      </c>
      <c r="AN43" s="36">
        <v>50754000</v>
      </c>
      <c r="AO43" s="36">
        <v>29594000</v>
      </c>
      <c r="AP43" s="36">
        <v>32694000</v>
      </c>
      <c r="AQ43" s="36">
        <v>95734000</v>
      </c>
      <c r="AR43" s="36">
        <v>45349000</v>
      </c>
      <c r="AS43" s="36">
        <v>26328000</v>
      </c>
      <c r="AT43" s="36">
        <v>27437000</v>
      </c>
      <c r="AU43" s="36">
        <v>82428000</v>
      </c>
      <c r="AV43" s="36">
        <v>39570000</v>
      </c>
      <c r="AW43" s="36">
        <v>23176000</v>
      </c>
      <c r="AX43" s="36">
        <v>27270000</v>
      </c>
      <c r="AY43" s="36">
        <v>73527000</v>
      </c>
      <c r="AZ43" s="36">
        <v>30146000</v>
      </c>
      <c r="BA43" s="36">
        <v>17590000</v>
      </c>
      <c r="BB43" s="36">
        <v>22745000</v>
      </c>
      <c r="BC43" s="36">
        <v>79654000</v>
      </c>
      <c r="BD43" s="36">
        <v>38080000</v>
      </c>
      <c r="BE43" s="36">
        <v>18844000</v>
      </c>
      <c r="BF43" s="36">
        <v>19700000</v>
      </c>
      <c r="BG43" s="36">
        <v>71931000</v>
      </c>
      <c r="BH43" s="36">
        <v>29276000</v>
      </c>
      <c r="BI43" s="36">
        <v>19490000</v>
      </c>
      <c r="BJ43" s="36">
        <v>23068000</v>
      </c>
      <c r="BK43" s="36">
        <v>26136000</v>
      </c>
      <c r="BL43" s="36">
        <v>15545000</v>
      </c>
      <c r="BM43" s="36">
        <v>10794000</v>
      </c>
    </row>
    <row r="44" spans="1:131">
      <c r="A44" t="s">
        <v>180</v>
      </c>
      <c r="Z44" s="36">
        <v>3770000</v>
      </c>
      <c r="AA44" s="36">
        <v>6895000</v>
      </c>
      <c r="AB44" s="36">
        <v>9989000</v>
      </c>
      <c r="AC44" s="36">
        <v>11791000</v>
      </c>
      <c r="AL44" s="36">
        <v>23092000</v>
      </c>
      <c r="AM44" s="36">
        <v>23198000</v>
      </c>
      <c r="AN44" s="36">
        <v>21754000</v>
      </c>
      <c r="AO44" s="36">
        <v>79914000</v>
      </c>
      <c r="AP44" s="36">
        <v>81308000</v>
      </c>
      <c r="AQ44" s="36">
        <v>99520000</v>
      </c>
      <c r="AR44" s="36">
        <v>111406000</v>
      </c>
      <c r="AS44" s="36">
        <v>21487000</v>
      </c>
      <c r="AT44" s="36">
        <v>21631000</v>
      </c>
      <c r="AU44" s="36">
        <v>22454000</v>
      </c>
      <c r="AV44" s="36">
        <v>21155000</v>
      </c>
      <c r="AW44" s="36">
        <v>21785000</v>
      </c>
      <c r="AX44" s="36">
        <v>21203000</v>
      </c>
      <c r="AY44" s="36">
        <v>21210000</v>
      </c>
      <c r="AZ44" s="36">
        <v>19717000</v>
      </c>
      <c r="BB44" s="36">
        <v>20993000</v>
      </c>
      <c r="BC44" s="36">
        <v>20944000</v>
      </c>
      <c r="BD44" s="36">
        <v>20845000</v>
      </c>
      <c r="BE44" s="36">
        <v>21539000</v>
      </c>
      <c r="BF44" s="36">
        <v>23831000</v>
      </c>
      <c r="BG44" s="36">
        <v>22122000</v>
      </c>
      <c r="BH44" s="36">
        <v>21319000</v>
      </c>
      <c r="BI44" s="36">
        <v>22124000</v>
      </c>
      <c r="BJ44" s="36">
        <v>20654000</v>
      </c>
      <c r="BK44" s="36">
        <v>46554000</v>
      </c>
      <c r="BL44" s="36">
        <v>39127000</v>
      </c>
      <c r="BM44" s="36">
        <v>41235000</v>
      </c>
      <c r="BN44" s="36">
        <v>39081000</v>
      </c>
      <c r="BO44" s="36">
        <v>38577000</v>
      </c>
      <c r="BP44" s="36">
        <v>37857000</v>
      </c>
      <c r="BQ44" s="36">
        <v>38324000</v>
      </c>
      <c r="BR44" s="36">
        <v>37069000</v>
      </c>
      <c r="BS44" s="36">
        <v>34149000</v>
      </c>
      <c r="BT44" s="36">
        <v>39921000</v>
      </c>
      <c r="BU44" s="36">
        <v>38823000</v>
      </c>
      <c r="BV44" s="36">
        <v>33077000</v>
      </c>
      <c r="BW44" s="36">
        <v>32679000</v>
      </c>
      <c r="BX44" s="36">
        <v>32358000</v>
      </c>
      <c r="BY44" s="36">
        <v>32502000</v>
      </c>
      <c r="BZ44" s="36">
        <v>34957000</v>
      </c>
      <c r="CA44" s="36">
        <v>32118000</v>
      </c>
      <c r="CB44" s="36">
        <v>31533000</v>
      </c>
      <c r="CC44" s="36">
        <v>65494000</v>
      </c>
      <c r="CD44" s="36">
        <v>32724000</v>
      </c>
      <c r="CE44" s="36">
        <v>28797000</v>
      </c>
      <c r="CF44" s="36">
        <v>30252000</v>
      </c>
      <c r="CG44" s="36">
        <v>58912000</v>
      </c>
      <c r="CH44" s="36">
        <v>67605000</v>
      </c>
      <c r="CI44" s="36">
        <v>80880000</v>
      </c>
      <c r="CJ44" s="36">
        <v>63988000</v>
      </c>
      <c r="CK44" s="36">
        <v>65000000</v>
      </c>
      <c r="CL44" s="36">
        <v>73000000</v>
      </c>
      <c r="CM44" s="36">
        <v>68300000</v>
      </c>
      <c r="CN44" s="36">
        <v>59500000</v>
      </c>
      <c r="CO44" s="36">
        <v>60200000</v>
      </c>
      <c r="CP44" s="36">
        <v>69900000</v>
      </c>
      <c r="CQ44" s="36">
        <v>62200000</v>
      </c>
      <c r="CR44" s="36">
        <v>48200000</v>
      </c>
      <c r="CS44" s="36">
        <v>46800000</v>
      </c>
      <c r="CT44" s="36">
        <v>40300000</v>
      </c>
      <c r="CU44" s="36">
        <v>40800000</v>
      </c>
      <c r="CV44" s="36">
        <v>30600000</v>
      </c>
      <c r="CW44" s="36">
        <v>33900000</v>
      </c>
      <c r="CX44" s="36">
        <v>39500000</v>
      </c>
      <c r="CY44" s="36">
        <v>38900000</v>
      </c>
      <c r="CZ44" s="36">
        <v>29900000</v>
      </c>
      <c r="DA44" s="36">
        <v>31200000</v>
      </c>
      <c r="DB44" s="36">
        <v>23200000</v>
      </c>
      <c r="DC44" s="36">
        <v>32900000</v>
      </c>
      <c r="DD44" s="36">
        <v>26100000</v>
      </c>
      <c r="DE44" s="36">
        <v>27900000</v>
      </c>
      <c r="DF44" s="36">
        <v>26300000</v>
      </c>
      <c r="DG44" s="36">
        <v>26600000</v>
      </c>
      <c r="DH44" s="36">
        <v>27900000</v>
      </c>
      <c r="DI44" s="36">
        <v>26200000</v>
      </c>
      <c r="DJ44" s="36">
        <v>21900000</v>
      </c>
      <c r="DK44" s="36">
        <v>22500000</v>
      </c>
      <c r="DL44" s="36">
        <v>24800000</v>
      </c>
      <c r="DM44" s="36">
        <v>20000000</v>
      </c>
      <c r="DN44" s="36">
        <v>17400000</v>
      </c>
      <c r="DO44" s="36">
        <v>17900000</v>
      </c>
      <c r="DP44" s="36">
        <v>21600000</v>
      </c>
      <c r="DQ44" s="36">
        <v>19800000</v>
      </c>
      <c r="DR44" s="36">
        <v>14300000</v>
      </c>
      <c r="DS44" s="36">
        <v>16100000</v>
      </c>
      <c r="DT44" s="36">
        <v>18200000</v>
      </c>
      <c r="DU44" s="36">
        <v>16200000</v>
      </c>
      <c r="DV44" s="36">
        <v>14800000</v>
      </c>
      <c r="DW44" s="36">
        <v>14300000</v>
      </c>
      <c r="DX44" s="36">
        <v>15400000</v>
      </c>
      <c r="DY44" s="36">
        <v>23700000</v>
      </c>
    </row>
    <row r="45" spans="1:131">
      <c r="A45" t="s">
        <v>181</v>
      </c>
      <c r="B45" s="36">
        <v>3080529000</v>
      </c>
      <c r="C45" s="36">
        <v>3062838000</v>
      </c>
      <c r="D45" s="36">
        <v>3075260000</v>
      </c>
      <c r="E45" s="36">
        <v>3059868000</v>
      </c>
      <c r="F45" s="36">
        <v>2755485000</v>
      </c>
      <c r="G45" s="36">
        <v>2837923000</v>
      </c>
      <c r="H45" s="36">
        <v>2485858000</v>
      </c>
      <c r="I45" s="36">
        <v>2266973000</v>
      </c>
      <c r="J45" s="36">
        <v>2285813000</v>
      </c>
      <c r="K45" s="36">
        <v>2273258000</v>
      </c>
      <c r="L45" s="36">
        <v>1947889000</v>
      </c>
      <c r="M45" s="36">
        <v>1757048000</v>
      </c>
      <c r="N45" s="36">
        <v>1749215000</v>
      </c>
      <c r="O45" s="36">
        <v>1788788000</v>
      </c>
      <c r="P45" s="36">
        <v>1802374000</v>
      </c>
      <c r="Q45" s="36">
        <v>1755719000</v>
      </c>
      <c r="R45" s="36">
        <v>1799486000</v>
      </c>
      <c r="S45" s="36">
        <v>1815277000</v>
      </c>
      <c r="T45" s="36">
        <v>1769206000</v>
      </c>
      <c r="U45" s="36">
        <v>1669979000</v>
      </c>
      <c r="V45" s="36">
        <v>1715056000</v>
      </c>
      <c r="W45" s="36">
        <v>1771368000</v>
      </c>
      <c r="X45" s="36">
        <v>1780042000</v>
      </c>
      <c r="Y45" s="36">
        <v>1739227000</v>
      </c>
      <c r="Z45" s="36">
        <v>1752608000</v>
      </c>
      <c r="AA45" s="36">
        <v>1788770000</v>
      </c>
      <c r="AB45" s="36">
        <v>1803578000</v>
      </c>
      <c r="AC45" s="36">
        <v>1743883000</v>
      </c>
      <c r="AD45" s="36">
        <v>1764036000</v>
      </c>
      <c r="AE45" s="36">
        <v>1799383000</v>
      </c>
      <c r="AF45" s="36">
        <v>1767182000</v>
      </c>
      <c r="AG45" s="36">
        <v>1716697000</v>
      </c>
      <c r="AH45" s="36">
        <v>1722053000</v>
      </c>
      <c r="AI45" s="36">
        <v>1771416000</v>
      </c>
      <c r="AJ45" s="36">
        <v>1814258000</v>
      </c>
      <c r="AK45" s="36">
        <v>1730160000</v>
      </c>
      <c r="AL45" s="36">
        <v>1716958000</v>
      </c>
      <c r="AM45" s="36">
        <v>1831302000</v>
      </c>
      <c r="AN45" s="36">
        <v>1865817000</v>
      </c>
      <c r="AO45" s="36">
        <v>1712394000</v>
      </c>
      <c r="AP45" s="36">
        <v>1718549000</v>
      </c>
      <c r="AQ45" s="36">
        <v>1800218000</v>
      </c>
      <c r="AR45" s="36">
        <v>1831776000</v>
      </c>
      <c r="AS45" s="36">
        <v>1776456000</v>
      </c>
      <c r="AT45" s="36">
        <v>1833849000</v>
      </c>
      <c r="AU45" s="36">
        <v>1939713000</v>
      </c>
      <c r="AV45" s="36">
        <v>1976306000</v>
      </c>
      <c r="AW45" s="36">
        <v>1886057000</v>
      </c>
      <c r="AX45" s="36">
        <v>1869896000</v>
      </c>
      <c r="AY45" s="36">
        <v>2047874000</v>
      </c>
      <c r="AZ45" s="36">
        <v>2068507000</v>
      </c>
      <c r="BA45" s="36">
        <v>1964058000</v>
      </c>
      <c r="BB45" s="36">
        <v>1846450000</v>
      </c>
      <c r="BC45" s="36">
        <v>2083356000</v>
      </c>
      <c r="BD45" s="36">
        <v>2141827000</v>
      </c>
      <c r="BE45" s="36">
        <v>2010868000</v>
      </c>
      <c r="BF45" s="36">
        <v>1922028000</v>
      </c>
      <c r="BG45" s="36">
        <v>2038838000</v>
      </c>
      <c r="BH45" s="36">
        <v>2052081000</v>
      </c>
      <c r="BI45" s="36">
        <v>1941048000</v>
      </c>
      <c r="BJ45" s="36">
        <v>1917975000</v>
      </c>
      <c r="BK45" s="36">
        <v>529343000</v>
      </c>
      <c r="BL45" s="36">
        <v>512256000</v>
      </c>
      <c r="BM45" s="36">
        <v>459827000</v>
      </c>
      <c r="BN45" s="36">
        <v>425699000</v>
      </c>
      <c r="BO45" s="36">
        <v>604352000</v>
      </c>
      <c r="BP45" s="36">
        <v>583096000</v>
      </c>
      <c r="BQ45" s="36">
        <v>501208000</v>
      </c>
      <c r="BR45" s="36">
        <v>449999000</v>
      </c>
      <c r="BS45" s="36">
        <v>621661000</v>
      </c>
      <c r="BT45" s="36">
        <v>472902000</v>
      </c>
      <c r="BU45" s="36">
        <v>398756000</v>
      </c>
      <c r="BV45" s="36">
        <v>373069000</v>
      </c>
      <c r="BW45" s="36">
        <v>488561000</v>
      </c>
      <c r="BX45" s="36">
        <v>492580000</v>
      </c>
      <c r="BY45" s="36">
        <v>410599000</v>
      </c>
      <c r="BZ45" s="36">
        <v>382459000</v>
      </c>
      <c r="CA45" s="36">
        <v>476282000</v>
      </c>
      <c r="CB45" s="36">
        <v>482467000</v>
      </c>
      <c r="CC45" s="36">
        <v>405281000</v>
      </c>
      <c r="CD45" s="36">
        <v>173354000</v>
      </c>
      <c r="CE45" s="36">
        <v>132809000</v>
      </c>
      <c r="CF45" s="36">
        <v>331959000</v>
      </c>
      <c r="CG45" s="36">
        <v>319530000</v>
      </c>
      <c r="CH45" s="36">
        <v>274463000</v>
      </c>
      <c r="CI45" s="36">
        <v>310917000</v>
      </c>
      <c r="CJ45" s="36">
        <v>345367000</v>
      </c>
      <c r="CK45" s="36">
        <v>272400000</v>
      </c>
      <c r="CL45" s="36">
        <v>207500000</v>
      </c>
      <c r="CM45" s="36">
        <v>289500000</v>
      </c>
      <c r="CN45" s="36">
        <v>279400000</v>
      </c>
      <c r="CO45" s="36">
        <v>212100000</v>
      </c>
      <c r="CP45" s="36">
        <v>175900000</v>
      </c>
      <c r="CQ45" s="36">
        <v>260200000</v>
      </c>
      <c r="CR45" s="36">
        <v>255300000</v>
      </c>
      <c r="CS45" s="36">
        <v>200000000</v>
      </c>
      <c r="CT45" s="36">
        <v>70500000</v>
      </c>
      <c r="CU45" s="36">
        <v>144300000</v>
      </c>
      <c r="CV45" s="36">
        <v>133000000</v>
      </c>
      <c r="CW45" s="36">
        <v>94900000</v>
      </c>
      <c r="CX45" s="36">
        <v>55600000</v>
      </c>
      <c r="CY45" s="36">
        <v>126000000</v>
      </c>
      <c r="CZ45" s="36">
        <v>124500000</v>
      </c>
      <c r="DA45" s="36">
        <v>85600000</v>
      </c>
      <c r="DB45" s="36">
        <v>56900000</v>
      </c>
      <c r="DC45" s="36">
        <v>112600000</v>
      </c>
      <c r="DD45" s="36">
        <v>105900000</v>
      </c>
      <c r="DE45" s="36">
        <v>75300000</v>
      </c>
      <c r="DF45" s="36">
        <v>111900000</v>
      </c>
      <c r="DG45" s="36">
        <v>86800000</v>
      </c>
      <c r="DH45" s="36">
        <v>60900000</v>
      </c>
      <c r="DI45" s="36">
        <v>130100000</v>
      </c>
      <c r="DJ45" s="36">
        <v>124900000</v>
      </c>
      <c r="DK45" s="36">
        <v>100800000</v>
      </c>
      <c r="DL45" s="36">
        <v>73900000</v>
      </c>
      <c r="DM45" s="36">
        <v>86700000</v>
      </c>
      <c r="DN45" s="36">
        <v>84900000</v>
      </c>
      <c r="DO45" s="36">
        <v>65900000</v>
      </c>
      <c r="DP45" s="36">
        <v>49900000</v>
      </c>
      <c r="DQ45" s="36">
        <v>87000000</v>
      </c>
      <c r="DR45" s="36">
        <v>90700000</v>
      </c>
      <c r="DS45" s="36">
        <v>69900000</v>
      </c>
      <c r="DT45" s="36">
        <v>52800000</v>
      </c>
      <c r="DU45" s="36">
        <v>93600000</v>
      </c>
      <c r="DV45" s="36">
        <v>87300000</v>
      </c>
      <c r="DW45" s="36">
        <v>71100000</v>
      </c>
      <c r="DX45" s="36">
        <v>56000000</v>
      </c>
      <c r="DY45" s="36">
        <v>89900000</v>
      </c>
      <c r="DZ45" s="36">
        <v>78000000</v>
      </c>
      <c r="EA45" s="36">
        <v>79700000</v>
      </c>
    </row>
    <row r="46" spans="1:131">
      <c r="A46" t="s">
        <v>182</v>
      </c>
      <c r="B46" s="36">
        <v>2975189000</v>
      </c>
      <c r="C46" s="36">
        <v>2971335000</v>
      </c>
      <c r="D46" s="36">
        <v>2968230000</v>
      </c>
      <c r="E46" s="36">
        <v>2964727000</v>
      </c>
      <c r="F46" s="36">
        <v>2671807000</v>
      </c>
      <c r="G46" s="36">
        <v>2670607000</v>
      </c>
      <c r="H46" s="36">
        <v>2227596000</v>
      </c>
      <c r="I46" s="36">
        <v>2156483000</v>
      </c>
      <c r="J46" s="36">
        <v>2156416000</v>
      </c>
      <c r="K46" s="36">
        <v>2150240000</v>
      </c>
      <c r="L46" s="36">
        <v>1841974000</v>
      </c>
      <c r="M46" s="36">
        <v>1657568000</v>
      </c>
      <c r="N46" s="36">
        <v>1658286000</v>
      </c>
      <c r="O46" s="36">
        <v>1684332000</v>
      </c>
      <c r="P46" s="36">
        <v>1700782000</v>
      </c>
      <c r="Q46" s="36">
        <v>1660515000</v>
      </c>
      <c r="R46" s="36">
        <v>1659626000</v>
      </c>
      <c r="S46" s="36">
        <v>1667891000</v>
      </c>
      <c r="T46" s="36">
        <v>1618618000</v>
      </c>
      <c r="U46" s="36">
        <v>1534211000</v>
      </c>
      <c r="V46" s="36">
        <v>1534671000</v>
      </c>
      <c r="W46" s="36">
        <v>1589765000</v>
      </c>
      <c r="X46" s="36">
        <v>1600851000</v>
      </c>
      <c r="Y46" s="36">
        <v>1556375000</v>
      </c>
      <c r="Z46" s="36">
        <v>1558850000</v>
      </c>
      <c r="AA46" s="36">
        <v>1600850000</v>
      </c>
      <c r="AB46" s="36">
        <v>1615850000</v>
      </c>
      <c r="AC46" s="36">
        <v>1558850000</v>
      </c>
      <c r="AD46" s="36">
        <v>1564250000</v>
      </c>
      <c r="AE46" s="36">
        <v>1604825000</v>
      </c>
      <c r="AF46" s="36">
        <v>1574357000</v>
      </c>
      <c r="AG46" s="36">
        <v>1520632000</v>
      </c>
      <c r="AH46" s="36">
        <v>1523731000</v>
      </c>
      <c r="AI46" s="36">
        <v>1581556000</v>
      </c>
      <c r="AJ46" s="36">
        <v>1620955000</v>
      </c>
      <c r="AK46" s="36">
        <v>1532180000</v>
      </c>
      <c r="AL46" s="36">
        <v>1531776000</v>
      </c>
      <c r="AM46" s="36">
        <v>1651747000</v>
      </c>
      <c r="AN46" s="36">
        <v>1695556000</v>
      </c>
      <c r="AO46" s="36">
        <v>1540458000</v>
      </c>
      <c r="AP46" s="36">
        <v>1556254000</v>
      </c>
      <c r="AQ46" s="36">
        <v>1650006000</v>
      </c>
      <c r="AR46" s="36">
        <v>1694845000</v>
      </c>
      <c r="AS46" s="36">
        <v>1579703000</v>
      </c>
      <c r="AT46" s="36">
        <v>1562684000</v>
      </c>
      <c r="AU46" s="36">
        <v>1677615000</v>
      </c>
      <c r="AV46" s="36">
        <v>1700500000</v>
      </c>
      <c r="AW46" s="36">
        <v>1610387000</v>
      </c>
      <c r="AX46" s="36">
        <v>1583663000</v>
      </c>
      <c r="AY46" s="36">
        <v>1789663000</v>
      </c>
      <c r="AZ46" s="36">
        <v>1819758000</v>
      </c>
      <c r="BA46" s="36">
        <v>1706625000</v>
      </c>
      <c r="BB46" s="36">
        <v>1692650000</v>
      </c>
      <c r="BC46" s="36">
        <v>1820464000</v>
      </c>
      <c r="BD46" s="36">
        <v>1839166000</v>
      </c>
      <c r="BE46" s="36">
        <v>1735461000</v>
      </c>
      <c r="BF46" s="36">
        <v>1705737000</v>
      </c>
      <c r="BG46" s="36">
        <v>1861113000</v>
      </c>
      <c r="BH46" s="36">
        <v>1865975000</v>
      </c>
      <c r="BI46" s="36">
        <v>1759713000</v>
      </c>
      <c r="BJ46" s="36">
        <v>1727550000</v>
      </c>
      <c r="BK46" s="36">
        <v>521600000</v>
      </c>
      <c r="BL46" s="36">
        <v>504600000</v>
      </c>
      <c r="BM46" s="36">
        <v>450850000</v>
      </c>
      <c r="BN46" s="36">
        <v>417500000</v>
      </c>
      <c r="BO46" s="36">
        <v>536872000</v>
      </c>
      <c r="BP46" s="36">
        <v>516261000</v>
      </c>
      <c r="BQ46" s="36">
        <v>442084000</v>
      </c>
      <c r="BR46" s="36">
        <v>392138000</v>
      </c>
      <c r="BS46" s="36">
        <v>562718000</v>
      </c>
      <c r="BT46" s="36">
        <v>415632000</v>
      </c>
      <c r="BU46" s="36">
        <v>348647000</v>
      </c>
      <c r="BV46" s="36">
        <v>318650000</v>
      </c>
      <c r="BW46" s="36">
        <v>434300000</v>
      </c>
      <c r="BX46" s="36">
        <v>438150000</v>
      </c>
      <c r="BY46" s="36">
        <v>365150000</v>
      </c>
      <c r="BZ46" s="36">
        <v>338350000</v>
      </c>
      <c r="CA46" s="36">
        <v>434750000</v>
      </c>
      <c r="CB46" s="36">
        <v>442833000</v>
      </c>
      <c r="CC46" s="36">
        <v>373000000</v>
      </c>
      <c r="CD46" s="36">
        <v>140000000</v>
      </c>
      <c r="CE46" s="36">
        <v>100000000</v>
      </c>
      <c r="CF46" s="36">
        <v>300000000</v>
      </c>
      <c r="CG46" s="36">
        <v>300000000</v>
      </c>
      <c r="CH46" s="36">
        <v>254600000</v>
      </c>
      <c r="CI46" s="36">
        <v>300000000</v>
      </c>
      <c r="CJ46" s="36">
        <v>334350000</v>
      </c>
      <c r="CK46" s="36">
        <v>261200000</v>
      </c>
      <c r="CL46" s="36">
        <v>196800000</v>
      </c>
      <c r="CM46" s="36">
        <v>278100000</v>
      </c>
      <c r="CN46" s="36">
        <v>267700000</v>
      </c>
      <c r="CO46" s="36">
        <v>200400000</v>
      </c>
      <c r="CP46" s="36">
        <v>165200000</v>
      </c>
      <c r="CQ46" s="36">
        <v>249300000</v>
      </c>
      <c r="CR46" s="36">
        <v>244400000</v>
      </c>
      <c r="CS46" s="36">
        <v>189800000</v>
      </c>
      <c r="CT46" s="36">
        <v>61800000</v>
      </c>
      <c r="CU46" s="36">
        <v>136100000</v>
      </c>
      <c r="CV46" s="36">
        <v>125400000</v>
      </c>
      <c r="CW46" s="36">
        <v>87600000</v>
      </c>
      <c r="CX46" s="36">
        <v>50000000</v>
      </c>
      <c r="CY46" s="36">
        <v>121200000</v>
      </c>
      <c r="CZ46" s="36">
        <v>119700000</v>
      </c>
      <c r="DA46" s="36">
        <v>80000000</v>
      </c>
      <c r="DB46" s="36">
        <v>53200000</v>
      </c>
      <c r="DC46" s="36">
        <v>109200000</v>
      </c>
      <c r="DD46" s="36">
        <v>102500000</v>
      </c>
      <c r="DE46" s="36">
        <v>71400000</v>
      </c>
      <c r="DF46" s="36">
        <v>111900000</v>
      </c>
      <c r="DG46" s="36">
        <v>86800000</v>
      </c>
      <c r="DH46" s="36">
        <v>61000000</v>
      </c>
      <c r="DI46" s="36">
        <v>119100000</v>
      </c>
      <c r="DJ46" s="36">
        <v>113900000</v>
      </c>
      <c r="DK46" s="36">
        <v>89700000</v>
      </c>
      <c r="DL46" s="36">
        <v>65900000</v>
      </c>
      <c r="DM46" s="36">
        <v>86600000</v>
      </c>
      <c r="DN46" s="36">
        <v>84900000</v>
      </c>
      <c r="DO46" s="36">
        <v>65900000</v>
      </c>
      <c r="DP46" s="36">
        <v>50000000</v>
      </c>
      <c r="DQ46" s="36">
        <v>87000000</v>
      </c>
      <c r="DR46" s="36">
        <v>90700000</v>
      </c>
      <c r="DS46" s="36">
        <v>69900000</v>
      </c>
      <c r="DT46" s="36">
        <v>52800000</v>
      </c>
      <c r="DU46" s="36">
        <v>93600000</v>
      </c>
      <c r="DV46" s="36">
        <v>87300000</v>
      </c>
      <c r="DW46" s="36">
        <v>71100000</v>
      </c>
      <c r="DX46" s="36">
        <v>55900000</v>
      </c>
      <c r="DY46" s="36">
        <v>90000000</v>
      </c>
      <c r="DZ46" s="36">
        <v>77900000</v>
      </c>
      <c r="EA46" s="36">
        <v>79600000</v>
      </c>
    </row>
    <row r="47" spans="1:131">
      <c r="A47" t="s">
        <v>183</v>
      </c>
      <c r="B47" s="36">
        <v>2964043000</v>
      </c>
      <c r="C47" s="36">
        <v>2960715000</v>
      </c>
      <c r="D47" s="36">
        <v>2957481000</v>
      </c>
      <c r="E47" s="36">
        <v>2954244000</v>
      </c>
      <c r="F47" s="36">
        <v>2661934000</v>
      </c>
      <c r="G47" s="36">
        <v>2660535000</v>
      </c>
      <c r="H47" s="36">
        <v>2217286000</v>
      </c>
      <c r="I47" s="36">
        <v>2145883000</v>
      </c>
      <c r="J47" s="36">
        <v>2148976000</v>
      </c>
      <c r="K47" s="36">
        <v>2147875000</v>
      </c>
      <c r="L47" s="36">
        <v>1776575000</v>
      </c>
      <c r="M47" s="36">
        <v>1657568000</v>
      </c>
      <c r="N47" s="36">
        <v>1658286000</v>
      </c>
      <c r="O47" s="36">
        <v>1684332000</v>
      </c>
      <c r="P47" s="36">
        <v>1700782000</v>
      </c>
      <c r="Q47" s="36">
        <v>1660515000</v>
      </c>
      <c r="R47" s="36">
        <v>1659626000</v>
      </c>
      <c r="S47" s="36">
        <v>1667891000</v>
      </c>
      <c r="T47" s="36">
        <v>1618618000</v>
      </c>
      <c r="U47" s="36">
        <v>1534211000</v>
      </c>
      <c r="V47" s="36">
        <v>1534671000</v>
      </c>
      <c r="W47" s="36">
        <v>1589765000</v>
      </c>
      <c r="X47" s="36">
        <v>1600851000</v>
      </c>
      <c r="Y47" s="36">
        <v>1556375000</v>
      </c>
      <c r="Z47" s="36">
        <v>1558850000</v>
      </c>
      <c r="AA47" s="36">
        <v>1600850000</v>
      </c>
      <c r="AB47" s="36">
        <v>1615850000</v>
      </c>
      <c r="AC47" s="36">
        <v>1558850000</v>
      </c>
      <c r="AD47" s="36">
        <v>1564250000</v>
      </c>
      <c r="AE47" s="36">
        <v>1604825000</v>
      </c>
      <c r="AF47" s="36">
        <v>1574357000</v>
      </c>
      <c r="AG47" s="36">
        <v>1520632000</v>
      </c>
      <c r="AH47" s="36">
        <v>1523731000</v>
      </c>
      <c r="AI47" s="36">
        <v>1581556000</v>
      </c>
      <c r="AJ47" s="36">
        <v>1620955000</v>
      </c>
      <c r="AK47" s="36">
        <v>1532180000</v>
      </c>
      <c r="AL47" s="36">
        <v>1531776000</v>
      </c>
      <c r="AM47" s="36">
        <v>1651747000</v>
      </c>
      <c r="AN47" s="36">
        <v>1695556000</v>
      </c>
      <c r="AO47" s="36">
        <v>1540458000</v>
      </c>
      <c r="AP47" s="36">
        <v>1556254000</v>
      </c>
      <c r="AQ47" s="36">
        <v>1650006000</v>
      </c>
      <c r="AR47" s="36">
        <v>1694845000</v>
      </c>
      <c r="AS47" s="36">
        <v>1579703000</v>
      </c>
      <c r="AT47" s="36">
        <v>1562684000</v>
      </c>
      <c r="AU47" s="36">
        <v>1677615000</v>
      </c>
      <c r="AV47" s="36">
        <v>1700500000</v>
      </c>
      <c r="AW47" s="36">
        <v>1610387000</v>
      </c>
      <c r="AX47" s="36">
        <v>1583663000</v>
      </c>
      <c r="AY47" s="36">
        <v>1789663000</v>
      </c>
      <c r="AZ47" s="36">
        <v>1819758000</v>
      </c>
      <c r="BA47" s="36">
        <v>1706625000</v>
      </c>
      <c r="BB47" s="36">
        <v>1692650000</v>
      </c>
      <c r="BC47" s="36">
        <v>1820464000</v>
      </c>
      <c r="BD47" s="36">
        <v>1839166000</v>
      </c>
      <c r="BE47" s="36">
        <v>1735461000</v>
      </c>
      <c r="BF47" s="36">
        <v>1705737000</v>
      </c>
      <c r="BG47" s="36">
        <v>1861113000</v>
      </c>
      <c r="BH47" s="36">
        <v>1865975000</v>
      </c>
      <c r="BI47" s="36">
        <v>1759713000</v>
      </c>
      <c r="BJ47" s="36">
        <v>1727550000</v>
      </c>
      <c r="BK47" s="36">
        <v>521600000</v>
      </c>
      <c r="BL47" s="36">
        <v>504600000</v>
      </c>
      <c r="BM47" s="36">
        <v>450850000</v>
      </c>
      <c r="BN47" s="36">
        <v>417500000</v>
      </c>
      <c r="BO47" s="36">
        <v>536872000</v>
      </c>
      <c r="BP47" s="36">
        <v>516261000</v>
      </c>
      <c r="BQ47" s="36">
        <v>442084000</v>
      </c>
      <c r="BR47" s="36">
        <v>392138000</v>
      </c>
      <c r="BS47" s="36">
        <v>562718000</v>
      </c>
      <c r="BT47" s="36">
        <v>415632000</v>
      </c>
      <c r="BU47" s="36">
        <v>348647000</v>
      </c>
      <c r="BV47" s="36">
        <v>318650000</v>
      </c>
      <c r="BW47" s="36">
        <v>434300000</v>
      </c>
      <c r="BX47" s="36">
        <v>438150000</v>
      </c>
      <c r="BY47" s="36">
        <v>365150000</v>
      </c>
      <c r="BZ47" s="36">
        <v>338350000</v>
      </c>
      <c r="CA47" s="36">
        <v>434750000</v>
      </c>
      <c r="CB47" s="36">
        <v>442833000</v>
      </c>
      <c r="CC47" s="36">
        <v>373000000</v>
      </c>
      <c r="CD47" s="36">
        <v>140000000</v>
      </c>
      <c r="CE47" s="36">
        <v>100000000</v>
      </c>
      <c r="CF47" s="36">
        <v>300000000</v>
      </c>
      <c r="CG47" s="36">
        <v>300000000</v>
      </c>
      <c r="CH47" s="36">
        <v>254600000</v>
      </c>
      <c r="CI47" s="36">
        <v>300000000</v>
      </c>
      <c r="CJ47" s="36">
        <v>334350000</v>
      </c>
      <c r="CK47" s="36">
        <v>261200000</v>
      </c>
      <c r="CL47" s="36">
        <v>196800000</v>
      </c>
      <c r="CM47" s="36">
        <v>278100000</v>
      </c>
      <c r="CN47" s="36">
        <v>267700000</v>
      </c>
      <c r="CO47" s="36">
        <v>200400000</v>
      </c>
      <c r="CP47" s="36">
        <v>165200000</v>
      </c>
      <c r="CQ47" s="36">
        <v>249300000</v>
      </c>
      <c r="CR47" s="36">
        <v>244400000</v>
      </c>
      <c r="CS47" s="36">
        <v>189800000</v>
      </c>
      <c r="CT47" s="36">
        <v>61800000</v>
      </c>
      <c r="CU47" s="36">
        <v>136100000</v>
      </c>
      <c r="CV47" s="36">
        <v>125400000</v>
      </c>
      <c r="CW47" s="36">
        <v>87600000</v>
      </c>
      <c r="CX47" s="36">
        <v>50000000</v>
      </c>
      <c r="CY47" s="36">
        <v>121200000</v>
      </c>
      <c r="CZ47" s="36">
        <v>119700000</v>
      </c>
      <c r="DA47" s="36">
        <v>80000000</v>
      </c>
      <c r="DB47" s="36">
        <v>53200000</v>
      </c>
      <c r="DC47" s="36">
        <v>109200000</v>
      </c>
      <c r="DD47" s="36">
        <v>102500000</v>
      </c>
      <c r="DE47" s="36">
        <v>71400000</v>
      </c>
      <c r="DF47" s="36">
        <v>111900000</v>
      </c>
      <c r="DG47" s="36">
        <v>86800000</v>
      </c>
      <c r="DH47" s="36">
        <v>61000000</v>
      </c>
      <c r="DI47" s="36">
        <v>119100000</v>
      </c>
      <c r="DJ47" s="36">
        <v>113900000</v>
      </c>
      <c r="DK47" s="36">
        <v>89700000</v>
      </c>
      <c r="DL47" s="36">
        <v>65900000</v>
      </c>
      <c r="DM47" s="36">
        <v>86600000</v>
      </c>
      <c r="DN47" s="36">
        <v>84900000</v>
      </c>
      <c r="DO47" s="36">
        <v>65900000</v>
      </c>
      <c r="DP47" s="36">
        <v>50000000</v>
      </c>
      <c r="DQ47" s="36">
        <v>87000000</v>
      </c>
      <c r="DR47" s="36">
        <v>90700000</v>
      </c>
      <c r="DS47" s="36">
        <v>69900000</v>
      </c>
      <c r="DT47" s="36">
        <v>52800000</v>
      </c>
      <c r="DU47" s="36">
        <v>93600000</v>
      </c>
      <c r="DV47" s="36">
        <v>87300000</v>
      </c>
      <c r="DW47" s="36">
        <v>71100000</v>
      </c>
      <c r="DX47" s="36">
        <v>55900000</v>
      </c>
      <c r="DY47" s="36">
        <v>90000000</v>
      </c>
      <c r="DZ47" s="36">
        <v>77900000</v>
      </c>
      <c r="EA47" s="36">
        <v>79600000</v>
      </c>
    </row>
    <row r="48" spans="1:131">
      <c r="A48" t="s">
        <v>184</v>
      </c>
      <c r="B48" s="36">
        <v>11146000</v>
      </c>
      <c r="C48" s="36">
        <v>10620000</v>
      </c>
      <c r="D48" s="36">
        <v>10749000</v>
      </c>
      <c r="E48" s="36">
        <v>10483000</v>
      </c>
      <c r="F48" s="36">
        <v>9873000</v>
      </c>
      <c r="G48" s="36">
        <v>10072000</v>
      </c>
      <c r="H48" s="36">
        <v>10310000</v>
      </c>
      <c r="I48" s="36">
        <v>10600000</v>
      </c>
      <c r="J48" s="36">
        <v>7440000</v>
      </c>
      <c r="K48" s="36">
        <v>2365000</v>
      </c>
      <c r="L48" s="36">
        <v>65399000</v>
      </c>
    </row>
    <row r="49" spans="1:131">
      <c r="A49" t="s">
        <v>185</v>
      </c>
      <c r="B49" s="36">
        <v>71575000</v>
      </c>
      <c r="C49" s="36">
        <v>54549000</v>
      </c>
      <c r="D49" s="36">
        <v>65849000</v>
      </c>
      <c r="E49" s="36">
        <v>39595000</v>
      </c>
      <c r="F49" s="36">
        <v>38705000</v>
      </c>
      <c r="G49" s="36">
        <v>127347000</v>
      </c>
      <c r="H49" s="36">
        <v>223158000</v>
      </c>
      <c r="I49" s="36">
        <v>82046000</v>
      </c>
      <c r="J49" s="36">
        <v>82658000</v>
      </c>
      <c r="K49" s="36">
        <v>88854000</v>
      </c>
      <c r="L49" s="36">
        <v>82518000</v>
      </c>
      <c r="M49" s="36">
        <v>81717000</v>
      </c>
      <c r="N49" s="36">
        <v>74637000</v>
      </c>
      <c r="O49" s="36">
        <v>93474000</v>
      </c>
      <c r="P49" s="36">
        <v>87459000</v>
      </c>
      <c r="Q49" s="36">
        <v>74798000</v>
      </c>
      <c r="R49" s="36">
        <v>112671000</v>
      </c>
      <c r="S49" s="36">
        <v>116797000</v>
      </c>
      <c r="T49" s="36">
        <v>122007000</v>
      </c>
      <c r="U49" s="36">
        <v>104885000</v>
      </c>
      <c r="V49" s="36">
        <v>137712000</v>
      </c>
      <c r="W49" s="36">
        <v>138229000</v>
      </c>
      <c r="X49" s="36">
        <v>138948000</v>
      </c>
      <c r="Y49" s="36">
        <v>141951000</v>
      </c>
      <c r="Z49" s="36">
        <v>154228000</v>
      </c>
      <c r="AA49" s="36">
        <v>153053000</v>
      </c>
      <c r="AB49" s="36">
        <v>153125000</v>
      </c>
      <c r="AC49" s="36">
        <v>152513000</v>
      </c>
      <c r="AD49" s="36">
        <v>157389000</v>
      </c>
      <c r="AE49" s="36">
        <v>157046000</v>
      </c>
      <c r="AF49" s="36">
        <v>157281000</v>
      </c>
      <c r="AG49" s="36">
        <v>158113000</v>
      </c>
      <c r="AH49" s="36">
        <v>157603000</v>
      </c>
      <c r="AI49" s="36">
        <v>154292000</v>
      </c>
      <c r="AJ49" s="36">
        <v>154587000</v>
      </c>
      <c r="AK49" s="36">
        <v>156740000</v>
      </c>
      <c r="AL49" s="36">
        <v>143094000</v>
      </c>
      <c r="AM49" s="36">
        <v>137288000</v>
      </c>
      <c r="AN49" s="36">
        <v>135746000</v>
      </c>
      <c r="AO49" s="36">
        <v>135446000</v>
      </c>
      <c r="AP49" s="36">
        <v>125588000</v>
      </c>
      <c r="AQ49" s="36">
        <v>129499000</v>
      </c>
      <c r="AR49" s="36">
        <v>132563000</v>
      </c>
      <c r="AS49" s="36">
        <v>131830000</v>
      </c>
      <c r="AT49" s="36">
        <v>153563000</v>
      </c>
      <c r="AU49" s="36">
        <v>140324000</v>
      </c>
      <c r="AV49" s="36">
        <v>140513000</v>
      </c>
      <c r="AW49" s="36">
        <v>138124000</v>
      </c>
      <c r="AX49" s="36">
        <v>151824000</v>
      </c>
      <c r="AY49" s="36">
        <v>134243000</v>
      </c>
      <c r="AZ49" s="36">
        <v>126404000</v>
      </c>
      <c r="BA49" s="36">
        <v>124269000</v>
      </c>
      <c r="BB49" s="36">
        <v>153800000</v>
      </c>
      <c r="BC49" s="36">
        <v>158186000</v>
      </c>
      <c r="BD49" s="36">
        <v>154392000</v>
      </c>
      <c r="BE49" s="36">
        <v>158304000</v>
      </c>
      <c r="BF49" s="36">
        <v>130641000</v>
      </c>
      <c r="BG49" s="36">
        <v>146347000</v>
      </c>
      <c r="BH49" s="36">
        <v>146801000</v>
      </c>
      <c r="BI49" s="36">
        <v>146801000</v>
      </c>
      <c r="BJ49" s="36">
        <v>154789000</v>
      </c>
      <c r="DI49" s="36">
        <v>11000000</v>
      </c>
      <c r="DJ49" s="36">
        <v>11000000</v>
      </c>
      <c r="DK49" s="36">
        <v>11000000</v>
      </c>
      <c r="DL49" s="36">
        <v>8000000</v>
      </c>
    </row>
    <row r="50" spans="1:131">
      <c r="A50" t="s">
        <v>186</v>
      </c>
      <c r="B50" s="36">
        <v>47538000</v>
      </c>
      <c r="C50" s="36">
        <v>38488000</v>
      </c>
      <c r="D50" s="36">
        <v>49972000</v>
      </c>
      <c r="E50" s="36">
        <v>39595000</v>
      </c>
      <c r="F50" s="36">
        <v>2525000</v>
      </c>
      <c r="G50" s="36">
        <v>29698000</v>
      </c>
      <c r="H50" s="36">
        <v>59021000</v>
      </c>
      <c r="I50" s="36">
        <v>82046000</v>
      </c>
      <c r="J50" s="36">
        <v>82658000</v>
      </c>
      <c r="K50" s="36">
        <v>88854000</v>
      </c>
      <c r="L50" s="36">
        <v>82518000</v>
      </c>
      <c r="M50" s="36">
        <v>81717000</v>
      </c>
      <c r="N50" s="36">
        <v>74637000</v>
      </c>
      <c r="O50" s="36">
        <v>93474000</v>
      </c>
      <c r="P50" s="36">
        <v>87459000</v>
      </c>
      <c r="Q50" s="36">
        <v>74798000</v>
      </c>
      <c r="R50" s="36">
        <v>112671000</v>
      </c>
      <c r="S50" s="36">
        <v>116797000</v>
      </c>
      <c r="T50" s="36">
        <v>122007000</v>
      </c>
      <c r="U50" s="36">
        <v>104885000</v>
      </c>
      <c r="V50" s="36">
        <v>137712000</v>
      </c>
      <c r="W50" s="36">
        <v>138229000</v>
      </c>
      <c r="X50" s="36">
        <v>138948000</v>
      </c>
      <c r="Y50" s="36">
        <v>141951000</v>
      </c>
      <c r="Z50" s="36">
        <v>154228000</v>
      </c>
      <c r="AA50" s="36">
        <v>153053000</v>
      </c>
      <c r="AB50" s="36">
        <v>153125000</v>
      </c>
      <c r="AC50" s="36">
        <v>152513000</v>
      </c>
      <c r="AD50" s="36">
        <v>157389000</v>
      </c>
      <c r="AE50" s="36">
        <v>157046000</v>
      </c>
      <c r="AF50" s="36">
        <v>157281000</v>
      </c>
      <c r="AG50" s="36">
        <v>158113000</v>
      </c>
      <c r="AH50" s="36">
        <v>157603000</v>
      </c>
      <c r="AI50" s="36">
        <v>154292000</v>
      </c>
      <c r="AJ50" s="36">
        <v>154587000</v>
      </c>
      <c r="AK50" s="36">
        <v>156740000</v>
      </c>
      <c r="AL50" s="36">
        <v>143094000</v>
      </c>
      <c r="AM50" s="36">
        <v>137288000</v>
      </c>
      <c r="AN50" s="36">
        <v>135746000</v>
      </c>
      <c r="AO50" s="36">
        <v>135446000</v>
      </c>
      <c r="AP50" s="36">
        <v>125588000</v>
      </c>
      <c r="AQ50" s="36">
        <v>129499000</v>
      </c>
      <c r="AR50" s="36">
        <v>132563000</v>
      </c>
      <c r="AS50" s="36">
        <v>131830000</v>
      </c>
      <c r="AT50" s="36">
        <v>153563000</v>
      </c>
      <c r="AU50" s="36">
        <v>140324000</v>
      </c>
      <c r="AV50" s="36">
        <v>140513000</v>
      </c>
      <c r="AW50" s="36">
        <v>138124000</v>
      </c>
      <c r="AX50" s="36">
        <v>151824000</v>
      </c>
      <c r="AY50" s="36">
        <v>134243000</v>
      </c>
      <c r="AZ50" s="36">
        <v>126404000</v>
      </c>
      <c r="BA50" s="36">
        <v>124269000</v>
      </c>
      <c r="BB50" s="36">
        <v>153800000</v>
      </c>
      <c r="BC50" s="36">
        <v>158186000</v>
      </c>
      <c r="BD50" s="36">
        <v>154392000</v>
      </c>
      <c r="BE50" s="36">
        <v>158304000</v>
      </c>
      <c r="BF50" s="36">
        <v>130641000</v>
      </c>
      <c r="BG50" s="36">
        <v>146347000</v>
      </c>
      <c r="BH50" s="36">
        <v>146801000</v>
      </c>
      <c r="BI50" s="36">
        <v>146801000</v>
      </c>
      <c r="BJ50" s="36">
        <v>154789000</v>
      </c>
      <c r="DI50" s="36">
        <v>11000000</v>
      </c>
      <c r="DJ50" s="36">
        <v>11000000</v>
      </c>
      <c r="DK50" s="36">
        <v>11000000</v>
      </c>
      <c r="DL50" s="36">
        <v>8000000</v>
      </c>
    </row>
    <row r="51" spans="1:131">
      <c r="A51" t="s">
        <v>187</v>
      </c>
      <c r="B51" s="36">
        <v>24037000</v>
      </c>
      <c r="C51" s="36">
        <v>16061000</v>
      </c>
      <c r="D51" s="36">
        <v>15877000</v>
      </c>
      <c r="F51" s="36">
        <v>36180000</v>
      </c>
      <c r="G51" s="36">
        <v>97649000</v>
      </c>
      <c r="H51" s="36">
        <v>164137000</v>
      </c>
    </row>
    <row r="52" spans="1:131">
      <c r="A52" t="s">
        <v>285</v>
      </c>
      <c r="B52" s="36">
        <v>28504000</v>
      </c>
      <c r="C52" s="36">
        <v>31690000</v>
      </c>
      <c r="D52" s="36">
        <v>35524000</v>
      </c>
      <c r="E52" s="36">
        <v>39086000</v>
      </c>
      <c r="F52" s="36">
        <v>38713000</v>
      </c>
      <c r="G52" s="36">
        <v>37247000</v>
      </c>
      <c r="H52" s="36">
        <v>34298000</v>
      </c>
      <c r="I52" s="36">
        <v>18108000</v>
      </c>
      <c r="J52" s="36">
        <v>27773000</v>
      </c>
      <c r="K52" s="36">
        <v>23862000</v>
      </c>
      <c r="L52" s="36">
        <v>13083000</v>
      </c>
      <c r="M52" s="36">
        <v>6705000</v>
      </c>
      <c r="N52">
        <v>0</v>
      </c>
      <c r="P52" s="36">
        <v>2730000</v>
      </c>
      <c r="Q52" s="36">
        <v>8722000</v>
      </c>
      <c r="R52" s="36">
        <v>14849000</v>
      </c>
      <c r="S52" s="36">
        <v>18166000</v>
      </c>
      <c r="T52" s="36">
        <v>15658000</v>
      </c>
      <c r="U52" s="36">
        <v>17721000</v>
      </c>
      <c r="V52" s="36">
        <v>30185000</v>
      </c>
      <c r="W52" s="36">
        <v>30900000</v>
      </c>
      <c r="X52" s="36">
        <v>27855000</v>
      </c>
      <c r="Y52" s="36">
        <v>22918000</v>
      </c>
      <c r="Z52" s="36">
        <v>24042000</v>
      </c>
      <c r="AA52" s="36">
        <v>18806000</v>
      </c>
      <c r="AB52" s="36">
        <v>19252000</v>
      </c>
      <c r="AC52" s="36">
        <v>14649000</v>
      </c>
      <c r="AD52" s="36">
        <v>25802000</v>
      </c>
      <c r="AE52" s="36">
        <v>30110000</v>
      </c>
      <c r="AF52" s="36">
        <v>27789000</v>
      </c>
      <c r="AG52" s="36">
        <v>26662000</v>
      </c>
      <c r="AH52" s="36">
        <v>31646000</v>
      </c>
      <c r="AI52" s="36">
        <v>26772000</v>
      </c>
      <c r="AJ52" s="36">
        <v>31031000</v>
      </c>
      <c r="AK52" s="36">
        <v>32260000</v>
      </c>
      <c r="AL52" s="36">
        <v>34708000</v>
      </c>
      <c r="AM52" s="36">
        <v>35146000</v>
      </c>
      <c r="AN52" s="36">
        <v>32280000</v>
      </c>
      <c r="AO52" s="36">
        <v>32400000</v>
      </c>
      <c r="AP52" s="36">
        <v>33835000</v>
      </c>
      <c r="AQ52" s="36">
        <v>16750000</v>
      </c>
      <c r="AR52">
        <v>0</v>
      </c>
      <c r="AS52" s="36">
        <v>54517000</v>
      </c>
      <c r="AT52" s="36">
        <v>110940000</v>
      </c>
      <c r="AU52" s="36">
        <v>115244000</v>
      </c>
      <c r="AV52" s="36">
        <v>128423000</v>
      </c>
      <c r="AW52" s="36">
        <v>129662000</v>
      </c>
      <c r="AX52" s="36">
        <v>127308000</v>
      </c>
      <c r="AY52" s="36">
        <v>118994000</v>
      </c>
      <c r="AZ52" s="36">
        <v>117885000</v>
      </c>
      <c r="BA52" s="36">
        <v>128214000</v>
      </c>
    </row>
    <row r="53" spans="1:131">
      <c r="A53" t="s">
        <v>188</v>
      </c>
      <c r="B53" s="36">
        <v>5261000</v>
      </c>
      <c r="C53" s="36">
        <v>5264000</v>
      </c>
      <c r="D53" s="36">
        <v>5657000</v>
      </c>
      <c r="E53" s="36">
        <v>16460000</v>
      </c>
      <c r="F53" s="36">
        <v>6260000</v>
      </c>
      <c r="G53" s="36">
        <v>2722000</v>
      </c>
      <c r="H53" s="36">
        <v>806000</v>
      </c>
      <c r="I53" s="36">
        <v>10336000</v>
      </c>
      <c r="J53" s="36">
        <v>18966000</v>
      </c>
      <c r="K53" s="36">
        <v>10302000</v>
      </c>
      <c r="L53" s="36">
        <v>10314000</v>
      </c>
      <c r="M53" s="36">
        <v>11058000</v>
      </c>
      <c r="N53" s="36">
        <v>16292000</v>
      </c>
      <c r="O53" s="36">
        <v>10982000</v>
      </c>
      <c r="P53" s="36">
        <v>11403000</v>
      </c>
      <c r="Q53" s="36">
        <v>11684000</v>
      </c>
      <c r="R53" s="36">
        <v>12340000</v>
      </c>
      <c r="S53" s="36">
        <v>12423000</v>
      </c>
      <c r="T53" s="36">
        <v>12923000</v>
      </c>
      <c r="U53" s="36">
        <v>13162000</v>
      </c>
      <c r="V53" s="36">
        <v>12488000</v>
      </c>
      <c r="W53" s="36">
        <v>12474000</v>
      </c>
      <c r="X53" s="36">
        <v>12388000</v>
      </c>
      <c r="Y53" s="36">
        <v>17983000</v>
      </c>
      <c r="Z53" s="36">
        <v>15488000</v>
      </c>
      <c r="AA53" s="36">
        <v>16061000</v>
      </c>
      <c r="AB53" s="36">
        <v>15351000</v>
      </c>
      <c r="AC53" s="36">
        <v>17871000</v>
      </c>
      <c r="AD53" s="36">
        <v>16595000</v>
      </c>
      <c r="AE53" s="36">
        <v>7402000</v>
      </c>
      <c r="AF53" s="36">
        <v>7755000</v>
      </c>
      <c r="AG53" s="36">
        <v>11290000</v>
      </c>
      <c r="AH53" s="36">
        <v>9073000</v>
      </c>
      <c r="AI53" s="36">
        <v>8796000</v>
      </c>
      <c r="AJ53" s="36">
        <v>7685000</v>
      </c>
      <c r="AK53" s="36">
        <v>8980000</v>
      </c>
      <c r="AL53" s="36">
        <v>7380000</v>
      </c>
      <c r="AM53" s="36">
        <v>7121000</v>
      </c>
      <c r="AN53" s="36">
        <v>2235000</v>
      </c>
      <c r="AO53" s="36">
        <v>4090000</v>
      </c>
      <c r="AP53" s="36">
        <v>2872000</v>
      </c>
      <c r="AQ53" s="36">
        <v>3963000</v>
      </c>
      <c r="AR53" s="36">
        <v>4368000</v>
      </c>
      <c r="AS53" s="36">
        <v>10406000</v>
      </c>
      <c r="AT53" s="36">
        <v>6662000</v>
      </c>
      <c r="AU53" s="36">
        <v>6530000</v>
      </c>
      <c r="AV53" s="36">
        <v>6870000</v>
      </c>
      <c r="AW53" s="36">
        <v>7884000</v>
      </c>
      <c r="AX53" s="36">
        <v>7101000</v>
      </c>
      <c r="AY53" s="36">
        <v>4974000</v>
      </c>
      <c r="AZ53" s="36">
        <v>4460000</v>
      </c>
      <c r="BA53" s="36">
        <v>4950000</v>
      </c>
      <c r="BC53" s="36">
        <v>104706000</v>
      </c>
      <c r="BD53" s="36">
        <v>148269000</v>
      </c>
      <c r="BE53" s="36">
        <v>117103000</v>
      </c>
      <c r="BF53" s="36">
        <v>85650000</v>
      </c>
      <c r="BG53" s="36">
        <v>31378000</v>
      </c>
      <c r="BH53" s="36">
        <v>39305000</v>
      </c>
      <c r="BI53" s="36">
        <v>34534000</v>
      </c>
      <c r="BJ53" s="36">
        <v>35636000</v>
      </c>
      <c r="BK53" s="36">
        <v>7743000</v>
      </c>
      <c r="BL53" s="36">
        <v>7656000</v>
      </c>
      <c r="BM53" s="36">
        <v>8977000</v>
      </c>
      <c r="BN53" s="36">
        <v>8199000</v>
      </c>
      <c r="BO53" s="36">
        <v>67480000</v>
      </c>
      <c r="BP53" s="36">
        <v>66835000</v>
      </c>
      <c r="BQ53" s="36">
        <v>59124000</v>
      </c>
      <c r="BR53" s="36">
        <v>57861000</v>
      </c>
      <c r="BS53" s="36">
        <v>58943000</v>
      </c>
      <c r="BT53" s="36">
        <v>57270000</v>
      </c>
      <c r="BU53" s="36">
        <v>50109000</v>
      </c>
      <c r="BV53" s="36">
        <v>54419000</v>
      </c>
      <c r="BW53" s="36">
        <v>54261000</v>
      </c>
      <c r="BX53" s="36">
        <v>54430000</v>
      </c>
      <c r="BY53" s="36">
        <v>45449000</v>
      </c>
      <c r="BZ53" s="36">
        <v>44109000</v>
      </c>
      <c r="CA53" s="36">
        <v>41532000</v>
      </c>
      <c r="CB53" s="36">
        <v>39634000</v>
      </c>
      <c r="CC53" s="36">
        <v>32281000</v>
      </c>
      <c r="CD53" s="36">
        <v>33354000</v>
      </c>
      <c r="CE53" s="36">
        <v>32809000</v>
      </c>
      <c r="CF53" s="36">
        <v>31959000</v>
      </c>
      <c r="CG53" s="36">
        <v>19530000</v>
      </c>
      <c r="CH53" s="36">
        <v>19863000</v>
      </c>
      <c r="CI53" s="36">
        <v>10917000</v>
      </c>
      <c r="CJ53" s="36">
        <v>11017000</v>
      </c>
      <c r="CK53" s="36">
        <v>11200000</v>
      </c>
      <c r="CL53" s="36">
        <v>10700000</v>
      </c>
      <c r="CM53" s="36">
        <v>11400000</v>
      </c>
      <c r="CN53" s="36">
        <v>11700000</v>
      </c>
      <c r="CO53" s="36">
        <v>11700000</v>
      </c>
      <c r="CP53" s="36">
        <v>10700000</v>
      </c>
      <c r="CQ53" s="36">
        <v>10900000</v>
      </c>
      <c r="CR53" s="36">
        <v>10900000</v>
      </c>
      <c r="CS53" s="36">
        <v>10200000</v>
      </c>
      <c r="CT53" s="36">
        <v>8700000</v>
      </c>
      <c r="CU53" s="36">
        <v>8200000</v>
      </c>
      <c r="CV53" s="36">
        <v>7600000</v>
      </c>
      <c r="CW53" s="36">
        <v>7300000</v>
      </c>
      <c r="CX53" s="36">
        <v>5600000</v>
      </c>
      <c r="CY53" s="36">
        <v>4800000</v>
      </c>
      <c r="CZ53" s="36">
        <v>4800000</v>
      </c>
      <c r="DA53" s="36">
        <v>5600000</v>
      </c>
      <c r="DB53" s="36">
        <v>3700000</v>
      </c>
      <c r="DC53" s="36">
        <v>3400000</v>
      </c>
      <c r="DD53" s="36">
        <v>3400000</v>
      </c>
      <c r="DE53" s="36">
        <v>3900000</v>
      </c>
      <c r="DH53" s="36">
        <v>-100000</v>
      </c>
      <c r="DK53" s="36">
        <v>100000</v>
      </c>
      <c r="DM53" s="36">
        <v>100000</v>
      </c>
      <c r="DP53" s="36">
        <v>-100000</v>
      </c>
      <c r="DX53" s="36">
        <v>100000</v>
      </c>
      <c r="DY53" s="36">
        <v>-100000</v>
      </c>
      <c r="DZ53" s="36">
        <v>100000</v>
      </c>
      <c r="EA53" s="36">
        <v>100000</v>
      </c>
    </row>
    <row r="54" spans="1:131">
      <c r="A54" t="s">
        <v>189</v>
      </c>
      <c r="B54" s="36">
        <v>-682645000</v>
      </c>
      <c r="C54" s="36">
        <v>-841560000</v>
      </c>
      <c r="D54" s="36">
        <v>-780610000</v>
      </c>
      <c r="E54" s="36">
        <v>-666437000</v>
      </c>
      <c r="F54" s="36">
        <v>-551330000</v>
      </c>
      <c r="G54" s="36">
        <v>-411862000</v>
      </c>
      <c r="H54" s="36">
        <v>-274214000</v>
      </c>
      <c r="I54" s="36">
        <v>-9966000</v>
      </c>
      <c r="J54" s="36">
        <v>42719000</v>
      </c>
      <c r="K54" s="36">
        <v>-100200000</v>
      </c>
      <c r="L54" s="36">
        <v>-109598000</v>
      </c>
      <c r="M54" s="36">
        <v>32416000</v>
      </c>
      <c r="N54" s="36">
        <v>91670000</v>
      </c>
      <c r="O54" s="36">
        <v>-70071000</v>
      </c>
      <c r="P54" s="36">
        <v>-50963000</v>
      </c>
      <c r="Q54" s="36">
        <v>82946000</v>
      </c>
      <c r="R54" s="36">
        <v>75282000</v>
      </c>
      <c r="S54" s="36">
        <v>-60640000</v>
      </c>
      <c r="T54" s="36">
        <v>-47552000</v>
      </c>
      <c r="U54" s="36">
        <v>60519000</v>
      </c>
      <c r="V54" s="36">
        <v>105447000</v>
      </c>
      <c r="W54" s="36">
        <v>-28427000</v>
      </c>
      <c r="X54" s="36">
        <v>-41806000</v>
      </c>
      <c r="Y54" s="36">
        <v>57009000</v>
      </c>
      <c r="Z54" s="36">
        <v>125142000</v>
      </c>
      <c r="AA54" s="36">
        <v>-3531000</v>
      </c>
      <c r="AB54" s="36">
        <v>-21192000</v>
      </c>
      <c r="AC54" s="36">
        <v>96217000</v>
      </c>
      <c r="AD54" s="36">
        <v>153556000</v>
      </c>
      <c r="AE54" s="36">
        <v>23615000</v>
      </c>
      <c r="AF54" s="36">
        <v>20791000</v>
      </c>
      <c r="AG54" s="36">
        <v>139131000</v>
      </c>
      <c r="AH54" s="36">
        <v>192217000</v>
      </c>
      <c r="AI54" s="36">
        <v>39233000</v>
      </c>
      <c r="AJ54" s="36">
        <v>22526000</v>
      </c>
      <c r="AK54" s="36">
        <v>159260000</v>
      </c>
      <c r="AL54" s="36">
        <v>186031000</v>
      </c>
      <c r="AM54" s="36">
        <v>67509000</v>
      </c>
      <c r="AN54" s="36">
        <v>71868000</v>
      </c>
      <c r="AO54" s="36">
        <v>158720000</v>
      </c>
      <c r="AP54" s="36">
        <v>197913000</v>
      </c>
      <c r="AQ54" s="36">
        <v>52207000</v>
      </c>
      <c r="AR54" s="36">
        <v>58751000</v>
      </c>
      <c r="AS54" s="36">
        <v>137136000</v>
      </c>
      <c r="AT54" s="36">
        <v>197328000</v>
      </c>
      <c r="AU54" s="36">
        <v>110238000</v>
      </c>
      <c r="AV54" s="36">
        <v>102178000</v>
      </c>
      <c r="AW54" s="36">
        <v>127862000</v>
      </c>
      <c r="AX54" s="36">
        <v>150152000</v>
      </c>
      <c r="AY54" s="36">
        <v>45461000</v>
      </c>
      <c r="AZ54" s="36">
        <v>32484000</v>
      </c>
      <c r="BA54" s="36">
        <v>106786000</v>
      </c>
      <c r="BB54" s="36">
        <v>380919000</v>
      </c>
      <c r="BC54" s="36">
        <v>212974000</v>
      </c>
      <c r="BD54" s="36">
        <v>175321000</v>
      </c>
      <c r="BE54" s="36">
        <v>285092000</v>
      </c>
      <c r="BF54" s="36">
        <v>346374000</v>
      </c>
      <c r="BG54" s="36">
        <v>340177000</v>
      </c>
      <c r="BH54" s="36">
        <v>326148000</v>
      </c>
      <c r="BI54" s="36">
        <v>410615000</v>
      </c>
      <c r="BJ54" s="36">
        <v>470076000</v>
      </c>
      <c r="BK54" s="36">
        <v>368608000</v>
      </c>
      <c r="BL54" s="36">
        <v>382712000</v>
      </c>
      <c r="BM54" s="36">
        <v>434234000</v>
      </c>
      <c r="BN54" s="36">
        <v>456402000</v>
      </c>
      <c r="BO54" s="36">
        <v>310673000</v>
      </c>
      <c r="BP54" s="36">
        <v>323035000</v>
      </c>
      <c r="BQ54" s="36">
        <v>370483000</v>
      </c>
      <c r="BR54" s="36">
        <v>407291000</v>
      </c>
      <c r="BS54" s="36">
        <v>248822000</v>
      </c>
      <c r="BT54" s="36">
        <v>257516000</v>
      </c>
      <c r="BU54" s="36">
        <v>308891000</v>
      </c>
      <c r="BV54" s="36">
        <v>340402000</v>
      </c>
      <c r="BW54" s="36">
        <v>249969000</v>
      </c>
      <c r="BX54" s="36">
        <v>253361000</v>
      </c>
      <c r="BY54" s="36">
        <v>305320000</v>
      </c>
      <c r="BZ54" s="36">
        <v>337407000</v>
      </c>
      <c r="CA54" s="36">
        <v>256218000</v>
      </c>
      <c r="CB54" s="36">
        <v>256520000</v>
      </c>
      <c r="CC54" s="36">
        <v>308250000</v>
      </c>
      <c r="CD54" s="36">
        <v>344826000</v>
      </c>
      <c r="CE54" s="36">
        <v>266365000</v>
      </c>
      <c r="CF54" s="36">
        <v>278110000</v>
      </c>
      <c r="CG54" s="36">
        <v>330589000</v>
      </c>
      <c r="CH54" s="36">
        <v>369743000</v>
      </c>
      <c r="CI54" s="36">
        <v>299098000</v>
      </c>
      <c r="CJ54" s="36">
        <v>299892000</v>
      </c>
      <c r="CK54" s="36">
        <v>350000000</v>
      </c>
      <c r="CL54" s="36">
        <v>380100000</v>
      </c>
      <c r="CM54" s="36">
        <v>302800000</v>
      </c>
      <c r="CN54" s="36">
        <v>301900000</v>
      </c>
      <c r="CO54" s="36">
        <v>342000000</v>
      </c>
      <c r="CP54" s="36">
        <v>369600000</v>
      </c>
      <c r="CQ54" s="36">
        <v>295300000</v>
      </c>
      <c r="CR54" s="36">
        <v>293400000</v>
      </c>
      <c r="CS54" s="36">
        <v>337200000</v>
      </c>
      <c r="CT54" s="36">
        <v>207400000</v>
      </c>
      <c r="CU54" s="36">
        <v>138500000</v>
      </c>
      <c r="CV54" s="36">
        <v>138500000</v>
      </c>
      <c r="CW54" s="36">
        <v>170000000</v>
      </c>
      <c r="CX54" s="36">
        <v>197900000</v>
      </c>
      <c r="CY54" s="36">
        <v>128500000</v>
      </c>
      <c r="CZ54" s="36">
        <v>122400000</v>
      </c>
      <c r="DA54" s="36">
        <v>151500000</v>
      </c>
      <c r="DB54" s="36">
        <v>178700000</v>
      </c>
      <c r="DC54" s="36">
        <v>89000000</v>
      </c>
      <c r="DD54" s="36">
        <v>90100000</v>
      </c>
      <c r="DE54" s="36">
        <v>115100000</v>
      </c>
      <c r="DF54" s="36">
        <v>78700000</v>
      </c>
      <c r="DG54" s="36">
        <v>100000000</v>
      </c>
      <c r="DH54" s="36">
        <v>122400000</v>
      </c>
      <c r="DI54" s="36">
        <v>59800000</v>
      </c>
      <c r="DJ54" s="36">
        <v>59800000</v>
      </c>
      <c r="DK54" s="36">
        <v>81300000</v>
      </c>
      <c r="DL54" s="36">
        <v>103100000</v>
      </c>
      <c r="DM54" s="36">
        <v>40300000</v>
      </c>
      <c r="DN54" s="36">
        <v>38500000</v>
      </c>
      <c r="DO54" s="36">
        <v>55100000</v>
      </c>
      <c r="DP54" s="36">
        <v>72000000</v>
      </c>
      <c r="DQ54" s="36">
        <v>39600000</v>
      </c>
      <c r="DR54" s="36">
        <v>35700000</v>
      </c>
      <c r="DS54" s="36">
        <v>51800000</v>
      </c>
      <c r="DT54" s="36">
        <v>67100000</v>
      </c>
      <c r="DU54" s="36">
        <v>32500000</v>
      </c>
      <c r="DV54" s="36">
        <v>33200000</v>
      </c>
      <c r="DW54" s="36">
        <v>47400000</v>
      </c>
      <c r="DX54" s="36">
        <v>61200000</v>
      </c>
      <c r="DY54" s="36">
        <v>27900000</v>
      </c>
      <c r="DZ54" s="36">
        <v>41000000</v>
      </c>
      <c r="EA54" s="36">
        <v>41500000</v>
      </c>
    </row>
    <row r="55" spans="1:131">
      <c r="A55" t="s">
        <v>286</v>
      </c>
      <c r="B55" s="36">
        <v>-682645000</v>
      </c>
      <c r="C55" s="36">
        <v>-841560000</v>
      </c>
      <c r="D55" s="36">
        <v>-780610000</v>
      </c>
      <c r="E55" s="36">
        <v>-666437000</v>
      </c>
      <c r="F55" s="36">
        <v>-551330000</v>
      </c>
      <c r="G55" s="36">
        <v>-411862000</v>
      </c>
      <c r="H55" s="36">
        <v>-274214000</v>
      </c>
      <c r="I55" s="36">
        <v>-9966000</v>
      </c>
      <c r="J55" s="36">
        <v>42719000</v>
      </c>
      <c r="K55" s="36">
        <v>-100200000</v>
      </c>
      <c r="L55" s="36">
        <v>-109598000</v>
      </c>
      <c r="M55" s="36">
        <v>32416000</v>
      </c>
      <c r="N55" s="36">
        <v>91670000</v>
      </c>
      <c r="O55" s="36">
        <v>-70071000</v>
      </c>
      <c r="P55" s="36">
        <v>-50963000</v>
      </c>
      <c r="Q55" s="36">
        <v>82946000</v>
      </c>
      <c r="R55" s="36">
        <v>75282000</v>
      </c>
      <c r="S55" s="36">
        <v>-60640000</v>
      </c>
      <c r="T55" s="36">
        <v>-47552000</v>
      </c>
      <c r="U55" s="36">
        <v>60519000</v>
      </c>
      <c r="V55" s="36">
        <v>105447000</v>
      </c>
      <c r="W55" s="36">
        <v>-28427000</v>
      </c>
      <c r="X55" s="36">
        <v>-41806000</v>
      </c>
      <c r="Y55" s="36">
        <v>57009000</v>
      </c>
      <c r="Z55" s="36">
        <v>125142000</v>
      </c>
      <c r="AA55" s="36">
        <v>-3531000</v>
      </c>
      <c r="AB55" s="36">
        <v>-21192000</v>
      </c>
      <c r="AC55" s="36">
        <v>96217000</v>
      </c>
      <c r="AD55" s="36">
        <v>153556000</v>
      </c>
      <c r="AE55" s="36">
        <v>23615000</v>
      </c>
      <c r="AF55" s="36">
        <v>20791000</v>
      </c>
      <c r="AG55" s="36">
        <v>139131000</v>
      </c>
      <c r="AH55" s="36">
        <v>192217000</v>
      </c>
      <c r="AI55" s="36">
        <v>39233000</v>
      </c>
      <c r="AJ55" s="36">
        <v>22526000</v>
      </c>
      <c r="AK55" s="36">
        <v>159260000</v>
      </c>
      <c r="AL55" s="36">
        <v>186031000</v>
      </c>
      <c r="AM55" s="36">
        <v>67509000</v>
      </c>
      <c r="AN55" s="36">
        <v>71868000</v>
      </c>
      <c r="AO55" s="36">
        <v>158720000</v>
      </c>
      <c r="AP55" s="36">
        <v>197913000</v>
      </c>
      <c r="AQ55" s="36">
        <v>52207000</v>
      </c>
      <c r="AR55" s="36">
        <v>58751000</v>
      </c>
      <c r="AS55" s="36">
        <v>137136000</v>
      </c>
      <c r="AT55" s="36">
        <v>197328000</v>
      </c>
      <c r="AU55" s="36">
        <v>110238000</v>
      </c>
      <c r="AV55" s="36">
        <v>102178000</v>
      </c>
      <c r="AW55" s="36">
        <v>127862000</v>
      </c>
      <c r="AX55" s="36">
        <v>150152000</v>
      </c>
      <c r="AY55" s="36">
        <v>45461000</v>
      </c>
      <c r="AZ55" s="36">
        <v>32484000</v>
      </c>
      <c r="BA55" s="36">
        <v>106786000</v>
      </c>
    </row>
    <row r="56" spans="1:131">
      <c r="A56" t="s">
        <v>287</v>
      </c>
      <c r="B56" s="36">
        <v>-689662000</v>
      </c>
      <c r="C56" s="36">
        <v>-840663000</v>
      </c>
      <c r="D56" s="36">
        <v>-785400000</v>
      </c>
      <c r="E56" s="36">
        <v>-674319000</v>
      </c>
      <c r="F56" s="36">
        <v>-570922000</v>
      </c>
      <c r="G56" s="36">
        <v>-436275000</v>
      </c>
      <c r="H56" s="36">
        <v>-305152000</v>
      </c>
      <c r="I56" s="36">
        <v>-25001000</v>
      </c>
      <c r="J56" s="36">
        <v>21276000</v>
      </c>
      <c r="K56" s="36">
        <v>-119088000</v>
      </c>
      <c r="L56" s="36">
        <v>-133118000</v>
      </c>
      <c r="M56" s="36">
        <v>5845000</v>
      </c>
      <c r="N56" s="36">
        <v>78464000</v>
      </c>
      <c r="O56" s="36">
        <v>-86435000</v>
      </c>
      <c r="P56" s="36">
        <v>-58550000</v>
      </c>
      <c r="Q56" s="36">
        <v>81589000</v>
      </c>
      <c r="R56" s="36">
        <v>74155000</v>
      </c>
      <c r="S56" s="36">
        <v>-70915000</v>
      </c>
      <c r="T56" s="36">
        <v>-57116000</v>
      </c>
      <c r="U56" s="36">
        <v>52288000</v>
      </c>
      <c r="V56" s="36">
        <v>100956000</v>
      </c>
      <c r="W56" s="36">
        <v>-29525000</v>
      </c>
      <c r="X56" s="36">
        <v>-43361000</v>
      </c>
      <c r="Y56" s="36">
        <v>48428000</v>
      </c>
      <c r="Z56" s="36">
        <v>120912000</v>
      </c>
      <c r="AA56" s="36">
        <v>-3049000</v>
      </c>
      <c r="AB56" s="36">
        <v>-20627000</v>
      </c>
      <c r="AC56" s="36">
        <v>101556000</v>
      </c>
      <c r="AD56" s="36">
        <v>161157000</v>
      </c>
      <c r="AE56" s="36">
        <v>36918000</v>
      </c>
      <c r="AF56" s="36">
        <v>29537000</v>
      </c>
      <c r="AG56" s="36">
        <v>148847000</v>
      </c>
      <c r="AH56" s="36">
        <v>206428000</v>
      </c>
      <c r="AI56" s="36">
        <v>49986000</v>
      </c>
      <c r="AJ56" s="36">
        <v>36550000</v>
      </c>
      <c r="AK56" s="36">
        <v>182469000</v>
      </c>
      <c r="AL56" s="36">
        <v>212797000</v>
      </c>
      <c r="AM56" s="36">
        <v>93946000</v>
      </c>
      <c r="AN56" s="36">
        <v>96417000</v>
      </c>
      <c r="AO56" s="36">
        <v>182438000</v>
      </c>
      <c r="AP56" s="36">
        <v>221611000</v>
      </c>
      <c r="AQ56" s="36">
        <v>75525000</v>
      </c>
      <c r="AR56" s="36">
        <v>76393000</v>
      </c>
      <c r="AS56" s="36">
        <v>165555000</v>
      </c>
      <c r="AT56" s="36">
        <v>242239000</v>
      </c>
      <c r="AU56" s="36">
        <v>166516000</v>
      </c>
      <c r="AV56" s="36">
        <v>170731000</v>
      </c>
      <c r="AW56" s="36">
        <v>209854000</v>
      </c>
      <c r="AX56" s="36">
        <v>249679000</v>
      </c>
      <c r="AY56" s="36">
        <v>155876000</v>
      </c>
      <c r="AZ56" s="36">
        <v>162229000</v>
      </c>
      <c r="BA56" s="36">
        <v>242123000</v>
      </c>
    </row>
    <row r="57" spans="1:131">
      <c r="A57" t="s">
        <v>288</v>
      </c>
      <c r="B57" s="36">
        <v>5283000</v>
      </c>
      <c r="C57" s="36">
        <v>5281000</v>
      </c>
      <c r="D57" s="36">
        <v>5282000</v>
      </c>
      <c r="E57" s="36">
        <v>5283000</v>
      </c>
      <c r="F57" s="36">
        <v>5284000</v>
      </c>
      <c r="G57" s="36">
        <v>5285000</v>
      </c>
      <c r="H57" s="36">
        <v>5287000</v>
      </c>
      <c r="I57" s="36">
        <v>5289000</v>
      </c>
      <c r="J57" s="36">
        <v>5289000</v>
      </c>
      <c r="K57" s="36">
        <v>5288000</v>
      </c>
      <c r="L57" s="36">
        <v>5288000</v>
      </c>
      <c r="M57" s="36">
        <v>5289000</v>
      </c>
      <c r="N57" s="36">
        <v>5290000</v>
      </c>
      <c r="O57" s="36">
        <v>5288000</v>
      </c>
      <c r="P57" s="36">
        <v>5289000</v>
      </c>
      <c r="Q57" s="36">
        <v>5290000</v>
      </c>
      <c r="R57" s="36">
        <v>5290000</v>
      </c>
      <c r="S57" s="36">
        <v>5289000</v>
      </c>
      <c r="T57" s="36">
        <v>5289000</v>
      </c>
      <c r="U57" s="36">
        <v>5290000</v>
      </c>
      <c r="V57" s="36">
        <v>5291000</v>
      </c>
      <c r="W57" s="36">
        <v>5289000</v>
      </c>
      <c r="X57" s="36">
        <v>5290000</v>
      </c>
      <c r="Y57" s="36">
        <v>5290000</v>
      </c>
      <c r="Z57" s="36">
        <v>5292000</v>
      </c>
      <c r="AA57" s="36">
        <v>5290000</v>
      </c>
      <c r="AB57" s="36">
        <v>5290000</v>
      </c>
      <c r="AC57" s="36">
        <v>5291000</v>
      </c>
      <c r="AD57" s="36">
        <v>5293000</v>
      </c>
      <c r="AE57" s="36">
        <v>5292000</v>
      </c>
      <c r="AF57" s="36">
        <v>5291000</v>
      </c>
      <c r="AG57" s="36">
        <v>5292000</v>
      </c>
      <c r="AH57" s="36">
        <v>5292000</v>
      </c>
      <c r="AI57" s="36">
        <v>5290000</v>
      </c>
      <c r="AJ57" s="36">
        <v>5290000</v>
      </c>
      <c r="AK57" s="36">
        <v>5291000</v>
      </c>
      <c r="AL57" s="36">
        <v>5291000</v>
      </c>
      <c r="AM57" s="36">
        <v>5290000</v>
      </c>
      <c r="AN57" s="36">
        <v>5289000</v>
      </c>
      <c r="AO57" s="36">
        <v>5290000</v>
      </c>
      <c r="AP57" s="36">
        <v>5290000</v>
      </c>
      <c r="AQ57" s="36">
        <v>5288000</v>
      </c>
      <c r="AR57" s="36">
        <v>5288000</v>
      </c>
      <c r="AS57" s="36">
        <v>-28419000</v>
      </c>
      <c r="AT57" s="36">
        <v>-1000</v>
      </c>
      <c r="AU57" s="36">
        <v>-1000</v>
      </c>
      <c r="AV57" s="36">
        <v>-1000</v>
      </c>
      <c r="AW57" s="36">
        <v>-1000</v>
      </c>
      <c r="AX57">
        <v>0</v>
      </c>
      <c r="AY57" s="36">
        <v>-2000</v>
      </c>
      <c r="AZ57" s="36">
        <v>-2000</v>
      </c>
      <c r="BA57" s="36">
        <v>5289000</v>
      </c>
    </row>
    <row r="58" spans="1:131">
      <c r="A58" t="s">
        <v>190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 s="36">
        <v>-105809000</v>
      </c>
      <c r="AY58" s="36">
        <v>-105809000</v>
      </c>
      <c r="AZ58" s="36">
        <v>-105809000</v>
      </c>
      <c r="BA58" s="36">
        <v>-105809000</v>
      </c>
      <c r="BB58" s="36">
        <v>275110000</v>
      </c>
      <c r="BC58" s="36">
        <v>212974000</v>
      </c>
      <c r="BD58" s="36">
        <v>175321000</v>
      </c>
      <c r="BE58" s="36">
        <v>285092000</v>
      </c>
      <c r="BF58" s="36">
        <v>346374000</v>
      </c>
      <c r="BG58" s="36">
        <v>340177000</v>
      </c>
      <c r="BH58" s="36">
        <v>326148000</v>
      </c>
      <c r="BI58" s="36">
        <v>410615000</v>
      </c>
      <c r="BJ58" s="36">
        <v>470076000</v>
      </c>
      <c r="BK58" s="36">
        <v>368608000</v>
      </c>
      <c r="BL58" s="36">
        <v>382712000</v>
      </c>
      <c r="BM58" s="36">
        <v>434234000</v>
      </c>
      <c r="BN58" s="36">
        <v>456402000</v>
      </c>
      <c r="BO58" s="36">
        <v>310673000</v>
      </c>
      <c r="BP58" s="36">
        <v>323035000</v>
      </c>
      <c r="BQ58" s="36">
        <v>370483000</v>
      </c>
      <c r="BR58" s="36">
        <v>407291000</v>
      </c>
      <c r="BS58" s="36">
        <v>248822000</v>
      </c>
      <c r="BT58" s="36">
        <v>257516000</v>
      </c>
      <c r="BU58" s="36">
        <v>308891000</v>
      </c>
      <c r="BV58" s="36">
        <v>340402000</v>
      </c>
      <c r="BW58" s="36">
        <v>249969000</v>
      </c>
      <c r="BX58" s="36">
        <v>253361000</v>
      </c>
      <c r="BY58" s="36">
        <v>305320000</v>
      </c>
      <c r="BZ58" s="36">
        <v>337407000</v>
      </c>
      <c r="CA58" s="36">
        <v>256218000</v>
      </c>
      <c r="CB58" s="36">
        <v>256520000</v>
      </c>
      <c r="CC58" s="36">
        <v>308250000</v>
      </c>
      <c r="CD58" s="36">
        <v>344826000</v>
      </c>
      <c r="CE58" s="36">
        <v>266365000</v>
      </c>
      <c r="CF58" s="36">
        <v>278110000</v>
      </c>
      <c r="CG58" s="36">
        <v>330589000</v>
      </c>
      <c r="CH58" s="36">
        <v>369742000</v>
      </c>
      <c r="CI58" s="36">
        <v>299098000</v>
      </c>
      <c r="CJ58" s="36">
        <v>299892000</v>
      </c>
      <c r="CK58" s="36">
        <v>350000000</v>
      </c>
      <c r="CL58" s="36">
        <v>380100000</v>
      </c>
      <c r="CM58" s="36">
        <v>302800000</v>
      </c>
      <c r="CN58" s="36">
        <v>301900000</v>
      </c>
      <c r="CO58" s="36">
        <v>342000000</v>
      </c>
      <c r="CP58" s="36">
        <v>357100000</v>
      </c>
      <c r="CQ58" s="36">
        <v>267100000</v>
      </c>
      <c r="CR58" s="36">
        <v>252300000</v>
      </c>
      <c r="CS58" s="36">
        <v>285400000</v>
      </c>
      <c r="CT58" s="36">
        <v>207400000</v>
      </c>
      <c r="CU58" s="36">
        <v>138500000</v>
      </c>
      <c r="CV58" s="36">
        <v>138500000</v>
      </c>
      <c r="CW58" s="36">
        <v>170000000</v>
      </c>
      <c r="CX58" s="36">
        <v>197900000</v>
      </c>
      <c r="CY58" s="36">
        <v>128500000</v>
      </c>
      <c r="CZ58" s="36">
        <v>122400000</v>
      </c>
      <c r="DA58" s="36">
        <v>151500000</v>
      </c>
      <c r="DB58" s="36">
        <v>178700000</v>
      </c>
      <c r="DC58" s="36">
        <v>89000000</v>
      </c>
      <c r="DD58" s="36">
        <v>90100000</v>
      </c>
      <c r="DE58" s="36">
        <v>115100000</v>
      </c>
      <c r="DF58" s="36">
        <v>78700000</v>
      </c>
      <c r="DG58" s="36">
        <v>100000000</v>
      </c>
      <c r="DH58" s="36">
        <v>122400000</v>
      </c>
      <c r="DI58" s="36">
        <v>59800000</v>
      </c>
      <c r="DJ58" s="36">
        <v>59800000</v>
      </c>
      <c r="DK58" s="36">
        <v>81300000</v>
      </c>
      <c r="DL58" s="36">
        <v>103100000</v>
      </c>
      <c r="DM58" s="36">
        <v>40300000</v>
      </c>
      <c r="DN58" s="36">
        <v>38500000</v>
      </c>
      <c r="DO58" s="36">
        <v>55100000</v>
      </c>
      <c r="DP58" s="36">
        <v>72000000</v>
      </c>
      <c r="DQ58" s="36">
        <v>39600000</v>
      </c>
      <c r="DR58" s="36">
        <v>35700000</v>
      </c>
      <c r="DS58" s="36">
        <v>51800000</v>
      </c>
      <c r="DT58" s="36">
        <v>67100000</v>
      </c>
      <c r="DU58" s="36">
        <v>32500000</v>
      </c>
      <c r="DV58" s="36">
        <v>33200000</v>
      </c>
      <c r="DW58" s="36">
        <v>47400000</v>
      </c>
      <c r="DX58" s="36">
        <v>61200000</v>
      </c>
      <c r="DY58" s="36">
        <v>27900000</v>
      </c>
      <c r="DZ58" s="36">
        <v>41000000</v>
      </c>
      <c r="EA58" s="36">
        <v>41500000</v>
      </c>
    </row>
    <row r="59" spans="1:131">
      <c r="A59" t="s">
        <v>191</v>
      </c>
      <c r="BB59" s="36">
        <v>324913000</v>
      </c>
      <c r="BC59" s="36">
        <v>265028000</v>
      </c>
      <c r="BD59" s="36">
        <v>265937000</v>
      </c>
      <c r="BE59" s="36">
        <v>334740000</v>
      </c>
      <c r="BF59" s="36">
        <v>369201000</v>
      </c>
      <c r="BG59" s="36">
        <v>340647000</v>
      </c>
      <c r="BH59">
        <v>0</v>
      </c>
      <c r="BI59" s="36">
        <v>440516000</v>
      </c>
      <c r="BJ59">
        <v>0</v>
      </c>
      <c r="BL59" s="36">
        <v>377421000</v>
      </c>
      <c r="BM59" s="36">
        <v>428943000</v>
      </c>
      <c r="BN59" s="36">
        <v>451111000</v>
      </c>
      <c r="BO59" s="36">
        <v>305383000</v>
      </c>
      <c r="BP59" s="36">
        <v>317745000</v>
      </c>
      <c r="BQ59" s="36">
        <v>365193000</v>
      </c>
      <c r="BR59" s="36">
        <v>402000000</v>
      </c>
      <c r="BS59" s="36">
        <v>243532000</v>
      </c>
      <c r="BT59" s="36">
        <v>252214000</v>
      </c>
      <c r="BU59" s="36">
        <v>303536000</v>
      </c>
      <c r="BV59" s="36">
        <v>317789000</v>
      </c>
      <c r="BW59" s="36">
        <v>228725000</v>
      </c>
      <c r="BX59" s="36">
        <v>233207000</v>
      </c>
      <c r="BY59" s="36">
        <v>285675000</v>
      </c>
      <c r="BZ59" s="36">
        <v>326793000</v>
      </c>
      <c r="CA59" s="36">
        <v>244139000</v>
      </c>
      <c r="CB59" s="36">
        <v>244193000</v>
      </c>
      <c r="CC59" s="36">
        <v>297397000</v>
      </c>
      <c r="CD59" s="36">
        <v>349037000</v>
      </c>
      <c r="CE59" s="36">
        <v>259758000</v>
      </c>
      <c r="CF59" s="36">
        <v>274783000</v>
      </c>
      <c r="CG59" s="36">
        <v>325189000</v>
      </c>
      <c r="CH59" s="36">
        <v>364452000</v>
      </c>
      <c r="CI59" s="36">
        <v>293491000</v>
      </c>
      <c r="CJ59" s="36">
        <v>294282000</v>
      </c>
      <c r="CK59" s="36">
        <v>344100000</v>
      </c>
    </row>
    <row r="60" spans="1:131">
      <c r="A60" t="s">
        <v>192</v>
      </c>
      <c r="BB60" s="36">
        <v>324913000</v>
      </c>
      <c r="BC60" s="36">
        <v>265028000</v>
      </c>
      <c r="BD60" s="36">
        <v>265937000</v>
      </c>
      <c r="BE60" s="36">
        <v>334740000</v>
      </c>
      <c r="BF60" s="36">
        <v>369201000</v>
      </c>
      <c r="BG60" s="36">
        <v>340647000</v>
      </c>
      <c r="BH60">
        <v>0</v>
      </c>
      <c r="BI60" s="36">
        <v>440516000</v>
      </c>
      <c r="BJ60">
        <v>0</v>
      </c>
      <c r="BL60" s="36">
        <v>377421000</v>
      </c>
      <c r="BM60" s="36">
        <v>428943000</v>
      </c>
      <c r="BN60" s="36">
        <v>451111000</v>
      </c>
      <c r="BO60" s="36">
        <v>305383000</v>
      </c>
      <c r="BP60" s="36">
        <v>317745000</v>
      </c>
      <c r="BQ60" s="36">
        <v>365193000</v>
      </c>
      <c r="BR60" s="36">
        <v>402000000</v>
      </c>
      <c r="BS60" s="36">
        <v>243532000</v>
      </c>
      <c r="BT60" s="36">
        <v>252214000</v>
      </c>
      <c r="BU60" s="36">
        <v>303536000</v>
      </c>
      <c r="BV60" s="36">
        <v>317789000</v>
      </c>
      <c r="BW60" s="36">
        <v>228725000</v>
      </c>
      <c r="BX60" s="36">
        <v>233207000</v>
      </c>
      <c r="BY60" s="36">
        <v>285675000</v>
      </c>
      <c r="BZ60" s="36">
        <v>326793000</v>
      </c>
      <c r="CA60" s="36">
        <v>244139000</v>
      </c>
      <c r="CB60" s="36">
        <v>244193000</v>
      </c>
      <c r="CC60" s="36">
        <v>297397000</v>
      </c>
      <c r="CD60" s="36">
        <v>349037000</v>
      </c>
      <c r="CE60" s="36">
        <v>259758000</v>
      </c>
      <c r="CF60" s="36">
        <v>274783000</v>
      </c>
      <c r="CG60" s="36">
        <v>325189000</v>
      </c>
      <c r="CH60" s="36">
        <v>364452000</v>
      </c>
      <c r="CI60" s="36">
        <v>293491000</v>
      </c>
      <c r="CJ60" s="36">
        <v>294282000</v>
      </c>
      <c r="CK60" s="36">
        <v>344100000</v>
      </c>
    </row>
    <row r="61" spans="1:131">
      <c r="A61" t="s">
        <v>193</v>
      </c>
      <c r="BH61" s="36">
        <v>366176000</v>
      </c>
      <c r="BJ61" s="36">
        <v>496006000</v>
      </c>
    </row>
    <row r="62" spans="1:131">
      <c r="A62" t="s">
        <v>194</v>
      </c>
      <c r="BY62" s="36">
        <v>-590000</v>
      </c>
      <c r="BZ62" s="36">
        <v>-8629000</v>
      </c>
      <c r="CB62" s="36">
        <v>-4616000</v>
      </c>
      <c r="CC62" s="36">
        <v>-6183000</v>
      </c>
    </row>
    <row r="63" spans="1:131">
      <c r="A63" t="s">
        <v>195</v>
      </c>
      <c r="B63" s="36">
        <v>1734000</v>
      </c>
      <c r="C63" s="36">
        <v>-6178000</v>
      </c>
      <c r="D63" s="36">
        <v>-492000</v>
      </c>
      <c r="E63" s="36">
        <v>2599000</v>
      </c>
      <c r="F63" s="36">
        <v>14308000</v>
      </c>
      <c r="G63" s="36">
        <v>19128000</v>
      </c>
      <c r="H63" s="36">
        <v>25651000</v>
      </c>
      <c r="I63" s="36">
        <v>9746000</v>
      </c>
      <c r="J63" s="36">
        <v>16154000</v>
      </c>
      <c r="K63" s="36">
        <v>13600000</v>
      </c>
      <c r="L63" s="36">
        <v>18232000</v>
      </c>
      <c r="M63" s="36">
        <v>21282000</v>
      </c>
      <c r="N63" s="36">
        <v>7916000</v>
      </c>
      <c r="O63" s="36">
        <v>11076000</v>
      </c>
      <c r="P63" s="36">
        <v>2298000</v>
      </c>
      <c r="Q63" s="36">
        <v>-3933000</v>
      </c>
      <c r="R63" s="36">
        <v>-4163000</v>
      </c>
      <c r="S63" s="36">
        <v>4986000</v>
      </c>
      <c r="T63" s="36">
        <v>4275000</v>
      </c>
      <c r="U63" s="36">
        <v>2941000</v>
      </c>
      <c r="V63" s="36">
        <v>-800000</v>
      </c>
      <c r="W63" s="36">
        <v>-4191000</v>
      </c>
      <c r="X63" s="36">
        <v>-3735000</v>
      </c>
      <c r="Y63" s="36">
        <v>3291000</v>
      </c>
      <c r="Z63" s="36">
        <v>-1062000</v>
      </c>
      <c r="AA63" s="36">
        <v>-5772000</v>
      </c>
      <c r="AB63" s="36">
        <v>-5855000</v>
      </c>
      <c r="AC63" s="36">
        <v>-10630000</v>
      </c>
      <c r="AD63" s="36">
        <v>-12894000</v>
      </c>
      <c r="AE63" s="36">
        <v>-18595000</v>
      </c>
      <c r="AF63" s="36">
        <v>-14037000</v>
      </c>
      <c r="AG63" s="36">
        <v>-15008000</v>
      </c>
      <c r="AH63" s="36">
        <v>-19503000</v>
      </c>
      <c r="AI63" s="36">
        <v>-16043000</v>
      </c>
      <c r="AJ63" s="36">
        <v>-19314000</v>
      </c>
      <c r="AK63" s="36">
        <v>-28500000</v>
      </c>
      <c r="AL63" s="36">
        <v>-32057000</v>
      </c>
      <c r="AM63" s="36">
        <v>-31727000</v>
      </c>
      <c r="AN63" s="36">
        <v>-29838000</v>
      </c>
      <c r="AO63" s="36">
        <v>-29008000</v>
      </c>
      <c r="AP63" s="36">
        <v>-28988000</v>
      </c>
      <c r="AQ63" s="36">
        <v>-28606000</v>
      </c>
      <c r="AR63" s="36">
        <v>-22930000</v>
      </c>
      <c r="AS63" s="36">
        <v>-33708000</v>
      </c>
      <c r="AT63" s="36">
        <v>-50200000</v>
      </c>
      <c r="AU63" s="36">
        <v>-61567000</v>
      </c>
      <c r="AV63" s="36">
        <v>-73842000</v>
      </c>
      <c r="AW63" s="36">
        <v>-87281000</v>
      </c>
      <c r="AX63" s="36">
        <v>-104817000</v>
      </c>
      <c r="AY63" s="36">
        <v>-115703000</v>
      </c>
      <c r="AZ63" s="36">
        <v>-135033000</v>
      </c>
      <c r="BA63" s="36">
        <v>-140626000</v>
      </c>
      <c r="BB63" s="36">
        <v>-49803000</v>
      </c>
      <c r="BC63" s="36">
        <v>-52054000</v>
      </c>
      <c r="BD63" s="36">
        <v>-90616000</v>
      </c>
      <c r="BE63" s="36">
        <v>-49648000</v>
      </c>
      <c r="BF63" s="36">
        <v>-22827000</v>
      </c>
      <c r="BG63" s="36">
        <v>-470000</v>
      </c>
      <c r="BH63" s="36">
        <v>-40028000</v>
      </c>
      <c r="BI63" s="36">
        <v>-29901000</v>
      </c>
      <c r="BJ63" s="36">
        <v>-25930000</v>
      </c>
      <c r="BK63" s="36">
        <v>368608000</v>
      </c>
      <c r="BL63" s="36">
        <v>5291000</v>
      </c>
      <c r="BM63" s="36">
        <v>5291000</v>
      </c>
      <c r="BN63" s="36">
        <v>5291000</v>
      </c>
      <c r="BO63" s="36">
        <v>5290000</v>
      </c>
      <c r="BP63" s="36">
        <v>5290000</v>
      </c>
      <c r="BQ63" s="36">
        <v>5290000</v>
      </c>
      <c r="BR63" s="36">
        <v>5291000</v>
      </c>
      <c r="BS63" s="36">
        <v>5290000</v>
      </c>
      <c r="BT63" s="36">
        <v>5302000</v>
      </c>
      <c r="BU63" s="36">
        <v>5355000</v>
      </c>
      <c r="BV63" s="36">
        <v>22613000</v>
      </c>
      <c r="BW63" s="36">
        <v>21244000</v>
      </c>
      <c r="BX63" s="36">
        <v>20154000</v>
      </c>
      <c r="BY63" s="36">
        <v>20235000</v>
      </c>
      <c r="BZ63" s="36">
        <v>19243000</v>
      </c>
      <c r="CA63" s="36">
        <v>12079000</v>
      </c>
      <c r="CB63" s="36">
        <v>16943000</v>
      </c>
      <c r="CC63" s="36">
        <v>17036000</v>
      </c>
      <c r="CD63" s="36">
        <v>-4211000</v>
      </c>
      <c r="CE63" s="36">
        <v>6607000</v>
      </c>
      <c r="CF63" s="36">
        <v>3327000</v>
      </c>
      <c r="CG63" s="36">
        <v>5400000</v>
      </c>
      <c r="CH63" s="36">
        <v>5290000</v>
      </c>
      <c r="CI63" s="36">
        <v>5607000</v>
      </c>
      <c r="CJ63" s="36">
        <v>5610000</v>
      </c>
      <c r="CK63" s="36">
        <v>5800000</v>
      </c>
    </row>
    <row r="64" spans="1:131">
      <c r="A64" t="s">
        <v>289</v>
      </c>
      <c r="AS64" s="36">
        <v>33708000</v>
      </c>
      <c r="AT64" s="36">
        <v>5290000</v>
      </c>
      <c r="AU64" s="36">
        <v>5290000</v>
      </c>
      <c r="AV64" s="36">
        <v>5290000</v>
      </c>
      <c r="AW64" s="36">
        <v>5290000</v>
      </c>
      <c r="AX64" s="36">
        <v>5290000</v>
      </c>
      <c r="AY64" s="36">
        <v>5290000</v>
      </c>
      <c r="AZ64" s="36">
        <v>5290000</v>
      </c>
      <c r="CK64" s="36">
        <v>100000</v>
      </c>
    </row>
    <row r="65" spans="1:131">
      <c r="A65" t="s">
        <v>196</v>
      </c>
      <c r="BB65" s="36">
        <v>105809000</v>
      </c>
      <c r="CH65" s="36">
        <v>1000</v>
      </c>
      <c r="CP65" s="36">
        <v>12500000</v>
      </c>
      <c r="CQ65" s="36">
        <v>28200000</v>
      </c>
      <c r="CR65" s="36">
        <v>41100000</v>
      </c>
      <c r="CS65" s="36">
        <v>51800000</v>
      </c>
    </row>
    <row r="66" spans="1:131">
      <c r="A66" t="s">
        <v>197</v>
      </c>
      <c r="B66" s="36">
        <v>2281398000</v>
      </c>
      <c r="C66" s="36">
        <v>2119155000</v>
      </c>
      <c r="D66" s="36">
        <v>2176871000</v>
      </c>
      <c r="E66" s="36">
        <v>2287807000</v>
      </c>
      <c r="F66" s="36">
        <v>2110604000</v>
      </c>
      <c r="G66" s="36">
        <v>2248673000</v>
      </c>
      <c r="H66" s="36">
        <v>1943072000</v>
      </c>
      <c r="I66" s="36">
        <v>2135917000</v>
      </c>
      <c r="J66" s="36">
        <v>2191695000</v>
      </c>
      <c r="K66" s="36">
        <v>2047675000</v>
      </c>
      <c r="L66" s="36">
        <v>1666977000</v>
      </c>
      <c r="M66" s="36">
        <v>1689984000</v>
      </c>
      <c r="N66" s="36">
        <v>1749956000</v>
      </c>
      <c r="O66" s="36">
        <v>1614261000</v>
      </c>
      <c r="P66" s="36">
        <v>1649819000</v>
      </c>
      <c r="Q66" s="36">
        <v>1743461000</v>
      </c>
      <c r="R66" s="36">
        <v>1734908000</v>
      </c>
      <c r="S66" s="36">
        <v>1607251000</v>
      </c>
      <c r="T66" s="36">
        <v>1571066000</v>
      </c>
      <c r="U66" s="36">
        <v>1594730000</v>
      </c>
      <c r="V66" s="36">
        <v>1640118000</v>
      </c>
      <c r="W66" s="36">
        <v>1561338000</v>
      </c>
      <c r="X66" s="36">
        <v>1559045000</v>
      </c>
      <c r="Y66" s="36">
        <v>1613384000</v>
      </c>
      <c r="Z66" s="36">
        <v>1683992000</v>
      </c>
      <c r="AA66" s="36">
        <v>1597319000</v>
      </c>
      <c r="AB66" s="36">
        <v>1594658000</v>
      </c>
      <c r="AC66" s="36">
        <v>1655067000</v>
      </c>
      <c r="AD66" s="36">
        <v>1717806000</v>
      </c>
      <c r="AE66" s="36">
        <v>1628440000</v>
      </c>
      <c r="AF66" s="36">
        <v>1595148000</v>
      </c>
      <c r="AG66" s="36">
        <v>1659763000</v>
      </c>
      <c r="AH66" s="36">
        <v>1715948000</v>
      </c>
      <c r="AI66" s="36">
        <v>1620789000</v>
      </c>
      <c r="AJ66" s="36">
        <v>1643481000</v>
      </c>
      <c r="AK66" s="36">
        <v>1691440000</v>
      </c>
      <c r="AL66" s="36">
        <v>1717807000</v>
      </c>
      <c r="AM66" s="36">
        <v>1719256000</v>
      </c>
      <c r="AN66" s="36">
        <v>1767424000</v>
      </c>
      <c r="AO66" s="36">
        <v>1699178000</v>
      </c>
      <c r="AP66" s="36">
        <v>1754167000</v>
      </c>
      <c r="AQ66" s="36">
        <v>1702213000</v>
      </c>
      <c r="AR66" s="36">
        <v>1753596000</v>
      </c>
      <c r="AS66" s="36">
        <v>1716839000</v>
      </c>
      <c r="AT66" s="36">
        <v>1760012000</v>
      </c>
      <c r="AU66" s="36">
        <v>1787853000</v>
      </c>
      <c r="AV66" s="36">
        <v>1802678000</v>
      </c>
      <c r="AW66" s="36">
        <v>1738249000</v>
      </c>
      <c r="AX66" s="36">
        <v>1628006000</v>
      </c>
      <c r="AY66" s="36">
        <v>1729315000</v>
      </c>
      <c r="AZ66" s="36">
        <v>1746433000</v>
      </c>
      <c r="BA66" s="36">
        <v>1707602000</v>
      </c>
      <c r="BB66" s="36">
        <v>1967760000</v>
      </c>
      <c r="BC66" s="36">
        <v>2033438000</v>
      </c>
      <c r="BD66" s="36">
        <v>2014487000</v>
      </c>
      <c r="BE66" s="36">
        <v>2020553000</v>
      </c>
      <c r="BF66" s="36">
        <v>2052111000</v>
      </c>
      <c r="BG66" s="36">
        <v>2201290000</v>
      </c>
      <c r="BH66" s="36">
        <v>2192123000</v>
      </c>
      <c r="BI66" s="36">
        <v>2170328000</v>
      </c>
      <c r="BJ66" s="36">
        <v>2197626000</v>
      </c>
      <c r="BK66" s="36">
        <v>890208000</v>
      </c>
      <c r="BL66" s="36">
        <v>887312000</v>
      </c>
      <c r="BM66" s="36">
        <v>885084000</v>
      </c>
      <c r="BN66" s="36">
        <v>873902000</v>
      </c>
      <c r="BO66" s="36">
        <v>847545000</v>
      </c>
      <c r="BP66" s="36">
        <v>839296000</v>
      </c>
      <c r="BQ66" s="36">
        <v>812567000</v>
      </c>
      <c r="BR66" s="36">
        <v>799429000</v>
      </c>
      <c r="BS66" s="36">
        <v>811540000</v>
      </c>
      <c r="BT66" s="36">
        <v>673148000</v>
      </c>
      <c r="BU66" s="36">
        <v>657538000</v>
      </c>
      <c r="BV66" s="36">
        <v>659052000</v>
      </c>
      <c r="BW66" s="36">
        <v>684269000</v>
      </c>
      <c r="BX66" s="36">
        <v>691511000</v>
      </c>
      <c r="BY66" s="36">
        <v>670470000</v>
      </c>
      <c r="BZ66" s="36">
        <v>675757000</v>
      </c>
      <c r="CA66" s="36">
        <v>690968000</v>
      </c>
      <c r="CB66" s="36">
        <v>699353000</v>
      </c>
      <c r="CC66" s="36">
        <v>681250000</v>
      </c>
      <c r="CD66" s="36">
        <v>484826000</v>
      </c>
      <c r="CE66" s="36">
        <v>366365000</v>
      </c>
      <c r="CF66" s="36">
        <v>578110000</v>
      </c>
      <c r="CG66" s="36">
        <v>630589000</v>
      </c>
      <c r="CH66" s="36">
        <v>624342000</v>
      </c>
      <c r="CI66" s="36">
        <v>599098000</v>
      </c>
      <c r="CJ66" s="36">
        <v>634242000</v>
      </c>
      <c r="CK66" s="36">
        <v>611200000</v>
      </c>
      <c r="CL66" s="36">
        <v>576900000</v>
      </c>
      <c r="CM66" s="36">
        <v>580900000</v>
      </c>
      <c r="CN66" s="36">
        <v>569600000</v>
      </c>
      <c r="CO66" s="36">
        <v>542400000</v>
      </c>
      <c r="CP66" s="36">
        <v>522300000</v>
      </c>
      <c r="CQ66" s="36">
        <v>516400000</v>
      </c>
      <c r="CR66" s="36">
        <v>496700000</v>
      </c>
      <c r="CS66" s="36">
        <v>475200000</v>
      </c>
      <c r="CT66" s="36">
        <v>269200000</v>
      </c>
      <c r="CU66" s="36">
        <v>274600000</v>
      </c>
      <c r="CV66" s="36">
        <v>263900000</v>
      </c>
      <c r="CW66" s="36">
        <v>257600000</v>
      </c>
      <c r="CX66" s="36">
        <v>247900000</v>
      </c>
      <c r="CY66" s="36">
        <v>249700000</v>
      </c>
      <c r="CZ66" s="36">
        <v>242100000</v>
      </c>
      <c r="DA66" s="36">
        <v>231500000</v>
      </c>
      <c r="DB66" s="36">
        <v>231900000</v>
      </c>
      <c r="DC66" s="36">
        <v>198200000</v>
      </c>
      <c r="DD66" s="36">
        <v>192600000</v>
      </c>
      <c r="DE66" s="36">
        <v>186500000</v>
      </c>
      <c r="DF66" s="36">
        <v>190600000</v>
      </c>
      <c r="DG66" s="36">
        <v>186800000</v>
      </c>
      <c r="DH66" s="36">
        <v>183400000</v>
      </c>
      <c r="DI66" s="36">
        <v>178900000</v>
      </c>
      <c r="DJ66" s="36">
        <v>173700000</v>
      </c>
      <c r="DK66" s="36">
        <v>171000000</v>
      </c>
      <c r="DL66" s="36">
        <v>169000000</v>
      </c>
      <c r="DM66" s="36">
        <v>126900000</v>
      </c>
      <c r="DN66" s="36">
        <v>123400000</v>
      </c>
      <c r="DO66" s="36">
        <v>121000000</v>
      </c>
      <c r="DP66" s="36">
        <v>122000000</v>
      </c>
      <c r="DQ66" s="36">
        <v>126600000</v>
      </c>
      <c r="DR66" s="36">
        <v>126400000</v>
      </c>
      <c r="DS66" s="36">
        <v>121700000</v>
      </c>
      <c r="DT66" s="36">
        <v>119900000</v>
      </c>
      <c r="DU66" s="36">
        <v>126100000</v>
      </c>
      <c r="DV66" s="36">
        <v>120500000</v>
      </c>
      <c r="DW66" s="36">
        <v>118500000</v>
      </c>
      <c r="DX66" s="36">
        <v>117100000</v>
      </c>
      <c r="DY66" s="36">
        <v>117900000</v>
      </c>
      <c r="DZ66" s="36">
        <v>118900000</v>
      </c>
      <c r="EA66" s="36">
        <v>121100000</v>
      </c>
    </row>
    <row r="67" spans="1:131">
      <c r="A67" t="s">
        <v>198</v>
      </c>
      <c r="B67" s="36">
        <v>-682645000</v>
      </c>
      <c r="C67" s="36">
        <v>-841560000</v>
      </c>
      <c r="D67" s="36">
        <v>-780610000</v>
      </c>
      <c r="E67" s="36">
        <v>-666437000</v>
      </c>
      <c r="F67" s="36">
        <v>-551330000</v>
      </c>
      <c r="G67" s="36">
        <v>-411862000</v>
      </c>
      <c r="H67" s="36">
        <v>-274214000</v>
      </c>
      <c r="I67" s="36">
        <v>-9966000</v>
      </c>
      <c r="J67" s="36">
        <v>42719000</v>
      </c>
      <c r="K67" s="36">
        <v>-100200000</v>
      </c>
      <c r="L67" s="36">
        <v>-109598000</v>
      </c>
      <c r="M67" s="36">
        <v>32416000</v>
      </c>
      <c r="N67" s="36">
        <v>91670000</v>
      </c>
      <c r="O67" s="36">
        <v>-70071000</v>
      </c>
      <c r="P67" s="36">
        <v>-50963000</v>
      </c>
      <c r="Q67" s="36">
        <v>82946000</v>
      </c>
      <c r="R67" s="36">
        <v>75282000</v>
      </c>
      <c r="S67" s="36">
        <v>-60640000</v>
      </c>
      <c r="T67" s="36">
        <v>-47552000</v>
      </c>
      <c r="U67" s="36">
        <v>60519000</v>
      </c>
      <c r="V67" s="36">
        <v>105447000</v>
      </c>
      <c r="W67" s="36">
        <v>-28427000</v>
      </c>
      <c r="X67" s="36">
        <v>-41806000</v>
      </c>
      <c r="Y67" s="36">
        <v>57009000</v>
      </c>
      <c r="Z67" s="36">
        <v>125142000</v>
      </c>
      <c r="AA67" s="36">
        <v>-3531000</v>
      </c>
      <c r="AB67" s="36">
        <v>-21192000</v>
      </c>
      <c r="AC67" s="36">
        <v>96217000</v>
      </c>
      <c r="AD67" s="36">
        <v>153556000</v>
      </c>
      <c r="AE67" s="36">
        <v>23615000</v>
      </c>
      <c r="AF67" s="36">
        <v>20791000</v>
      </c>
      <c r="AG67" s="36">
        <v>139131000</v>
      </c>
      <c r="AH67" s="36">
        <v>192217000</v>
      </c>
      <c r="AI67" s="36">
        <v>39233000</v>
      </c>
      <c r="AJ67" s="36">
        <v>22526000</v>
      </c>
      <c r="AK67" s="36">
        <v>159260000</v>
      </c>
      <c r="AL67" s="36">
        <v>186031000</v>
      </c>
      <c r="AM67" s="36">
        <v>67509000</v>
      </c>
      <c r="AN67" s="36">
        <v>71868000</v>
      </c>
      <c r="AO67" s="36">
        <v>158720000</v>
      </c>
      <c r="AP67" s="36">
        <v>197913000</v>
      </c>
      <c r="AQ67" s="36">
        <v>52207000</v>
      </c>
      <c r="AR67" s="36">
        <v>58751000</v>
      </c>
      <c r="AS67" s="36">
        <v>137136000</v>
      </c>
      <c r="AT67" s="36">
        <v>197328000</v>
      </c>
      <c r="AU67" s="36">
        <v>110238000</v>
      </c>
      <c r="AV67" s="36">
        <v>102178000</v>
      </c>
      <c r="AW67" s="36">
        <v>127862000</v>
      </c>
      <c r="AX67" s="36">
        <v>150152000</v>
      </c>
      <c r="AY67" s="36">
        <v>45461000</v>
      </c>
      <c r="AZ67" s="36">
        <v>32484000</v>
      </c>
      <c r="BA67" s="36">
        <v>106786000</v>
      </c>
      <c r="BB67" s="36">
        <v>275110000</v>
      </c>
      <c r="BC67" s="36">
        <v>212974000</v>
      </c>
      <c r="BD67" s="36">
        <v>175321000</v>
      </c>
      <c r="BE67" s="36">
        <v>285092000</v>
      </c>
      <c r="BF67" s="36">
        <v>346374000</v>
      </c>
      <c r="BG67" s="36">
        <v>340177000</v>
      </c>
      <c r="BH67" s="36">
        <v>326148000</v>
      </c>
      <c r="BI67" s="36">
        <v>410615000</v>
      </c>
      <c r="BJ67" s="36">
        <v>470076000</v>
      </c>
      <c r="BK67" s="36">
        <v>368608000</v>
      </c>
      <c r="BL67" s="36">
        <v>382712000</v>
      </c>
      <c r="BM67" s="36">
        <v>434234000</v>
      </c>
      <c r="BN67" s="36">
        <v>456402000</v>
      </c>
      <c r="BO67" s="36">
        <v>310673000</v>
      </c>
      <c r="BP67" s="36">
        <v>323035000</v>
      </c>
      <c r="BQ67" s="36">
        <v>370483000</v>
      </c>
      <c r="BR67" s="36">
        <v>407291000</v>
      </c>
      <c r="BS67" s="36">
        <v>248822000</v>
      </c>
      <c r="BT67" s="36">
        <v>257516000</v>
      </c>
      <c r="BU67" s="36">
        <v>308891000</v>
      </c>
      <c r="BV67" s="36">
        <v>340402000</v>
      </c>
      <c r="BW67" s="36">
        <v>249969000</v>
      </c>
      <c r="BX67" s="36">
        <v>253361000</v>
      </c>
      <c r="BY67" s="36">
        <v>305320000</v>
      </c>
      <c r="BZ67" s="36">
        <v>337407000</v>
      </c>
      <c r="CA67" s="36">
        <v>256218000</v>
      </c>
      <c r="CB67" s="36">
        <v>256520000</v>
      </c>
      <c r="CC67" s="36">
        <v>308250000</v>
      </c>
      <c r="CD67" s="36">
        <v>344826000</v>
      </c>
      <c r="CE67" s="36">
        <v>266365000</v>
      </c>
      <c r="CF67" s="36">
        <v>278110000</v>
      </c>
      <c r="CG67" s="36">
        <v>330589000</v>
      </c>
      <c r="CH67" s="36">
        <v>369742000</v>
      </c>
      <c r="CI67" s="36">
        <v>299098000</v>
      </c>
      <c r="CJ67" s="36">
        <v>299892000</v>
      </c>
      <c r="CK67" s="36">
        <v>350000000</v>
      </c>
      <c r="CL67" s="36">
        <v>380100000</v>
      </c>
      <c r="CM67" s="36">
        <v>302800000</v>
      </c>
      <c r="CN67" s="36">
        <v>301900000</v>
      </c>
      <c r="CO67" s="36">
        <v>342000000</v>
      </c>
      <c r="CP67" s="36">
        <v>357100000</v>
      </c>
      <c r="CQ67" s="36">
        <v>267100000</v>
      </c>
      <c r="CR67" s="36">
        <v>252300000</v>
      </c>
      <c r="CS67" s="36">
        <v>285400000</v>
      </c>
      <c r="CT67" s="36">
        <v>207400000</v>
      </c>
      <c r="CU67" s="36">
        <v>138500000</v>
      </c>
      <c r="CV67" s="36">
        <v>138500000</v>
      </c>
      <c r="CW67" s="36">
        <v>170000000</v>
      </c>
      <c r="CX67" s="36">
        <v>197900000</v>
      </c>
      <c r="CY67" s="36">
        <v>128500000</v>
      </c>
      <c r="CZ67" s="36">
        <v>122400000</v>
      </c>
      <c r="DA67" s="36">
        <v>151500000</v>
      </c>
      <c r="DB67" s="36">
        <v>178700000</v>
      </c>
      <c r="DC67" s="36">
        <v>89000000</v>
      </c>
      <c r="DD67" s="36">
        <v>90100000</v>
      </c>
      <c r="DE67" s="36">
        <v>115100000</v>
      </c>
      <c r="DF67" s="36">
        <v>78700000</v>
      </c>
      <c r="DG67" s="36">
        <v>100000000</v>
      </c>
      <c r="DH67" s="36">
        <v>122400000</v>
      </c>
      <c r="DI67" s="36">
        <v>59800000</v>
      </c>
      <c r="DJ67" s="36">
        <v>59800000</v>
      </c>
      <c r="DK67" s="36">
        <v>81300000</v>
      </c>
      <c r="DL67" s="36">
        <v>103100000</v>
      </c>
      <c r="DM67" s="36">
        <v>40300000</v>
      </c>
      <c r="DN67" s="36">
        <v>38500000</v>
      </c>
      <c r="DO67" s="36">
        <v>55100000</v>
      </c>
      <c r="DP67" s="36">
        <v>72000000</v>
      </c>
      <c r="DQ67" s="36">
        <v>39600000</v>
      </c>
      <c r="DR67" s="36">
        <v>35700000</v>
      </c>
      <c r="DS67" s="36">
        <v>51800000</v>
      </c>
      <c r="DT67" s="36">
        <v>67100000</v>
      </c>
      <c r="DU67" s="36">
        <v>32500000</v>
      </c>
      <c r="DV67" s="36">
        <v>33200000</v>
      </c>
      <c r="DW67" s="36">
        <v>47400000</v>
      </c>
      <c r="DX67" s="36">
        <v>61200000</v>
      </c>
      <c r="DY67" s="36">
        <v>27900000</v>
      </c>
      <c r="DZ67" s="36">
        <v>41000000</v>
      </c>
      <c r="EA67" s="36">
        <v>41500000</v>
      </c>
    </row>
    <row r="68" spans="1:131">
      <c r="A68" t="s">
        <v>199</v>
      </c>
      <c r="B68" s="36">
        <v>11146000</v>
      </c>
      <c r="C68" s="36">
        <v>10620000</v>
      </c>
      <c r="D68" s="36">
        <v>10749000</v>
      </c>
      <c r="E68" s="36">
        <v>10483000</v>
      </c>
      <c r="F68" s="36">
        <v>9873000</v>
      </c>
      <c r="G68" s="36">
        <v>10072000</v>
      </c>
      <c r="H68" s="36">
        <v>10310000</v>
      </c>
      <c r="I68" s="36">
        <v>10600000</v>
      </c>
      <c r="J68" s="36">
        <v>7440000</v>
      </c>
      <c r="K68" s="36">
        <v>2365000</v>
      </c>
      <c r="L68" s="36">
        <v>65399000</v>
      </c>
    </row>
    <row r="69" spans="1:131">
      <c r="A69" t="s">
        <v>200</v>
      </c>
      <c r="B69" s="36">
        <v>-317343000</v>
      </c>
      <c r="C69" s="36">
        <v>-319944000</v>
      </c>
      <c r="D69" s="36">
        <v>-318231000</v>
      </c>
      <c r="E69" s="36">
        <v>-317249000</v>
      </c>
      <c r="F69" s="36">
        <v>-313577000</v>
      </c>
      <c r="G69" s="36">
        <v>-328074000</v>
      </c>
      <c r="H69" s="36">
        <v>-326317000</v>
      </c>
      <c r="I69" s="36">
        <v>-419553000</v>
      </c>
      <c r="J69" s="36">
        <v>-418144000</v>
      </c>
      <c r="K69" s="36">
        <v>-217895000</v>
      </c>
      <c r="L69" s="36">
        <v>-216581000</v>
      </c>
      <c r="M69" s="36">
        <v>-215095000</v>
      </c>
      <c r="N69" s="36">
        <v>-219135000</v>
      </c>
      <c r="O69" s="36">
        <v>-217177000</v>
      </c>
      <c r="P69" s="36">
        <v>-220001000</v>
      </c>
      <c r="Q69" s="36">
        <v>-221894000</v>
      </c>
      <c r="R69" s="36">
        <v>-223542000</v>
      </c>
      <c r="S69" s="36">
        <v>-218023000</v>
      </c>
      <c r="T69" s="36">
        <v>-217623000</v>
      </c>
      <c r="U69" s="36">
        <v>-217497000</v>
      </c>
      <c r="V69" s="36">
        <v>-251890000</v>
      </c>
      <c r="W69" s="36">
        <v>-253859000</v>
      </c>
      <c r="X69" s="36">
        <v>-251363000</v>
      </c>
      <c r="Y69" s="36">
        <v>-246706000</v>
      </c>
      <c r="Z69" s="36">
        <v>-250568000</v>
      </c>
      <c r="AA69" s="36">
        <v>-258940000</v>
      </c>
      <c r="AB69" s="36">
        <v>-256866000</v>
      </c>
      <c r="AC69" s="36">
        <v>-266482000</v>
      </c>
      <c r="AD69" s="36">
        <v>-271279000</v>
      </c>
      <c r="AE69" s="36">
        <v>-277159000</v>
      </c>
      <c r="AF69" s="36">
        <v>-272448000</v>
      </c>
      <c r="AG69" s="36">
        <v>-277560000</v>
      </c>
      <c r="AH69" s="36">
        <v>-281961000</v>
      </c>
      <c r="AI69" s="36">
        <v>-279199000</v>
      </c>
      <c r="AJ69" s="36">
        <v>-283976000</v>
      </c>
      <c r="AK69" s="36">
        <v>-286873000</v>
      </c>
      <c r="AL69" s="36">
        <v>-288528000</v>
      </c>
      <c r="AM69" s="36">
        <v>-283488000</v>
      </c>
      <c r="AN69" s="36">
        <v>-286415000</v>
      </c>
      <c r="AO69" s="36">
        <v>-283763000</v>
      </c>
      <c r="AP69" s="36">
        <v>-282216000</v>
      </c>
      <c r="AQ69" s="36">
        <v>-288319000</v>
      </c>
      <c r="AR69" s="36">
        <v>-289347000</v>
      </c>
      <c r="AS69" s="36">
        <v>-286891000</v>
      </c>
      <c r="AT69" s="36">
        <v>-283374000</v>
      </c>
      <c r="AU69" s="36">
        <v>-281947000</v>
      </c>
      <c r="AV69" s="36">
        <v>-284600000</v>
      </c>
      <c r="AW69" s="36">
        <v>-282214000</v>
      </c>
      <c r="AX69" s="36">
        <v>-391415000</v>
      </c>
      <c r="AY69" s="36">
        <v>-388938000</v>
      </c>
      <c r="AZ69" s="36">
        <v>-380768000</v>
      </c>
      <c r="BA69" s="36">
        <v>-382489000</v>
      </c>
      <c r="BB69" s="36">
        <v>-110372000</v>
      </c>
      <c r="BC69" s="36">
        <v>-175814000</v>
      </c>
      <c r="BD69" s="36">
        <v>-213634000</v>
      </c>
      <c r="BE69" s="36">
        <v>-106424000</v>
      </c>
      <c r="BF69" s="36">
        <v>-41775000</v>
      </c>
      <c r="BG69" s="36">
        <v>-44769000</v>
      </c>
      <c r="BH69" s="36">
        <v>-53588000</v>
      </c>
      <c r="BI69" s="36">
        <v>31721000</v>
      </c>
      <c r="BJ69" s="36">
        <v>71294000</v>
      </c>
      <c r="BK69" s="36">
        <v>352385000</v>
      </c>
      <c r="BL69" s="36">
        <v>366375000</v>
      </c>
      <c r="BM69" s="36">
        <v>417306000</v>
      </c>
      <c r="BN69" s="36">
        <v>444824000</v>
      </c>
      <c r="BO69" s="36">
        <v>283960000</v>
      </c>
      <c r="BP69" s="36">
        <v>301744000</v>
      </c>
      <c r="BQ69" s="36">
        <v>357206000</v>
      </c>
      <c r="BR69" s="36">
        <v>392922000</v>
      </c>
      <c r="BS69" s="36">
        <v>236876000</v>
      </c>
      <c r="BT69" s="36">
        <v>240720000</v>
      </c>
      <c r="BU69" s="36">
        <v>296366000</v>
      </c>
      <c r="BV69" s="36">
        <v>329312000</v>
      </c>
      <c r="BW69" s="36">
        <v>238762000</v>
      </c>
      <c r="BX69" s="36">
        <v>241953000</v>
      </c>
      <c r="BY69" s="36">
        <v>293802000</v>
      </c>
      <c r="BZ69" s="36">
        <v>325798000</v>
      </c>
      <c r="CA69" s="36">
        <v>244531000</v>
      </c>
      <c r="CB69" s="36">
        <v>244790000</v>
      </c>
      <c r="CC69" s="36">
        <v>296805000</v>
      </c>
      <c r="CD69" s="36">
        <v>334255000</v>
      </c>
      <c r="CE69" s="36">
        <v>255772000</v>
      </c>
      <c r="CF69" s="36">
        <v>268312000</v>
      </c>
      <c r="CG69" s="36">
        <v>320743000</v>
      </c>
      <c r="CH69" s="36">
        <v>359792000</v>
      </c>
      <c r="CI69" s="36">
        <v>289137000</v>
      </c>
      <c r="CJ69" s="36">
        <v>289836000</v>
      </c>
      <c r="CK69" s="36">
        <v>339900000</v>
      </c>
      <c r="CL69" s="36">
        <v>369900000</v>
      </c>
      <c r="CM69" s="36">
        <v>292500000</v>
      </c>
      <c r="CN69" s="36">
        <v>291500000</v>
      </c>
      <c r="CO69" s="36">
        <v>331700000</v>
      </c>
      <c r="CP69" s="36">
        <v>346700000</v>
      </c>
      <c r="CQ69" s="36">
        <v>256600000</v>
      </c>
      <c r="CR69" s="36">
        <v>241700000</v>
      </c>
      <c r="CS69" s="36">
        <v>274900000</v>
      </c>
      <c r="CT69" s="36">
        <v>196800000</v>
      </c>
      <c r="CU69" s="36">
        <v>127800000</v>
      </c>
      <c r="CV69" s="36">
        <v>127900000</v>
      </c>
      <c r="CW69" s="36">
        <v>159300000</v>
      </c>
      <c r="CX69" s="36">
        <v>187100000</v>
      </c>
      <c r="CY69" s="36">
        <v>117600000</v>
      </c>
      <c r="CZ69" s="36">
        <v>111400000</v>
      </c>
      <c r="DA69" s="36">
        <v>140400000</v>
      </c>
      <c r="DB69" s="36">
        <v>167500000</v>
      </c>
      <c r="DC69" s="36">
        <v>77700000</v>
      </c>
      <c r="DD69" s="36">
        <v>78700000</v>
      </c>
      <c r="DE69" s="36">
        <v>103600000</v>
      </c>
      <c r="DF69" s="36">
        <v>66900000</v>
      </c>
      <c r="DG69" s="36">
        <v>88100000</v>
      </c>
      <c r="DH69" s="36">
        <v>110400000</v>
      </c>
      <c r="DI69" s="36">
        <v>47700000</v>
      </c>
      <c r="DJ69" s="36">
        <v>47600000</v>
      </c>
      <c r="DK69" s="36">
        <v>69000000</v>
      </c>
      <c r="DL69" s="36">
        <v>93700000</v>
      </c>
      <c r="DM69" s="36">
        <v>38900000</v>
      </c>
      <c r="DN69" s="36">
        <v>37100000</v>
      </c>
      <c r="DO69" s="36">
        <v>53600000</v>
      </c>
      <c r="DP69" s="36">
        <v>70700000</v>
      </c>
      <c r="DQ69" s="36">
        <v>38300000</v>
      </c>
      <c r="DR69" s="36">
        <v>34300000</v>
      </c>
      <c r="DS69" s="36">
        <v>50400000</v>
      </c>
      <c r="DT69" s="36">
        <v>65700000</v>
      </c>
      <c r="DU69" s="36">
        <v>31100000</v>
      </c>
      <c r="DV69" s="36">
        <v>31700000</v>
      </c>
      <c r="DW69" s="36">
        <v>46000000</v>
      </c>
      <c r="DX69" s="36">
        <v>59700000</v>
      </c>
      <c r="DY69" s="36">
        <v>26400000</v>
      </c>
      <c r="DZ69" s="36">
        <v>39400000</v>
      </c>
      <c r="EA69" s="36">
        <v>39400000</v>
      </c>
    </row>
    <row r="70" spans="1:131">
      <c r="A70" t="s">
        <v>201</v>
      </c>
      <c r="B70" s="36">
        <v>331768000</v>
      </c>
      <c r="C70" s="36">
        <v>80789000</v>
      </c>
      <c r="D70" s="36">
        <v>146394000</v>
      </c>
      <c r="E70" s="36">
        <v>254530000</v>
      </c>
      <c r="F70" s="36">
        <v>43147000</v>
      </c>
      <c r="G70" s="36">
        <v>183813000</v>
      </c>
      <c r="H70" s="36">
        <v>-84880000</v>
      </c>
      <c r="I70" s="36">
        <v>-29957000</v>
      </c>
      <c r="J70" s="36">
        <v>55321000</v>
      </c>
      <c r="K70" s="36">
        <v>139834000</v>
      </c>
      <c r="L70" s="36">
        <v>-108634000</v>
      </c>
      <c r="M70" s="36">
        <v>-34510000</v>
      </c>
      <c r="N70" s="36">
        <v>19515000</v>
      </c>
      <c r="O70" s="36">
        <v>-127357000</v>
      </c>
      <c r="P70" s="36">
        <v>-99196000</v>
      </c>
      <c r="Q70" s="36">
        <v>21489000</v>
      </c>
      <c r="R70" s="36">
        <v>53309000</v>
      </c>
      <c r="S70" s="36">
        <v>-92511000</v>
      </c>
      <c r="T70" s="36">
        <v>-105391000</v>
      </c>
      <c r="U70" s="36">
        <v>-47007000</v>
      </c>
      <c r="V70" s="36">
        <v>21100000</v>
      </c>
      <c r="W70" s="36">
        <v>-104668000</v>
      </c>
      <c r="X70" s="36">
        <v>-100686000</v>
      </c>
      <c r="Y70" s="36">
        <v>-2457000</v>
      </c>
      <c r="Z70" s="36">
        <v>73617000</v>
      </c>
      <c r="AA70" s="36">
        <v>-89110000</v>
      </c>
      <c r="AB70" s="36">
        <v>-74442000</v>
      </c>
      <c r="AC70" s="36">
        <v>5498000</v>
      </c>
      <c r="AD70" s="36">
        <v>85273000</v>
      </c>
      <c r="AE70" s="36">
        <v>-56234000</v>
      </c>
      <c r="AF70" s="36">
        <v>-61828000</v>
      </c>
      <c r="AG70" s="36">
        <v>27698000</v>
      </c>
      <c r="AH70" s="36">
        <v>86366000</v>
      </c>
      <c r="AI70" s="36">
        <v>-51777000</v>
      </c>
      <c r="AJ70" s="36">
        <v>-52692000</v>
      </c>
      <c r="AK70" s="36">
        <v>2904000</v>
      </c>
      <c r="AL70" s="36">
        <v>446000</v>
      </c>
      <c r="AM70" s="36">
        <v>-66952000</v>
      </c>
      <c r="AN70" s="36">
        <v>-71413000</v>
      </c>
      <c r="AO70" s="36">
        <v>-104928000</v>
      </c>
      <c r="AP70" s="36">
        <v>-55907000</v>
      </c>
      <c r="AQ70" s="36">
        <v>-179173000</v>
      </c>
      <c r="AR70" s="36">
        <v>-163642000</v>
      </c>
      <c r="AS70" s="36">
        <v>-98518000</v>
      </c>
      <c r="AT70" s="36">
        <v>-27692000</v>
      </c>
      <c r="AU70" s="36">
        <v>-39781000</v>
      </c>
      <c r="AV70" s="36">
        <v>-35556000</v>
      </c>
      <c r="AW70" s="36">
        <v>-70212000</v>
      </c>
      <c r="AX70" s="36">
        <v>-57269000</v>
      </c>
      <c r="AY70" s="36">
        <v>-43157000</v>
      </c>
      <c r="AZ70" s="36">
        <v>-31915000</v>
      </c>
      <c r="BA70" s="36">
        <v>-50705000</v>
      </c>
      <c r="BB70" s="36">
        <v>-54232000</v>
      </c>
      <c r="BC70" s="36">
        <v>-51923000</v>
      </c>
      <c r="BD70" s="36">
        <v>-45311000</v>
      </c>
      <c r="BE70" s="36">
        <v>-59960000</v>
      </c>
      <c r="BF70" s="36">
        <v>-95924000</v>
      </c>
      <c r="BG70" s="36">
        <v>-56878000</v>
      </c>
      <c r="BH70" s="36">
        <v>-45911000</v>
      </c>
      <c r="BI70" s="36">
        <v>-54750000</v>
      </c>
      <c r="BJ70" s="36">
        <v>-51446000</v>
      </c>
      <c r="BK70" s="36">
        <v>-98911000</v>
      </c>
      <c r="BL70" s="36">
        <v>-99871000</v>
      </c>
      <c r="BM70" s="36">
        <v>-90123000</v>
      </c>
      <c r="BN70" s="36">
        <v>-88528000</v>
      </c>
      <c r="BO70" s="36">
        <v>-83888000</v>
      </c>
      <c r="BP70" s="36">
        <v>-75928000</v>
      </c>
      <c r="BQ70" s="36">
        <v>-88557000</v>
      </c>
      <c r="BR70" s="36">
        <v>-89908000</v>
      </c>
      <c r="BS70" s="36">
        <v>-79111000</v>
      </c>
      <c r="BT70" s="36">
        <v>-75921000</v>
      </c>
      <c r="BU70" s="36">
        <v>-81917000</v>
      </c>
      <c r="BV70" s="36">
        <v>-72725000</v>
      </c>
      <c r="BW70" s="36">
        <v>-61758000</v>
      </c>
      <c r="BX70" s="36">
        <v>-57835000</v>
      </c>
      <c r="BY70" s="36">
        <v>-77101000</v>
      </c>
      <c r="BZ70" s="36">
        <v>-67446000</v>
      </c>
      <c r="CA70" s="36">
        <v>-60744000</v>
      </c>
      <c r="CB70" s="36">
        <v>-55293000</v>
      </c>
      <c r="CC70" s="36">
        <v>-69832000</v>
      </c>
      <c r="CD70" s="36">
        <v>-263118000</v>
      </c>
      <c r="CE70" s="36">
        <v>-391924000</v>
      </c>
      <c r="CF70" s="36">
        <v>-135888000</v>
      </c>
      <c r="CG70" s="36">
        <v>-88646000</v>
      </c>
      <c r="CH70" s="36">
        <v>-90699000</v>
      </c>
      <c r="CI70" s="36">
        <v>-128237000</v>
      </c>
      <c r="CJ70" s="36">
        <v>-64571000</v>
      </c>
      <c r="CK70" s="36">
        <v>-62400000</v>
      </c>
      <c r="CL70" s="36">
        <v>-63200000</v>
      </c>
      <c r="CM70" s="36">
        <v>-55700000</v>
      </c>
      <c r="CN70" s="36">
        <v>-60100000</v>
      </c>
      <c r="CO70" s="36">
        <v>-56200000</v>
      </c>
      <c r="CP70" s="36">
        <v>-56800000</v>
      </c>
      <c r="CQ70" s="36">
        <v>-51500000</v>
      </c>
      <c r="CR70" s="36">
        <v>-47400000</v>
      </c>
      <c r="CS70" s="36">
        <v>-40400000</v>
      </c>
      <c r="CT70" s="36">
        <v>-27200000</v>
      </c>
      <c r="CU70" s="36">
        <v>-29100000</v>
      </c>
      <c r="CV70" s="36">
        <v>-30700000</v>
      </c>
      <c r="CW70" s="36">
        <v>-27500000</v>
      </c>
      <c r="CX70" s="36">
        <v>-18000000</v>
      </c>
      <c r="CY70" s="36">
        <v>-24800000</v>
      </c>
      <c r="CZ70" s="36">
        <v>-29000000</v>
      </c>
      <c r="DA70" s="36">
        <v>-27800000</v>
      </c>
      <c r="DB70" s="36">
        <v>-24100000</v>
      </c>
      <c r="DC70" s="36">
        <v>-27800000</v>
      </c>
      <c r="DD70" s="36">
        <v>-26800000</v>
      </c>
      <c r="DE70" s="36">
        <v>-25400000</v>
      </c>
      <c r="DF70" s="36">
        <v>-24400000</v>
      </c>
      <c r="DG70" s="36">
        <v>-24700000</v>
      </c>
      <c r="DH70" s="36">
        <v>-22900000</v>
      </c>
      <c r="DI70" s="36">
        <v>-19700000</v>
      </c>
      <c r="DJ70" s="36">
        <v>-22000000</v>
      </c>
      <c r="DK70" s="36">
        <v>-20100000</v>
      </c>
      <c r="DL70" s="36">
        <v>-19700000</v>
      </c>
      <c r="DM70" s="36">
        <v>-14400000</v>
      </c>
      <c r="DN70" s="36">
        <v>-16300000</v>
      </c>
      <c r="DO70" s="36">
        <v>-15200000</v>
      </c>
      <c r="DP70" s="36">
        <v>-12100000</v>
      </c>
      <c r="DQ70" s="36">
        <v>-12300000</v>
      </c>
      <c r="DR70" s="36">
        <v>-12200000</v>
      </c>
      <c r="DS70" s="36">
        <v>-14400000</v>
      </c>
      <c r="DT70" s="36">
        <v>-14100000</v>
      </c>
      <c r="DU70" s="36">
        <v>-10300000</v>
      </c>
      <c r="DV70" s="36">
        <v>-13200000</v>
      </c>
      <c r="DW70" s="36">
        <v>-11900000</v>
      </c>
      <c r="DX70" s="36">
        <v>-12200000</v>
      </c>
      <c r="DY70" s="36">
        <v>-16100000</v>
      </c>
      <c r="DZ70" s="36">
        <v>-10900000</v>
      </c>
      <c r="EA70" s="36">
        <v>-9700000</v>
      </c>
    </row>
    <row r="71" spans="1:131">
      <c r="A71" t="s">
        <v>202</v>
      </c>
      <c r="B71" s="36">
        <v>2281398000</v>
      </c>
      <c r="C71" s="36">
        <v>2119155000</v>
      </c>
      <c r="D71" s="36">
        <v>2176871000</v>
      </c>
      <c r="E71" s="36">
        <v>2287807000</v>
      </c>
      <c r="F71" s="36">
        <v>2110604000</v>
      </c>
      <c r="G71" s="36">
        <v>2248673000</v>
      </c>
      <c r="H71" s="36">
        <v>1950572000</v>
      </c>
      <c r="I71" s="36">
        <v>2143417000</v>
      </c>
      <c r="J71" s="36">
        <v>2199195000</v>
      </c>
      <c r="K71" s="36">
        <v>2055175000</v>
      </c>
      <c r="L71" s="36">
        <v>1674477000</v>
      </c>
      <c r="M71" s="36">
        <v>1695609000</v>
      </c>
      <c r="N71" s="36">
        <v>1753706000</v>
      </c>
      <c r="O71" s="36">
        <v>1616136000</v>
      </c>
      <c r="P71" s="36">
        <v>1649819000</v>
      </c>
      <c r="Q71" s="36">
        <v>1743461000</v>
      </c>
      <c r="R71" s="36">
        <v>1734908000</v>
      </c>
      <c r="S71" s="36">
        <v>1614751000</v>
      </c>
      <c r="T71" s="36">
        <v>1575416000</v>
      </c>
      <c r="U71" s="36">
        <v>1597505000</v>
      </c>
      <c r="V71" s="36">
        <v>1641318000</v>
      </c>
      <c r="W71" s="36">
        <v>1561338000</v>
      </c>
      <c r="X71" s="36">
        <v>1563095000</v>
      </c>
      <c r="Y71" s="36">
        <v>1615859000</v>
      </c>
      <c r="Z71" s="36">
        <v>1683992000</v>
      </c>
      <c r="AA71" s="36">
        <v>1597319000</v>
      </c>
      <c r="AB71" s="36">
        <v>1594658000</v>
      </c>
      <c r="AC71" s="36">
        <v>1655067000</v>
      </c>
      <c r="AD71" s="36">
        <v>1722406000</v>
      </c>
      <c r="AE71" s="36">
        <v>1631465000</v>
      </c>
      <c r="AF71" s="36">
        <v>1596598000</v>
      </c>
      <c r="AG71" s="36">
        <v>1659763000</v>
      </c>
      <c r="AH71" s="36">
        <v>1722248000</v>
      </c>
      <c r="AI71" s="36">
        <v>1627089000</v>
      </c>
      <c r="AJ71" s="36">
        <v>1649781000</v>
      </c>
      <c r="AK71" s="36">
        <v>1691440000</v>
      </c>
      <c r="AL71" s="36">
        <v>1717807000</v>
      </c>
      <c r="AM71" s="36">
        <v>1719256000</v>
      </c>
      <c r="AN71" s="36">
        <v>1783345000</v>
      </c>
      <c r="AO71" s="36">
        <v>1715099000</v>
      </c>
      <c r="AP71" s="36">
        <v>1754167000</v>
      </c>
      <c r="AQ71" s="36">
        <v>1714013000</v>
      </c>
      <c r="AR71" s="36">
        <v>1765396000</v>
      </c>
      <c r="AS71" s="36">
        <v>1716839000</v>
      </c>
      <c r="AT71" s="36">
        <v>1771762000</v>
      </c>
      <c r="AU71" s="36">
        <v>1803399000</v>
      </c>
      <c r="AV71" s="36">
        <v>1818224000</v>
      </c>
      <c r="AW71" s="36">
        <v>1754208000</v>
      </c>
      <c r="AX71" s="36">
        <v>1750311000</v>
      </c>
      <c r="AY71" s="36">
        <v>1852307000</v>
      </c>
      <c r="AZ71" s="36">
        <v>1869559000</v>
      </c>
      <c r="BA71" s="36">
        <v>1830861000</v>
      </c>
      <c r="BB71" s="36">
        <v>1985210000</v>
      </c>
      <c r="BC71" s="36">
        <v>2050888000</v>
      </c>
      <c r="BD71" s="36">
        <v>2031937000</v>
      </c>
      <c r="BE71" s="36">
        <v>2038003000</v>
      </c>
      <c r="BF71" s="36">
        <v>2069561000</v>
      </c>
      <c r="BG71" s="36">
        <v>2218740000</v>
      </c>
      <c r="BH71" s="36">
        <v>2209573000</v>
      </c>
      <c r="BI71" s="36">
        <v>2187778000</v>
      </c>
      <c r="BJ71" s="36">
        <v>2215076000</v>
      </c>
      <c r="BK71" s="36">
        <v>930208000</v>
      </c>
      <c r="BL71" s="36">
        <v>927312000</v>
      </c>
      <c r="BM71" s="36">
        <v>905084000</v>
      </c>
      <c r="BN71" s="36">
        <v>893902000</v>
      </c>
      <c r="BO71" s="36">
        <v>867545000</v>
      </c>
      <c r="BP71" s="36">
        <v>859296000</v>
      </c>
      <c r="BQ71" s="36">
        <v>832567000</v>
      </c>
      <c r="BR71" s="36">
        <v>819429000</v>
      </c>
      <c r="BS71" s="36">
        <v>831540000</v>
      </c>
      <c r="BT71" s="36">
        <v>693148000</v>
      </c>
      <c r="BU71" s="36">
        <v>677538000</v>
      </c>
      <c r="BV71" s="36">
        <v>679052000</v>
      </c>
      <c r="BW71" s="36">
        <v>694269000</v>
      </c>
      <c r="BX71" s="36">
        <v>701511000</v>
      </c>
      <c r="BY71" s="36">
        <v>680470000</v>
      </c>
      <c r="BZ71" s="36">
        <v>685757000</v>
      </c>
      <c r="CA71" s="36">
        <v>700968000</v>
      </c>
      <c r="CB71" s="36">
        <v>709353000</v>
      </c>
      <c r="CC71" s="36">
        <v>691250000</v>
      </c>
      <c r="CD71" s="36">
        <v>693776000</v>
      </c>
      <c r="CE71" s="36">
        <v>709815000</v>
      </c>
      <c r="CF71" s="36">
        <v>670560000</v>
      </c>
      <c r="CG71" s="36">
        <v>669139000</v>
      </c>
      <c r="CH71" s="36">
        <v>664342000</v>
      </c>
      <c r="CI71" s="36">
        <v>656748000</v>
      </c>
      <c r="CJ71" s="36">
        <v>634242000</v>
      </c>
      <c r="CK71" s="36">
        <v>611200000</v>
      </c>
      <c r="CL71" s="36">
        <v>576900000</v>
      </c>
      <c r="CM71" s="36">
        <v>580900000</v>
      </c>
      <c r="CN71" s="36">
        <v>569600000</v>
      </c>
      <c r="CO71" s="36">
        <v>542400000</v>
      </c>
      <c r="CP71" s="36">
        <v>522300000</v>
      </c>
      <c r="CQ71" s="36">
        <v>516400000</v>
      </c>
      <c r="CR71" s="36">
        <v>496700000</v>
      </c>
      <c r="CS71" s="36">
        <v>475200000</v>
      </c>
      <c r="CT71" s="36">
        <v>269200000</v>
      </c>
      <c r="CU71" s="36">
        <v>274600000</v>
      </c>
      <c r="CV71" s="36">
        <v>263900000</v>
      </c>
      <c r="CW71" s="36">
        <v>257600000</v>
      </c>
      <c r="CX71" s="36">
        <v>247900000</v>
      </c>
      <c r="CY71" s="36">
        <v>249700000</v>
      </c>
      <c r="CZ71" s="36">
        <v>242100000</v>
      </c>
      <c r="DA71" s="36">
        <v>231500000</v>
      </c>
      <c r="DB71" s="36">
        <v>245200000</v>
      </c>
      <c r="DC71" s="36">
        <v>198200000</v>
      </c>
      <c r="DD71" s="36">
        <v>192600000</v>
      </c>
      <c r="DE71" s="36">
        <v>186500000</v>
      </c>
      <c r="DF71" s="36">
        <v>190600000</v>
      </c>
      <c r="DG71" s="36">
        <v>186800000</v>
      </c>
      <c r="DH71" s="36">
        <v>183400000</v>
      </c>
      <c r="DI71" s="36">
        <v>178900000</v>
      </c>
      <c r="DJ71" s="36">
        <v>173700000</v>
      </c>
      <c r="DK71" s="36">
        <v>171000000</v>
      </c>
      <c r="DL71" s="36">
        <v>169000000</v>
      </c>
      <c r="DM71" s="36">
        <v>126900000</v>
      </c>
      <c r="DN71" s="36">
        <v>123400000</v>
      </c>
      <c r="DO71" s="36">
        <v>121000000</v>
      </c>
      <c r="DP71" s="36">
        <v>122000000</v>
      </c>
      <c r="DQ71" s="36">
        <v>126600000</v>
      </c>
      <c r="DR71" s="36">
        <v>126400000</v>
      </c>
      <c r="DS71" s="36">
        <v>121700000</v>
      </c>
      <c r="DT71" s="36">
        <v>119900000</v>
      </c>
      <c r="DU71" s="36">
        <v>126100000</v>
      </c>
      <c r="DV71" s="36">
        <v>120500000</v>
      </c>
      <c r="DW71" s="36">
        <v>118500000</v>
      </c>
      <c r="DX71" s="36">
        <v>117100000</v>
      </c>
      <c r="DY71" s="36">
        <v>117900000</v>
      </c>
      <c r="DZ71" s="36">
        <v>118900000</v>
      </c>
      <c r="EA71" s="36">
        <v>121100000</v>
      </c>
    </row>
    <row r="72" spans="1:131">
      <c r="A72" t="s">
        <v>203</v>
      </c>
      <c r="B72" s="36">
        <v>-999988000</v>
      </c>
      <c r="C72" s="36">
        <v>-1161504000</v>
      </c>
      <c r="D72" s="36">
        <v>-1098841000</v>
      </c>
      <c r="E72" s="36">
        <v>-983686000</v>
      </c>
      <c r="F72" s="36">
        <v>-864907000</v>
      </c>
      <c r="G72" s="36">
        <v>-739936000</v>
      </c>
      <c r="H72" s="36">
        <v>-600531000</v>
      </c>
      <c r="I72" s="36">
        <v>-429519000</v>
      </c>
      <c r="J72" s="36">
        <v>-375425000</v>
      </c>
      <c r="K72" s="36">
        <v>-318095000</v>
      </c>
      <c r="L72" s="36">
        <v>-326179000</v>
      </c>
      <c r="M72" s="36">
        <v>-182679000</v>
      </c>
      <c r="N72" s="36">
        <v>-127465000</v>
      </c>
      <c r="O72" s="36">
        <v>-287248000</v>
      </c>
      <c r="P72" s="36">
        <v>-270964000</v>
      </c>
      <c r="Q72" s="36">
        <v>-138948000</v>
      </c>
      <c r="R72" s="36">
        <v>-148260000</v>
      </c>
      <c r="S72" s="36">
        <v>-278663000</v>
      </c>
      <c r="T72" s="36">
        <v>-265175000</v>
      </c>
      <c r="U72" s="36">
        <v>-156978000</v>
      </c>
      <c r="V72" s="36">
        <v>-146443000</v>
      </c>
      <c r="W72" s="36">
        <v>-282286000</v>
      </c>
      <c r="X72" s="36">
        <v>-293169000</v>
      </c>
      <c r="Y72" s="36">
        <v>-189697000</v>
      </c>
      <c r="Z72" s="36">
        <v>-125426000</v>
      </c>
      <c r="AA72" s="36">
        <v>-262471000</v>
      </c>
      <c r="AB72" s="36">
        <v>-278058000</v>
      </c>
      <c r="AC72" s="36">
        <v>-170265000</v>
      </c>
      <c r="AD72" s="36">
        <v>-117723000</v>
      </c>
      <c r="AE72" s="36">
        <v>-253544000</v>
      </c>
      <c r="AF72" s="36">
        <v>-251657000</v>
      </c>
      <c r="AG72" s="36">
        <v>-138429000</v>
      </c>
      <c r="AH72" s="36">
        <v>-89744000</v>
      </c>
      <c r="AI72" s="36">
        <v>-239966000</v>
      </c>
      <c r="AJ72" s="36">
        <v>-261450000</v>
      </c>
      <c r="AK72" s="36">
        <v>-127613000</v>
      </c>
      <c r="AL72" s="36">
        <v>-102497000</v>
      </c>
      <c r="AM72" s="36">
        <v>-215979000</v>
      </c>
      <c r="AN72" s="36">
        <v>-214547000</v>
      </c>
      <c r="AO72" s="36">
        <v>-125043000</v>
      </c>
      <c r="AP72" s="36">
        <v>-84303000</v>
      </c>
      <c r="AQ72" s="36">
        <v>-236112000</v>
      </c>
      <c r="AR72" s="36">
        <v>-230596000</v>
      </c>
      <c r="AS72" s="36">
        <v>-149755000</v>
      </c>
      <c r="AT72" s="36">
        <v>-86046000</v>
      </c>
      <c r="AU72" s="36">
        <v>-171709000</v>
      </c>
      <c r="AV72" s="36">
        <v>-182422000</v>
      </c>
      <c r="AW72" s="36">
        <v>-154352000</v>
      </c>
      <c r="AX72" s="36">
        <v>-135454000</v>
      </c>
      <c r="AY72" s="36">
        <v>-237668000</v>
      </c>
      <c r="AZ72" s="36">
        <v>-242475000</v>
      </c>
      <c r="BA72" s="36">
        <v>-169894000</v>
      </c>
      <c r="BB72" s="36">
        <v>-110372000</v>
      </c>
      <c r="BC72" s="36">
        <v>-175814000</v>
      </c>
      <c r="BD72" s="36">
        <v>-213634000</v>
      </c>
      <c r="BE72" s="36">
        <v>-106424000</v>
      </c>
      <c r="BF72" s="36">
        <v>-41775000</v>
      </c>
      <c r="BG72" s="36">
        <v>-44769000</v>
      </c>
      <c r="BH72" s="36">
        <v>-53588000</v>
      </c>
      <c r="BI72" s="36">
        <v>31721000</v>
      </c>
      <c r="BJ72" s="36">
        <v>71294000</v>
      </c>
      <c r="BK72" s="36">
        <v>352385000</v>
      </c>
      <c r="BL72" s="36">
        <v>366375000</v>
      </c>
      <c r="BM72" s="36">
        <v>417306000</v>
      </c>
      <c r="BN72" s="36">
        <v>444824000</v>
      </c>
      <c r="BO72" s="36">
        <v>283960000</v>
      </c>
      <c r="BP72" s="36">
        <v>301744000</v>
      </c>
      <c r="BQ72" s="36">
        <v>357206000</v>
      </c>
      <c r="BR72" s="36">
        <v>392922000</v>
      </c>
      <c r="BS72" s="36">
        <v>236876000</v>
      </c>
      <c r="BT72" s="36">
        <v>240720000</v>
      </c>
      <c r="BU72" s="36">
        <v>296366000</v>
      </c>
      <c r="BV72" s="36">
        <v>329312000</v>
      </c>
      <c r="BW72" s="36">
        <v>238762000</v>
      </c>
      <c r="BX72" s="36">
        <v>241953000</v>
      </c>
      <c r="BY72" s="36">
        <v>293802000</v>
      </c>
      <c r="BZ72" s="36">
        <v>325798000</v>
      </c>
      <c r="CA72" s="36">
        <v>244531000</v>
      </c>
      <c r="CB72" s="36">
        <v>244790000</v>
      </c>
      <c r="CC72" s="36">
        <v>296805000</v>
      </c>
      <c r="CD72" s="36">
        <v>334255000</v>
      </c>
      <c r="CE72" s="36">
        <v>255772000</v>
      </c>
      <c r="CF72" s="36">
        <v>268312000</v>
      </c>
      <c r="CG72" s="36">
        <v>320743000</v>
      </c>
      <c r="CH72" s="36">
        <v>359792000</v>
      </c>
      <c r="CI72" s="36">
        <v>289137000</v>
      </c>
      <c r="CJ72" s="36">
        <v>289836000</v>
      </c>
      <c r="CK72" s="36">
        <v>339900000</v>
      </c>
      <c r="CL72" s="36">
        <v>369900000</v>
      </c>
      <c r="CM72" s="36">
        <v>292500000</v>
      </c>
      <c r="CN72" s="36">
        <v>291500000</v>
      </c>
      <c r="CO72" s="36">
        <v>331700000</v>
      </c>
      <c r="CP72" s="36">
        <v>346700000</v>
      </c>
      <c r="CQ72" s="36">
        <v>256600000</v>
      </c>
      <c r="CR72" s="36">
        <v>241700000</v>
      </c>
      <c r="CS72" s="36">
        <v>274900000</v>
      </c>
      <c r="CT72" s="36">
        <v>196800000</v>
      </c>
      <c r="CU72" s="36">
        <v>127800000</v>
      </c>
      <c r="CV72" s="36">
        <v>127900000</v>
      </c>
      <c r="CW72" s="36">
        <v>159300000</v>
      </c>
      <c r="CX72" s="36">
        <v>187100000</v>
      </c>
      <c r="CY72" s="36">
        <v>117600000</v>
      </c>
      <c r="CZ72" s="36">
        <v>111400000</v>
      </c>
      <c r="DA72" s="36">
        <v>140400000</v>
      </c>
      <c r="DB72" s="36">
        <v>167500000</v>
      </c>
      <c r="DC72" s="36">
        <v>77700000</v>
      </c>
      <c r="DD72" s="36">
        <v>78700000</v>
      </c>
      <c r="DE72" s="36">
        <v>103600000</v>
      </c>
      <c r="DF72" s="36">
        <v>66900000</v>
      </c>
      <c r="DG72" s="36">
        <v>88100000</v>
      </c>
      <c r="DH72" s="36">
        <v>110400000</v>
      </c>
      <c r="DI72" s="36">
        <v>47700000</v>
      </c>
      <c r="DJ72" s="36">
        <v>47600000</v>
      </c>
      <c r="DK72" s="36">
        <v>69000000</v>
      </c>
      <c r="DL72" s="36">
        <v>93700000</v>
      </c>
      <c r="DM72" s="36">
        <v>38900000</v>
      </c>
      <c r="DN72" s="36">
        <v>37100000</v>
      </c>
      <c r="DO72" s="36">
        <v>53600000</v>
      </c>
      <c r="DP72" s="36">
        <v>70700000</v>
      </c>
      <c r="DQ72" s="36">
        <v>38300000</v>
      </c>
      <c r="DR72" s="36">
        <v>34300000</v>
      </c>
      <c r="DS72" s="36">
        <v>50400000</v>
      </c>
      <c r="DT72" s="36">
        <v>65700000</v>
      </c>
      <c r="DU72" s="36">
        <v>31100000</v>
      </c>
      <c r="DV72" s="36">
        <v>31700000</v>
      </c>
      <c r="DW72" s="36">
        <v>46000000</v>
      </c>
      <c r="DX72" s="36">
        <v>59700000</v>
      </c>
      <c r="DY72" s="36">
        <v>26400000</v>
      </c>
      <c r="DZ72" s="36">
        <v>39400000</v>
      </c>
      <c r="EA72" s="36">
        <v>39400000</v>
      </c>
    </row>
    <row r="73" spans="1:131">
      <c r="A73" t="s">
        <v>204</v>
      </c>
      <c r="B73" s="36">
        <v>2975189000</v>
      </c>
      <c r="C73" s="36">
        <v>2971335000</v>
      </c>
      <c r="D73" s="36">
        <v>2968230000</v>
      </c>
      <c r="E73" s="36">
        <v>2964727000</v>
      </c>
      <c r="F73" s="36">
        <v>2671807000</v>
      </c>
      <c r="G73" s="36">
        <v>2670607000</v>
      </c>
      <c r="H73" s="36">
        <v>2235096000</v>
      </c>
      <c r="I73" s="36">
        <v>2163983000</v>
      </c>
      <c r="J73" s="36">
        <v>2163916000</v>
      </c>
      <c r="K73" s="36">
        <v>2157740000</v>
      </c>
      <c r="L73" s="36">
        <v>1849474000</v>
      </c>
      <c r="M73" s="36">
        <v>1663193000</v>
      </c>
      <c r="N73" s="36">
        <v>1662036000</v>
      </c>
      <c r="O73" s="36">
        <v>1686207000</v>
      </c>
      <c r="P73" s="36">
        <v>1700782000</v>
      </c>
      <c r="Q73" s="36">
        <v>1660515000</v>
      </c>
      <c r="R73" s="36">
        <v>1659626000</v>
      </c>
      <c r="S73" s="36">
        <v>1675391000</v>
      </c>
      <c r="T73" s="36">
        <v>1622968000</v>
      </c>
      <c r="U73" s="36">
        <v>1536986000</v>
      </c>
      <c r="V73" s="36">
        <v>1535871000</v>
      </c>
      <c r="W73" s="36">
        <v>1589765000</v>
      </c>
      <c r="X73" s="36">
        <v>1604901000</v>
      </c>
      <c r="Y73" s="36">
        <v>1558850000</v>
      </c>
      <c r="Z73" s="36">
        <v>1558850000</v>
      </c>
      <c r="AA73" s="36">
        <v>1600850000</v>
      </c>
      <c r="AB73" s="36">
        <v>1615850000</v>
      </c>
      <c r="AC73" s="36">
        <v>1558850000</v>
      </c>
      <c r="AD73" s="36">
        <v>1568850000</v>
      </c>
      <c r="AE73" s="36">
        <v>1607850000</v>
      </c>
      <c r="AF73" s="36">
        <v>1575807000</v>
      </c>
      <c r="AG73" s="36">
        <v>1520632000</v>
      </c>
      <c r="AH73" s="36">
        <v>1530031000</v>
      </c>
      <c r="AI73" s="36">
        <v>1587856000</v>
      </c>
      <c r="AJ73" s="36">
        <v>1627255000</v>
      </c>
      <c r="AK73" s="36">
        <v>1532180000</v>
      </c>
      <c r="AL73" s="36">
        <v>1531776000</v>
      </c>
      <c r="AM73" s="36">
        <v>1651747000</v>
      </c>
      <c r="AN73" s="36">
        <v>1711477000</v>
      </c>
      <c r="AO73" s="36">
        <v>1556379000</v>
      </c>
      <c r="AP73" s="36">
        <v>1556254000</v>
      </c>
      <c r="AQ73" s="36">
        <v>1661806000</v>
      </c>
      <c r="AR73" s="36">
        <v>1706645000</v>
      </c>
      <c r="AS73" s="36">
        <v>1579703000</v>
      </c>
      <c r="AT73" s="36">
        <v>1574434000</v>
      </c>
      <c r="AU73" s="36">
        <v>1693161000</v>
      </c>
      <c r="AV73" s="36">
        <v>1716046000</v>
      </c>
      <c r="AW73" s="36">
        <v>1626346000</v>
      </c>
      <c r="AX73" s="36">
        <v>1600159000</v>
      </c>
      <c r="AY73" s="36">
        <v>1806846000</v>
      </c>
      <c r="AZ73" s="36">
        <v>1837075000</v>
      </c>
      <c r="BA73" s="36">
        <v>1724075000</v>
      </c>
      <c r="BB73" s="36">
        <v>1710100000</v>
      </c>
      <c r="BC73" s="36">
        <v>1837914000</v>
      </c>
      <c r="BD73" s="36">
        <v>1856616000</v>
      </c>
      <c r="BE73" s="36">
        <v>1752911000</v>
      </c>
      <c r="BF73" s="36">
        <v>1723187000</v>
      </c>
      <c r="BG73" s="36">
        <v>1878563000</v>
      </c>
      <c r="BH73" s="36">
        <v>1883425000</v>
      </c>
      <c r="BI73" s="36">
        <v>1777163000</v>
      </c>
      <c r="BJ73" s="36">
        <v>1745000000</v>
      </c>
      <c r="BK73" s="36">
        <v>561600000</v>
      </c>
      <c r="BL73" s="36">
        <v>544600000</v>
      </c>
      <c r="BM73" s="36">
        <v>470850000</v>
      </c>
      <c r="BN73" s="36">
        <v>437500000</v>
      </c>
      <c r="BO73" s="36">
        <v>556872000</v>
      </c>
      <c r="BP73" s="36">
        <v>536261000</v>
      </c>
      <c r="BQ73" s="36">
        <v>462084000</v>
      </c>
      <c r="BR73" s="36">
        <v>412138000</v>
      </c>
      <c r="BS73" s="36">
        <v>582718000</v>
      </c>
      <c r="BT73" s="36">
        <v>435632000</v>
      </c>
      <c r="BU73" s="36">
        <v>368647000</v>
      </c>
      <c r="BV73" s="36">
        <v>338650000</v>
      </c>
      <c r="BW73" s="36">
        <v>444300000</v>
      </c>
      <c r="BX73" s="36">
        <v>448150000</v>
      </c>
      <c r="BY73" s="36">
        <v>375150000</v>
      </c>
      <c r="BZ73" s="36">
        <v>348350000</v>
      </c>
      <c r="CA73" s="36">
        <v>444750000</v>
      </c>
      <c r="CB73" s="36">
        <v>452833000</v>
      </c>
      <c r="CC73" s="36">
        <v>383000000</v>
      </c>
      <c r="CD73" s="36">
        <v>348950000</v>
      </c>
      <c r="CE73" s="36">
        <v>443450000</v>
      </c>
      <c r="CF73" s="36">
        <v>392450000</v>
      </c>
      <c r="CG73" s="36">
        <v>338550000</v>
      </c>
      <c r="CH73" s="36">
        <v>294600000</v>
      </c>
      <c r="CI73" s="36">
        <v>357650000</v>
      </c>
      <c r="CJ73" s="36">
        <v>334350000</v>
      </c>
      <c r="CK73" s="36">
        <v>261200000</v>
      </c>
      <c r="CL73" s="36">
        <v>196800000</v>
      </c>
      <c r="CM73" s="36">
        <v>278100000</v>
      </c>
      <c r="CN73" s="36">
        <v>267700000</v>
      </c>
      <c r="CO73" s="36">
        <v>200400000</v>
      </c>
      <c r="CP73" s="36">
        <v>165200000</v>
      </c>
      <c r="CQ73" s="36">
        <v>249300000</v>
      </c>
      <c r="CR73" s="36">
        <v>244400000</v>
      </c>
      <c r="CS73" s="36">
        <v>189800000</v>
      </c>
      <c r="CT73" s="36">
        <v>61800000</v>
      </c>
      <c r="CU73" s="36">
        <v>136100000</v>
      </c>
      <c r="CV73" s="36">
        <v>125400000</v>
      </c>
      <c r="CW73" s="36">
        <v>87600000</v>
      </c>
      <c r="CX73" s="36">
        <v>50000000</v>
      </c>
      <c r="CY73" s="36">
        <v>121200000</v>
      </c>
      <c r="CZ73" s="36">
        <v>119700000</v>
      </c>
      <c r="DA73" s="36">
        <v>80000000</v>
      </c>
      <c r="DB73" s="36">
        <v>66500000</v>
      </c>
      <c r="DC73" s="36">
        <v>109200000</v>
      </c>
      <c r="DD73" s="36">
        <v>102500000</v>
      </c>
      <c r="DE73" s="36">
        <v>71400000</v>
      </c>
      <c r="DF73" s="36">
        <v>111900000</v>
      </c>
      <c r="DG73" s="36">
        <v>86800000</v>
      </c>
      <c r="DH73" s="36">
        <v>61000000</v>
      </c>
      <c r="DI73" s="36">
        <v>119100000</v>
      </c>
      <c r="DJ73" s="36">
        <v>113900000</v>
      </c>
      <c r="DK73" s="36">
        <v>89700000</v>
      </c>
      <c r="DL73" s="36">
        <v>65900000</v>
      </c>
      <c r="DM73" s="36">
        <v>86600000</v>
      </c>
      <c r="DN73" s="36">
        <v>84900000</v>
      </c>
      <c r="DO73" s="36">
        <v>65900000</v>
      </c>
      <c r="DP73" s="36">
        <v>50000000</v>
      </c>
      <c r="DQ73" s="36">
        <v>87000000</v>
      </c>
      <c r="DR73" s="36">
        <v>90700000</v>
      </c>
      <c r="DS73" s="36">
        <v>69900000</v>
      </c>
      <c r="DT73" s="36">
        <v>52800000</v>
      </c>
      <c r="DU73" s="36">
        <v>93600000</v>
      </c>
      <c r="DV73" s="36">
        <v>87300000</v>
      </c>
      <c r="DW73" s="36">
        <v>71100000</v>
      </c>
      <c r="DX73" s="36">
        <v>55900000</v>
      </c>
      <c r="DY73" s="36">
        <v>90000000</v>
      </c>
      <c r="DZ73" s="36">
        <v>77900000</v>
      </c>
      <c r="EA73" s="36">
        <v>79600000</v>
      </c>
    </row>
    <row r="74" spans="1:131">
      <c r="A74" t="s">
        <v>205</v>
      </c>
      <c r="B74" s="36">
        <v>2401382000</v>
      </c>
      <c r="C74" s="36">
        <v>2668119000</v>
      </c>
      <c r="D74" s="36">
        <v>2685751000</v>
      </c>
      <c r="E74" s="36">
        <v>2577508000</v>
      </c>
      <c r="F74" s="36">
        <v>2436464000</v>
      </c>
      <c r="G74" s="36">
        <v>2359400000</v>
      </c>
      <c r="H74" s="36">
        <v>2198491000</v>
      </c>
      <c r="I74" s="36">
        <v>1971131000</v>
      </c>
      <c r="J74" s="36">
        <v>1898360000</v>
      </c>
      <c r="K74" s="36">
        <v>1830633000</v>
      </c>
      <c r="L74" s="36">
        <v>1723803000</v>
      </c>
      <c r="M74" s="36">
        <v>1557844000</v>
      </c>
      <c r="N74" s="36">
        <v>1471280000</v>
      </c>
      <c r="O74" s="36">
        <v>1626088000</v>
      </c>
      <c r="P74" s="36">
        <v>1657894000</v>
      </c>
      <c r="Q74" s="36">
        <v>1494270000</v>
      </c>
      <c r="R74" s="36">
        <v>1409680000</v>
      </c>
      <c r="S74" s="36">
        <v>1574308000</v>
      </c>
      <c r="T74" s="36">
        <v>1588726000</v>
      </c>
      <c r="U74" s="36">
        <v>1414270000</v>
      </c>
      <c r="V74" s="36">
        <v>1348569000</v>
      </c>
      <c r="W74" s="36">
        <v>1521680000</v>
      </c>
      <c r="X74" s="36">
        <v>1540350000</v>
      </c>
      <c r="Y74" s="36">
        <v>1439293000</v>
      </c>
      <c r="Z74" s="36">
        <v>1362527000</v>
      </c>
      <c r="AA74" s="36">
        <v>1565403000</v>
      </c>
      <c r="AB74" s="36">
        <v>1596125000</v>
      </c>
      <c r="AC74" s="36">
        <v>1427010000</v>
      </c>
      <c r="AD74" s="36">
        <v>1379476000</v>
      </c>
      <c r="AE74" s="36">
        <v>1567716000</v>
      </c>
      <c r="AF74" s="36">
        <v>1566940000</v>
      </c>
      <c r="AG74" s="36">
        <v>1402576000</v>
      </c>
      <c r="AH74" s="36">
        <v>1346549000</v>
      </c>
      <c r="AI74" s="36">
        <v>1544228000</v>
      </c>
      <c r="AJ74" s="36">
        <v>1617217000</v>
      </c>
      <c r="AK74" s="36">
        <v>1453350000</v>
      </c>
      <c r="AL74" s="36">
        <v>1435674000</v>
      </c>
      <c r="AM74" s="36">
        <v>1615818000</v>
      </c>
      <c r="AN74" s="36">
        <v>1704158000</v>
      </c>
      <c r="AO74" s="36">
        <v>1520855000</v>
      </c>
      <c r="AP74" s="36">
        <v>1459942000</v>
      </c>
      <c r="AQ74" s="36">
        <v>1626127000</v>
      </c>
      <c r="AR74" s="36">
        <v>1699390000</v>
      </c>
      <c r="AS74" s="36">
        <v>1569938000</v>
      </c>
      <c r="AT74" s="36">
        <v>1512733000</v>
      </c>
      <c r="AU74" s="36">
        <v>1669231000</v>
      </c>
      <c r="AV74" s="36">
        <v>1710672000</v>
      </c>
      <c r="AW74" s="36">
        <v>1614418000</v>
      </c>
      <c r="AX74" s="36">
        <v>1543956000</v>
      </c>
      <c r="AY74" s="36">
        <v>1774864000</v>
      </c>
      <c r="AZ74" s="36">
        <v>1829169000</v>
      </c>
      <c r="BA74" s="36">
        <v>1710202000</v>
      </c>
      <c r="BB74" s="36">
        <v>1638406000</v>
      </c>
      <c r="BC74" s="36">
        <v>1805003000</v>
      </c>
      <c r="BD74" s="36">
        <v>1844562000</v>
      </c>
      <c r="BE74" s="36">
        <v>1747410000</v>
      </c>
      <c r="BF74" s="36">
        <v>1686217000</v>
      </c>
      <c r="BG74" s="36">
        <v>1842411000</v>
      </c>
      <c r="BH74" s="36">
        <v>1860554000</v>
      </c>
      <c r="BI74" s="36">
        <v>1746960000</v>
      </c>
      <c r="BJ74" s="36">
        <v>1657152000</v>
      </c>
      <c r="BK74" s="36">
        <v>542849000</v>
      </c>
      <c r="BL74" s="36">
        <v>540067000</v>
      </c>
      <c r="BM74" s="36">
        <v>466429000</v>
      </c>
      <c r="BN74" s="36">
        <v>428853000</v>
      </c>
      <c r="BO74" s="36">
        <v>538038000</v>
      </c>
      <c r="BP74" s="36">
        <v>531661000</v>
      </c>
      <c r="BQ74" s="36">
        <v>458731000</v>
      </c>
      <c r="BR74" s="36">
        <v>402355000</v>
      </c>
      <c r="BS74" s="36">
        <v>567233000</v>
      </c>
      <c r="BT74" s="36">
        <v>432414000</v>
      </c>
      <c r="BU74" s="36">
        <v>366453000</v>
      </c>
      <c r="BV74" s="36">
        <v>332529000</v>
      </c>
      <c r="BW74" s="36">
        <v>432583000</v>
      </c>
      <c r="BX74" s="36">
        <v>445414000</v>
      </c>
      <c r="BY74" s="36">
        <v>372979000</v>
      </c>
      <c r="BZ74" s="36">
        <v>342942000</v>
      </c>
      <c r="CA74" s="36">
        <v>430589000</v>
      </c>
      <c r="CB74" s="36">
        <v>450164000</v>
      </c>
      <c r="CC74" s="36">
        <v>380720000</v>
      </c>
      <c r="CD74" s="36">
        <v>342872000</v>
      </c>
      <c r="CE74" s="36">
        <v>432041000</v>
      </c>
      <c r="CF74" s="36">
        <v>389931000</v>
      </c>
      <c r="CG74" s="36">
        <v>336158000</v>
      </c>
      <c r="CH74" s="36">
        <v>289933000</v>
      </c>
      <c r="CI74" s="36">
        <v>347103000</v>
      </c>
      <c r="CJ74" s="36">
        <v>331800000</v>
      </c>
      <c r="CK74" s="36">
        <v>260600000</v>
      </c>
      <c r="CL74" s="36">
        <v>190900000</v>
      </c>
      <c r="CM74" s="36">
        <v>267700000</v>
      </c>
      <c r="CN74" s="36">
        <v>265400000</v>
      </c>
      <c r="CO74" s="36">
        <v>199300000</v>
      </c>
      <c r="CP74" s="36">
        <v>159500000</v>
      </c>
      <c r="CQ74" s="36">
        <v>239300000</v>
      </c>
      <c r="CR74" s="36">
        <v>243200000</v>
      </c>
      <c r="CS74" s="36">
        <v>187300000</v>
      </c>
      <c r="CT74" s="36">
        <v>60400000</v>
      </c>
      <c r="CU74" s="36">
        <v>131300000</v>
      </c>
      <c r="CV74" s="36">
        <v>124800000</v>
      </c>
      <c r="CW74" s="36">
        <v>86300000</v>
      </c>
      <c r="CX74" s="36">
        <v>43000000</v>
      </c>
      <c r="CY74" s="36">
        <v>116000000</v>
      </c>
      <c r="CZ74" s="36">
        <v>119600000</v>
      </c>
      <c r="DA74" s="36">
        <v>79900000</v>
      </c>
      <c r="DB74" s="36">
        <v>65000000</v>
      </c>
      <c r="DC74" s="36">
        <v>105400000</v>
      </c>
      <c r="DD74" s="36">
        <v>101800000</v>
      </c>
      <c r="DE74" s="36">
        <v>71000000</v>
      </c>
      <c r="DF74" s="36">
        <v>111100000</v>
      </c>
      <c r="DG74" s="36">
        <v>86600000</v>
      </c>
      <c r="DH74" s="36">
        <v>60100000</v>
      </c>
      <c r="DI74" s="36">
        <v>116900000</v>
      </c>
      <c r="DJ74" s="36">
        <v>113700000</v>
      </c>
      <c r="DK74" s="36">
        <v>89600000</v>
      </c>
      <c r="DL74" s="36">
        <v>65200000</v>
      </c>
      <c r="DM74" s="36">
        <v>84600000</v>
      </c>
      <c r="DN74" s="36">
        <v>84800000</v>
      </c>
      <c r="DO74" s="36">
        <v>65700000</v>
      </c>
      <c r="DP74" s="36">
        <v>45600000</v>
      </c>
      <c r="DQ74" s="36">
        <v>85200000</v>
      </c>
      <c r="DR74" s="36">
        <v>90400000</v>
      </c>
      <c r="DS74" s="36">
        <v>69800000</v>
      </c>
      <c r="DT74" s="36">
        <v>52400000</v>
      </c>
      <c r="DU74" s="36">
        <v>91200000</v>
      </c>
      <c r="DV74" s="36">
        <v>86900000</v>
      </c>
      <c r="DW74" s="36">
        <v>70600000</v>
      </c>
      <c r="DX74" s="36">
        <v>55700000</v>
      </c>
      <c r="DY74" s="36">
        <v>87500000</v>
      </c>
      <c r="DZ74" s="36">
        <v>77700000</v>
      </c>
      <c r="EA74" s="36">
        <v>79200000</v>
      </c>
    </row>
    <row r="75" spans="1:131">
      <c r="A75" t="s">
        <v>206</v>
      </c>
      <c r="B75" s="36">
        <v>56842000</v>
      </c>
      <c r="C75" s="36">
        <v>56829000</v>
      </c>
      <c r="D75" s="36">
        <v>56828000</v>
      </c>
      <c r="E75" s="36">
        <v>56706000</v>
      </c>
      <c r="F75" s="36">
        <v>56706000</v>
      </c>
      <c r="G75" s="36">
        <v>56707000</v>
      </c>
      <c r="H75" s="36">
        <v>56703000</v>
      </c>
      <c r="I75" s="36">
        <v>56666000</v>
      </c>
      <c r="J75" s="36">
        <v>56596000</v>
      </c>
      <c r="K75" s="36">
        <v>56597000</v>
      </c>
      <c r="L75" s="36">
        <v>56587000</v>
      </c>
      <c r="M75" s="36">
        <v>56564000</v>
      </c>
      <c r="N75" s="36">
        <v>56441000</v>
      </c>
      <c r="O75" s="36">
        <v>56441000</v>
      </c>
      <c r="P75" s="36">
        <v>56416000</v>
      </c>
      <c r="Q75" s="36">
        <v>56358792</v>
      </c>
      <c r="R75" s="36">
        <v>56238000</v>
      </c>
      <c r="S75" s="36">
        <v>56240000</v>
      </c>
      <c r="T75" s="36">
        <v>56236000</v>
      </c>
      <c r="U75" s="36">
        <v>56200555</v>
      </c>
      <c r="V75" s="36">
        <v>56091000</v>
      </c>
      <c r="W75" s="36">
        <v>56072000</v>
      </c>
      <c r="X75" s="36">
        <v>56069000</v>
      </c>
      <c r="Y75" s="36">
        <v>56018000</v>
      </c>
      <c r="Z75" s="36">
        <v>56008000</v>
      </c>
      <c r="AA75" s="36">
        <v>56008000</v>
      </c>
      <c r="AB75" s="36">
        <v>55952000</v>
      </c>
      <c r="AC75" s="36">
        <v>55828000</v>
      </c>
      <c r="AD75" s="36">
        <v>55863000</v>
      </c>
      <c r="AE75" s="36">
        <v>55859000</v>
      </c>
      <c r="AF75" s="36">
        <v>55835000</v>
      </c>
      <c r="AG75" s="36">
        <v>55716000</v>
      </c>
      <c r="AH75" s="36">
        <v>55714000</v>
      </c>
      <c r="AI75" s="36">
        <v>55713000</v>
      </c>
      <c r="AJ75" s="36">
        <v>55712000</v>
      </c>
      <c r="AK75" s="36">
        <v>55618000</v>
      </c>
      <c r="AL75" s="36">
        <v>55519000</v>
      </c>
      <c r="AM75" s="36">
        <v>55517000</v>
      </c>
      <c r="AN75" s="36">
        <v>55424000</v>
      </c>
      <c r="AO75" s="36">
        <v>55346000</v>
      </c>
      <c r="AP75" s="36">
        <v>55346000</v>
      </c>
      <c r="AQ75" s="36">
        <v>55346000</v>
      </c>
      <c r="AR75" s="36">
        <v>55346000</v>
      </c>
      <c r="AS75" s="36">
        <v>55334000</v>
      </c>
      <c r="AT75" s="36">
        <v>55331000</v>
      </c>
      <c r="AU75" s="36">
        <v>55324000</v>
      </c>
      <c r="AV75" s="36">
        <v>55324000</v>
      </c>
      <c r="AW75" s="36">
        <v>55234000</v>
      </c>
      <c r="AX75" s="36">
        <v>55207944</v>
      </c>
      <c r="AY75" s="36">
        <v>55207000</v>
      </c>
      <c r="AZ75" s="36">
        <v>55190761</v>
      </c>
      <c r="BA75" s="36">
        <v>55129378</v>
      </c>
      <c r="BB75" s="36">
        <v>55064000</v>
      </c>
      <c r="BC75" s="36">
        <v>55049000</v>
      </c>
      <c r="BD75" s="36">
        <v>54361000</v>
      </c>
      <c r="BE75" s="36">
        <v>54248000</v>
      </c>
      <c r="BF75" s="36">
        <v>54227529</v>
      </c>
      <c r="BG75" s="36">
        <v>54215000</v>
      </c>
      <c r="BH75" s="36">
        <v>54204000</v>
      </c>
      <c r="BI75" s="36">
        <v>54092000</v>
      </c>
      <c r="BJ75" s="36">
        <v>54066000</v>
      </c>
      <c r="BK75" s="36">
        <v>53920000</v>
      </c>
      <c r="BL75" s="36">
        <v>53908000</v>
      </c>
      <c r="BM75" s="36">
        <v>53797000</v>
      </c>
      <c r="BN75" s="36">
        <v>53763000</v>
      </c>
      <c r="BO75" s="36">
        <v>53686000</v>
      </c>
      <c r="BP75" s="36">
        <v>53542000</v>
      </c>
      <c r="BQ75" s="36">
        <v>53480000</v>
      </c>
      <c r="BR75" s="36">
        <v>53479000</v>
      </c>
      <c r="BS75" s="36">
        <v>50937000</v>
      </c>
      <c r="BT75" s="36">
        <v>50713000</v>
      </c>
      <c r="BU75" s="36">
        <v>50673000</v>
      </c>
      <c r="BV75" s="36">
        <v>50631000</v>
      </c>
      <c r="BW75" s="36">
        <v>50629000</v>
      </c>
      <c r="BX75" s="36">
        <v>50604000</v>
      </c>
      <c r="BY75" s="36">
        <v>50549000</v>
      </c>
      <c r="BZ75" s="36">
        <v>50549000</v>
      </c>
      <c r="CA75" s="36">
        <v>50514000</v>
      </c>
      <c r="CB75" s="36">
        <v>50514000</v>
      </c>
      <c r="CC75" s="36">
        <v>50514000</v>
      </c>
      <c r="CD75" s="36">
        <v>50514000</v>
      </c>
      <c r="CE75" s="36">
        <v>50614000</v>
      </c>
      <c r="CF75" s="36">
        <v>50804000</v>
      </c>
      <c r="CG75" s="36">
        <v>50813000</v>
      </c>
      <c r="CH75" s="36">
        <v>51400000</v>
      </c>
      <c r="CI75" s="36">
        <v>51573000</v>
      </c>
      <c r="CJ75" s="36">
        <v>51573000</v>
      </c>
      <c r="CK75" s="36">
        <v>51798000</v>
      </c>
      <c r="CL75" s="36">
        <v>51980000</v>
      </c>
      <c r="CM75" s="36">
        <v>51980000</v>
      </c>
      <c r="CN75" s="36">
        <v>51980000</v>
      </c>
      <c r="CO75" s="36">
        <v>51980000</v>
      </c>
      <c r="CP75" s="36">
        <v>52125000</v>
      </c>
      <c r="CQ75" s="36">
        <v>52230000</v>
      </c>
      <c r="CR75" s="36">
        <v>52268000</v>
      </c>
      <c r="CS75" s="36">
        <v>52403000</v>
      </c>
      <c r="CT75" s="36">
        <v>45920000</v>
      </c>
      <c r="CU75" s="36">
        <v>45920000</v>
      </c>
      <c r="CV75" s="36">
        <v>45920000</v>
      </c>
      <c r="CW75" s="36">
        <v>45920000</v>
      </c>
      <c r="CX75" s="36">
        <v>46102000</v>
      </c>
      <c r="CY75" s="36">
        <v>45920000</v>
      </c>
      <c r="CZ75" s="36">
        <v>45920000</v>
      </c>
      <c r="DA75" s="36">
        <v>45920000</v>
      </c>
      <c r="DB75" s="36">
        <v>45930000</v>
      </c>
      <c r="DC75" s="36">
        <v>44586000</v>
      </c>
      <c r="DD75" s="36">
        <v>44480000</v>
      </c>
      <c r="DE75" s="36">
        <v>44480000</v>
      </c>
      <c r="DF75" s="36">
        <v>44480000</v>
      </c>
      <c r="DG75" s="36">
        <v>44480000</v>
      </c>
      <c r="DH75" s="36">
        <v>44480000</v>
      </c>
      <c r="DI75" s="36">
        <v>44502000</v>
      </c>
      <c r="DJ75" s="36">
        <v>44480000</v>
      </c>
      <c r="DK75" s="36">
        <v>44480000</v>
      </c>
      <c r="DL75" s="36">
        <v>44480000</v>
      </c>
      <c r="DM75" s="36">
        <v>42324000</v>
      </c>
      <c r="DN75" s="36">
        <v>42324000</v>
      </c>
      <c r="DO75" s="36">
        <v>42324000</v>
      </c>
      <c r="DP75" s="36">
        <v>42324000</v>
      </c>
      <c r="DQ75" s="36">
        <v>42324000</v>
      </c>
      <c r="DR75" s="36">
        <v>42324000</v>
      </c>
      <c r="DS75" s="36">
        <v>42324000</v>
      </c>
      <c r="DT75" s="36">
        <v>42324000</v>
      </c>
      <c r="DU75" s="36">
        <v>42324000</v>
      </c>
      <c r="DV75" s="36">
        <v>42324000</v>
      </c>
      <c r="DW75" s="36">
        <v>42324000</v>
      </c>
      <c r="DX75" s="36">
        <v>42324000</v>
      </c>
      <c r="DY75" s="36">
        <v>42324000</v>
      </c>
      <c r="DZ75" s="36">
        <v>42324000</v>
      </c>
      <c r="EA75" s="36">
        <v>42324000</v>
      </c>
    </row>
    <row r="76" spans="1:131">
      <c r="A76" t="s">
        <v>207</v>
      </c>
      <c r="B76" s="36">
        <v>56842000</v>
      </c>
      <c r="C76" s="36">
        <v>56829000</v>
      </c>
      <c r="D76" s="36">
        <v>56828000</v>
      </c>
      <c r="E76" s="36">
        <v>56706000</v>
      </c>
      <c r="F76" s="36">
        <v>56706000</v>
      </c>
      <c r="G76" s="36">
        <v>56707000</v>
      </c>
      <c r="H76" s="36">
        <v>56703000</v>
      </c>
      <c r="I76" s="36">
        <v>56666000</v>
      </c>
      <c r="J76" s="36">
        <v>56596000</v>
      </c>
      <c r="K76" s="36">
        <v>56597000</v>
      </c>
      <c r="L76" s="36">
        <v>56587000</v>
      </c>
      <c r="M76" s="36">
        <v>56564000</v>
      </c>
      <c r="N76" s="36">
        <v>56441000</v>
      </c>
      <c r="O76" s="36">
        <v>56441000</v>
      </c>
      <c r="P76" s="36">
        <v>56416000</v>
      </c>
      <c r="Q76" s="36">
        <v>56358792</v>
      </c>
      <c r="R76" s="36">
        <v>56238000</v>
      </c>
      <c r="S76" s="36">
        <v>56240000</v>
      </c>
      <c r="T76" s="36">
        <v>56236000</v>
      </c>
      <c r="U76" s="36">
        <v>56200555</v>
      </c>
      <c r="V76" s="36">
        <v>56091000</v>
      </c>
      <c r="W76" s="36">
        <v>56072000</v>
      </c>
      <c r="X76" s="36">
        <v>56069000</v>
      </c>
      <c r="Y76" s="36">
        <v>56018000</v>
      </c>
      <c r="Z76" s="36">
        <v>56008000</v>
      </c>
      <c r="AA76" s="36">
        <v>56008000</v>
      </c>
      <c r="AB76" s="36">
        <v>55952000</v>
      </c>
      <c r="AC76" s="36">
        <v>55828000</v>
      </c>
      <c r="AD76" s="36">
        <v>55863000</v>
      </c>
      <c r="AE76" s="36">
        <v>55859000</v>
      </c>
      <c r="AF76" s="36">
        <v>55835000</v>
      </c>
      <c r="AG76" s="36">
        <v>55716000</v>
      </c>
      <c r="AH76" s="36">
        <v>55714000</v>
      </c>
      <c r="AI76" s="36">
        <v>55713000</v>
      </c>
      <c r="AJ76" s="36">
        <v>55712000</v>
      </c>
      <c r="AK76" s="36">
        <v>55618000</v>
      </c>
      <c r="AL76" s="36">
        <v>55519000</v>
      </c>
      <c r="AM76" s="36">
        <v>55517000</v>
      </c>
      <c r="AN76" s="36">
        <v>55424000</v>
      </c>
      <c r="AO76" s="36">
        <v>55346000</v>
      </c>
      <c r="AP76" s="36">
        <v>55346000</v>
      </c>
      <c r="AQ76" s="36">
        <v>55346000</v>
      </c>
      <c r="AR76" s="36">
        <v>55346000</v>
      </c>
      <c r="AS76" s="36">
        <v>55334000</v>
      </c>
      <c r="AT76" s="36">
        <v>55331000</v>
      </c>
      <c r="AU76" s="36">
        <v>55324000</v>
      </c>
      <c r="AV76" s="36">
        <v>55324000</v>
      </c>
      <c r="AW76" s="36">
        <v>55234000</v>
      </c>
      <c r="AX76" s="36">
        <v>55207944</v>
      </c>
      <c r="AY76" s="36">
        <v>55207000</v>
      </c>
      <c r="AZ76" s="36">
        <v>55190761</v>
      </c>
      <c r="BA76" s="36">
        <v>55129378</v>
      </c>
      <c r="BB76" s="36">
        <v>55064000</v>
      </c>
      <c r="BC76" s="36">
        <v>55049000</v>
      </c>
      <c r="BD76" s="36">
        <v>54361000</v>
      </c>
      <c r="BE76" s="36">
        <v>54248000</v>
      </c>
      <c r="BF76" s="36">
        <v>54227529</v>
      </c>
      <c r="BG76" s="36">
        <v>54215000</v>
      </c>
      <c r="BH76" s="36">
        <v>54204000</v>
      </c>
      <c r="BI76" s="36">
        <v>54092000</v>
      </c>
      <c r="BJ76" s="36">
        <v>54066000</v>
      </c>
      <c r="BK76" s="36">
        <v>53920000</v>
      </c>
      <c r="BL76" s="36">
        <v>53908000</v>
      </c>
      <c r="BM76" s="36">
        <v>53797000</v>
      </c>
      <c r="BN76" s="36">
        <v>53763000</v>
      </c>
      <c r="BO76" s="36">
        <v>53686000</v>
      </c>
      <c r="BP76" s="36">
        <v>53542000</v>
      </c>
      <c r="BQ76" s="36">
        <v>53480000</v>
      </c>
      <c r="BR76" s="36">
        <v>53479000</v>
      </c>
      <c r="BS76" s="36">
        <v>50937000</v>
      </c>
      <c r="BT76" s="36">
        <v>50713000</v>
      </c>
      <c r="BU76" s="36">
        <v>50673000</v>
      </c>
      <c r="BV76" s="36">
        <v>50631000</v>
      </c>
      <c r="BW76" s="36">
        <v>50629000</v>
      </c>
      <c r="BX76" s="36">
        <v>50604000</v>
      </c>
      <c r="BY76" s="36">
        <v>50549000</v>
      </c>
      <c r="BZ76" s="36">
        <v>50549000</v>
      </c>
      <c r="CA76" s="36">
        <v>50514000</v>
      </c>
      <c r="CB76" s="36">
        <v>50514000</v>
      </c>
      <c r="CC76" s="36">
        <v>50514000</v>
      </c>
      <c r="CD76" s="36">
        <v>50514000</v>
      </c>
      <c r="CE76" s="36">
        <v>50614000</v>
      </c>
      <c r="CF76" s="36">
        <v>50804000</v>
      </c>
      <c r="CG76" s="36">
        <v>50813000</v>
      </c>
      <c r="CH76" s="36">
        <v>51400000</v>
      </c>
      <c r="CI76" s="36">
        <v>51573000</v>
      </c>
      <c r="CJ76" s="36">
        <v>51573000</v>
      </c>
      <c r="CK76" s="36">
        <v>51798000</v>
      </c>
      <c r="CL76" s="36">
        <v>51980000</v>
      </c>
      <c r="CM76" s="36">
        <v>51980000</v>
      </c>
      <c r="CN76" s="36">
        <v>51980000</v>
      </c>
      <c r="CO76" s="36">
        <v>51980000</v>
      </c>
      <c r="CP76" s="36">
        <v>52125000</v>
      </c>
      <c r="CQ76" s="36">
        <v>52230000</v>
      </c>
      <c r="CR76" s="36">
        <v>52268000</v>
      </c>
      <c r="CS76" s="36">
        <v>52403000</v>
      </c>
      <c r="CT76" s="36">
        <v>45920000</v>
      </c>
      <c r="CU76" s="36">
        <v>45920000</v>
      </c>
      <c r="CV76" s="36">
        <v>45920000</v>
      </c>
      <c r="CW76" s="36">
        <v>45920000</v>
      </c>
      <c r="CX76" s="36">
        <v>46102000</v>
      </c>
      <c r="CY76" s="36">
        <v>45920000</v>
      </c>
      <c r="CZ76" s="36">
        <v>45920000</v>
      </c>
      <c r="DA76" s="36">
        <v>45920000</v>
      </c>
      <c r="DB76" s="36">
        <v>45930000</v>
      </c>
      <c r="DC76" s="36">
        <v>44586000</v>
      </c>
      <c r="DD76" s="36">
        <v>44480000</v>
      </c>
      <c r="DE76" s="36">
        <v>44480000</v>
      </c>
      <c r="DF76" s="36">
        <v>44480000</v>
      </c>
      <c r="DG76" s="36">
        <v>44480000</v>
      </c>
      <c r="DH76" s="36">
        <v>44480000</v>
      </c>
      <c r="DI76" s="36">
        <v>44502000</v>
      </c>
      <c r="DJ76" s="36">
        <v>44480000</v>
      </c>
      <c r="DK76" s="36">
        <v>44480000</v>
      </c>
      <c r="DL76" s="36">
        <v>44480000</v>
      </c>
      <c r="DM76" s="36">
        <v>42324000</v>
      </c>
      <c r="DN76" s="36">
        <v>42324000</v>
      </c>
      <c r="DO76" s="36">
        <v>42324000</v>
      </c>
      <c r="DP76" s="36">
        <v>42324000</v>
      </c>
      <c r="DQ76" s="36">
        <v>42324000</v>
      </c>
      <c r="DR76" s="36">
        <v>42324000</v>
      </c>
      <c r="DS76" s="36">
        <v>42324000</v>
      </c>
      <c r="DT76" s="36">
        <v>42324000</v>
      </c>
      <c r="DU76" s="36">
        <v>42324000</v>
      </c>
      <c r="DV76" s="36">
        <v>42324000</v>
      </c>
      <c r="DW76" s="36">
        <v>42324000</v>
      </c>
      <c r="DX76" s="36">
        <v>42324000</v>
      </c>
      <c r="DY76" s="36">
        <v>42324000</v>
      </c>
      <c r="DZ76" s="36">
        <v>42324000</v>
      </c>
      <c r="EA76" s="36">
        <v>42324000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Historical Analysis</vt:lpstr>
      <vt:lpstr>Projections</vt:lpstr>
      <vt:lpstr>Trans, S&amp;U, Proforma BS</vt:lpstr>
      <vt:lpstr>Corporate Valuation</vt:lpstr>
      <vt:lpstr>Income Stat Yahoo Input</vt:lpstr>
      <vt:lpstr>Balance Sheet Yahoo Input</vt:lpstr>
      <vt:lpstr>Cash Flow Yahoo Input</vt:lpstr>
      <vt:lpstr>BS Quarterly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2020-10-05T00:37:32Z</dcterms:created>
  <dcterms:modified xsi:type="dcterms:W3CDTF">2022-03-31T21:33:13Z</dcterms:modified>
</cp:coreProperties>
</file>