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760" windowHeight="7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'Sheet1'!$B$1:$Y$122</definedName>
  </definedNames>
  <calcPr fullCalcOnLoad="1"/>
</workbook>
</file>

<file path=xl/sharedStrings.xml><?xml version="1.0" encoding="utf-8"?>
<sst xmlns="http://schemas.openxmlformats.org/spreadsheetml/2006/main" count="184" uniqueCount="127">
  <si>
    <t>B</t>
  </si>
  <si>
    <t>C</t>
  </si>
  <si>
    <t>D</t>
  </si>
  <si>
    <t>E</t>
  </si>
  <si>
    <t>F</t>
  </si>
  <si>
    <t>G</t>
  </si>
  <si>
    <t>H</t>
  </si>
  <si>
    <t>K</t>
  </si>
  <si>
    <t>N</t>
  </si>
  <si>
    <t>O</t>
  </si>
  <si>
    <t>P</t>
  </si>
  <si>
    <t>BOND PRICING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</si>
  <si>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</si>
  <si>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</si>
  <si>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</si>
  <si>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</si>
  <si>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</si>
  <si>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</si>
  <si>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</si>
  <si>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</si>
  <si>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</si>
  <si>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</si>
  <si>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</si>
  <si>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</si>
  <si>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</si>
  <si>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</si>
  <si>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</si>
  <si>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</si>
  <si>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</si>
  <si>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</si>
  <si>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</si>
  <si>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</si>
  <si>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</si>
  <si>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</si>
  <si>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</si>
  <si>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</si>
  <si>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</si>
  <si>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</si>
  <si>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</si>
  <si>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</si>
  <si>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</si>
  <si>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</si>
  <si>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</si>
  <si>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</si>
  <si>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</si>
  <si>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</si>
  <si>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</si>
  <si>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</si>
  <si>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</si>
  <si>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Q</t>
  </si>
  <si>
    <t>YIELD TO MATURITY</t>
  </si>
  <si>
    <t>YIELD TO CALL Vs YIELD TO MATURITY</t>
  </si>
  <si>
    <t>YTC</t>
  </si>
  <si>
    <t>YTM</t>
  </si>
  <si>
    <t>Maturity Date / Call Date=</t>
  </si>
  <si>
    <t>Bond Pricing=</t>
  </si>
  <si>
    <t>Redemption Value=</t>
  </si>
  <si>
    <t>Coupon Pmt =</t>
  </si>
  <si>
    <t>Coupon pmts per yr=</t>
  </si>
  <si>
    <t>Number of semiannual</t>
  </si>
  <si>
    <t>periods</t>
  </si>
  <si>
    <t>Call Provision</t>
  </si>
  <si>
    <t>=YIELD(D84,D85,D86,D87,D88,D89)</t>
  </si>
  <si>
    <t>Final Payment</t>
  </si>
  <si>
    <t>Price</t>
  </si>
  <si>
    <t>=YIELD(M85,M86,M87,M92/10,M91/10,2)</t>
  </si>
  <si>
    <t>Int.Rate =</t>
  </si>
  <si>
    <t>Time  until</t>
  </si>
  <si>
    <t>%</t>
  </si>
  <si>
    <t>Duration</t>
  </si>
  <si>
    <t>Payments</t>
  </si>
  <si>
    <t>Weight</t>
  </si>
  <si>
    <t>R</t>
  </si>
  <si>
    <t>Sensitivity to interest rate movements</t>
  </si>
  <si>
    <t>DURATION AND CONVEXITY FORMULAS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</si>
  <si>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</si>
  <si>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</si>
  <si>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</si>
  <si>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</si>
  <si>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</si>
  <si>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</si>
  <si>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</si>
  <si>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</si>
  <si>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</si>
  <si>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</si>
  <si>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</si>
  <si>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</si>
  <si>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</si>
  <si>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</si>
  <si>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</si>
  <si>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</si>
  <si>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</si>
  <si>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Cash Flow</t>
  </si>
  <si>
    <t>PV Cash Flow</t>
  </si>
  <si>
    <t>Convexity
 Calc</t>
  </si>
  <si>
    <t>Total</t>
  </si>
  <si>
    <t>Weighted</t>
  </si>
  <si>
    <t>Duration Calc
Method 1</t>
  </si>
  <si>
    <t>Duration Calc
Method 2</t>
  </si>
  <si>
    <t>PV of pv(CF)</t>
  </si>
  <si>
    <t>Factor years</t>
  </si>
  <si>
    <t>S</t>
  </si>
  <si>
    <t>IRR=</t>
  </si>
  <si>
    <t>PRICE</t>
  </si>
  <si>
    <t xml:space="preserve"> DURATION</t>
  </si>
  <si>
    <t>CONVEXITY</t>
  </si>
  <si>
    <t>T</t>
  </si>
  <si>
    <t>Coup. Rate=</t>
  </si>
  <si>
    <t>t + t^2</t>
  </si>
  <si>
    <t>PV of CF</t>
  </si>
  <si>
    <t>CF</t>
  </si>
  <si>
    <t>Convexity =</t>
  </si>
  <si>
    <t>Duration=</t>
  </si>
  <si>
    <t>Price=</t>
  </si>
  <si>
    <t>PRICE, ANNUAL DURATION AND CONVEXITY</t>
  </si>
  <si>
    <t>MACAULAY SEMI-ANNUAL DURATION AND CONVEXITY</t>
  </si>
  <si>
    <t>YTM=</t>
  </si>
  <si>
    <t>YTC=</t>
  </si>
  <si>
    <t>YTW=</t>
  </si>
  <si>
    <t>VALUING BONDS - MARKET PRICE/INVOICE PRICE</t>
  </si>
  <si>
    <t xml:space="preserve">Market Price = </t>
  </si>
  <si>
    <t>I</t>
  </si>
  <si>
    <t>J</t>
  </si>
  <si>
    <t>Face Value =</t>
  </si>
  <si>
    <t>Frequency =</t>
  </si>
  <si>
    <t>(t+t^2) x PV(CF)</t>
  </si>
  <si>
    <t>BOND VALUATION &amp; ANALYSIS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</si>
</sst>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  <numFmt numFmtId="175" formatCode="0.0"/>
    <numFmt numFmtId="176" formatCode="_(* #,##0.000_);_(* \(#,##0.000\);_(* &quot;-&quot;??_);_(@_)"/>
    <numFmt numFmtId="177" formatCode="_(* #,##0.0_);_(* \(#,##0.0\);_(* &quot;-&quot;??_);_(@_)"/>
  </numFmts>
  <fonts count="5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4" fontId="0" fillId="0" borderId="0" xfId="44" applyFont="1" applyAlignment="1">
      <alignment/>
    </xf>
    <xf numFmtId="10" fontId="0" fillId="0" borderId="0" xfId="60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60" applyNumberFormat="1" applyFont="1" applyAlignment="1">
      <alignment/>
    </xf>
    <xf numFmtId="8" fontId="0" fillId="0" borderId="0" xfId="0" applyNumberFormat="1" applyAlignment="1" quotePrefix="1">
      <alignment/>
    </xf>
    <xf numFmtId="8" fontId="1" fillId="0" borderId="0" xfId="0" applyNumberFormat="1" applyFont="1" applyAlignment="1" quotePrefix="1">
      <alignment/>
    </xf>
    <xf numFmtId="8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 quotePrefix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4" fontId="2" fillId="0" borderId="20" xfId="44" applyFont="1" applyBorder="1" applyAlignment="1">
      <alignment/>
    </xf>
    <xf numFmtId="0" fontId="0" fillId="0" borderId="21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22" xfId="0" applyNumberFormat="1" applyBorder="1" applyAlignment="1">
      <alignment/>
    </xf>
    <xf numFmtId="14" fontId="0" fillId="0" borderId="0" xfId="0" applyNumberFormat="1" applyFont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0" fontId="2" fillId="34" borderId="14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0" fillId="0" borderId="0" xfId="44" applyFont="1" applyAlignment="1">
      <alignment horizontal="center"/>
    </xf>
    <xf numFmtId="43" fontId="0" fillId="0" borderId="0" xfId="42" applyFont="1" applyAlignment="1">
      <alignment/>
    </xf>
    <xf numFmtId="164" fontId="0" fillId="0" borderId="0" xfId="60" applyNumberFormat="1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23" xfId="60" applyNumberFormat="1" applyFont="1" applyBorder="1" applyAlignment="1">
      <alignment/>
    </xf>
    <xf numFmtId="164" fontId="0" fillId="0" borderId="14" xfId="60" applyNumberFormat="1" applyFont="1" applyBorder="1" applyAlignment="1">
      <alignment/>
    </xf>
    <xf numFmtId="0" fontId="4" fillId="0" borderId="0" xfId="0" applyFont="1" applyAlignment="1">
      <alignment/>
    </xf>
    <xf numFmtId="8" fontId="5" fillId="0" borderId="0" xfId="57" applyNumberFormat="1" applyFont="1" applyAlignment="1" quotePrefix="1">
      <alignment/>
      <protection/>
    </xf>
    <xf numFmtId="0" fontId="6" fillId="0" borderId="0" xfId="57">
      <alignment/>
      <protection/>
    </xf>
    <xf numFmtId="8" fontId="6" fillId="0" borderId="0" xfId="57" applyNumberFormat="1" applyFont="1" quotePrefix="1">
      <alignment/>
      <protection/>
    </xf>
    <xf numFmtId="0" fontId="7" fillId="0" borderId="11" xfId="57" applyFont="1" applyBorder="1">
      <alignment/>
      <protection/>
    </xf>
    <xf numFmtId="10" fontId="8" fillId="0" borderId="11" xfId="57" applyNumberFormat="1" applyFont="1" applyBorder="1" applyProtection="1">
      <alignment/>
      <protection locked="0"/>
    </xf>
    <xf numFmtId="168" fontId="8" fillId="0" borderId="0" xfId="42" applyNumberFormat="1" applyFont="1" applyAlignment="1" applyProtection="1">
      <alignment/>
      <protection locked="0"/>
    </xf>
    <xf numFmtId="0" fontId="9" fillId="0" borderId="0" xfId="57" applyFont="1" applyAlignment="1" applyProtection="1">
      <alignment/>
      <protection locked="0"/>
    </xf>
    <xf numFmtId="4" fontId="6" fillId="0" borderId="0" xfId="42" applyNumberFormat="1" applyFont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8" fillId="0" borderId="0" xfId="57" applyNumberFormat="1" applyFont="1" applyProtection="1">
      <alignment/>
      <protection locked="0"/>
    </xf>
    <xf numFmtId="9" fontId="9" fillId="0" borderId="0" xfId="57" applyNumberFormat="1" applyFont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57" applyFont="1" applyProtection="1">
      <alignment/>
      <protection locked="0"/>
    </xf>
    <xf numFmtId="4" fontId="6" fillId="0" borderId="11" xfId="42" applyNumberFormat="1" applyFont="1" applyBorder="1" applyAlignment="1" quotePrefix="1">
      <alignment/>
    </xf>
    <xf numFmtId="4" fontId="5" fillId="0" borderId="11" xfId="42" applyNumberFormat="1" applyFont="1" applyBorder="1" applyAlignment="1" quotePrefix="1">
      <alignment/>
    </xf>
    <xf numFmtId="4" fontId="6" fillId="0" borderId="0" xfId="57" applyNumberFormat="1" applyFont="1" quotePrefix="1">
      <alignment/>
      <protection/>
    </xf>
    <xf numFmtId="4" fontId="5" fillId="0" borderId="0" xfId="57" applyNumberFormat="1" applyFont="1" quotePrefix="1">
      <alignment/>
      <protection/>
    </xf>
    <xf numFmtId="0" fontId="5" fillId="0" borderId="0" xfId="57" applyFont="1" applyAlignment="1">
      <alignment/>
      <protection/>
    </xf>
    <xf numFmtId="0" fontId="5" fillId="0" borderId="0" xfId="57" applyFont="1">
      <alignment/>
      <protection/>
    </xf>
    <xf numFmtId="43" fontId="6" fillId="0" borderId="0" xfId="42" applyFont="1" applyAlignment="1" quotePrefix="1">
      <alignment/>
    </xf>
    <xf numFmtId="8" fontId="6" fillId="0" borderId="11" xfId="57" applyNumberFormat="1" applyFont="1" applyBorder="1" quotePrefix="1">
      <alignment/>
      <protection/>
    </xf>
    <xf numFmtId="0" fontId="7" fillId="34" borderId="13" xfId="57" applyFont="1" applyFill="1" applyBorder="1" applyAlignment="1">
      <alignment horizontal="center" wrapText="1"/>
      <protection/>
    </xf>
    <xf numFmtId="0" fontId="7" fillId="34" borderId="14" xfId="57" applyFont="1" applyFill="1" applyBorder="1" applyAlignment="1">
      <alignment horizontal="center" wrapText="1"/>
      <protection/>
    </xf>
    <xf numFmtId="0" fontId="6" fillId="0" borderId="0" xfId="57" applyAlignment="1">
      <alignment horizontal="center"/>
      <protection/>
    </xf>
    <xf numFmtId="8" fontId="6" fillId="0" borderId="22" xfId="42" applyNumberFormat="1" applyFont="1" applyBorder="1" applyAlignment="1">
      <alignment/>
    </xf>
    <xf numFmtId="43" fontId="6" fillId="0" borderId="0" xfId="42" applyFont="1" applyAlignment="1">
      <alignment/>
    </xf>
    <xf numFmtId="43" fontId="6" fillId="0" borderId="22" xfId="42" applyFont="1" applyBorder="1" applyAlignment="1">
      <alignment/>
    </xf>
    <xf numFmtId="43" fontId="5" fillId="0" borderId="0" xfId="42" applyFont="1" applyAlignment="1" quotePrefix="1">
      <alignment/>
    </xf>
    <xf numFmtId="43" fontId="6" fillId="0" borderId="0" xfId="57" applyNumberFormat="1">
      <alignment/>
      <protection/>
    </xf>
    <xf numFmtId="43" fontId="5" fillId="0" borderId="0" xfId="57" applyNumberFormat="1" applyFont="1" quotePrefix="1">
      <alignment/>
      <protection/>
    </xf>
    <xf numFmtId="0" fontId="10" fillId="0" borderId="0" xfId="57" applyFont="1">
      <alignment/>
      <protection/>
    </xf>
    <xf numFmtId="0" fontId="6" fillId="0" borderId="11" xfId="57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43" fontId="7" fillId="0" borderId="0" xfId="42" applyFont="1" applyAlignment="1">
      <alignment horizontal="right"/>
    </xf>
    <xf numFmtId="8" fontId="11" fillId="35" borderId="0" xfId="0" applyNumberFormat="1" applyFont="1" applyFill="1" applyAlignment="1" quotePrefix="1">
      <alignment/>
    </xf>
    <xf numFmtId="165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/>
    </xf>
    <xf numFmtId="164" fontId="11" fillId="0" borderId="0" xfId="60" applyNumberFormat="1" applyFont="1" applyAlignment="1" quotePrefix="1">
      <alignment/>
    </xf>
    <xf numFmtId="0" fontId="12" fillId="0" borderId="0" xfId="0" applyFont="1" applyAlignment="1">
      <alignment/>
    </xf>
    <xf numFmtId="166" fontId="11" fillId="0" borderId="0" xfId="60" applyNumberFormat="1" applyFont="1" applyBorder="1" applyAlignment="1" quotePrefix="1">
      <alignment/>
    </xf>
    <xf numFmtId="0" fontId="6" fillId="0" borderId="0" xfId="57" applyFont="1">
      <alignment/>
      <protection/>
    </xf>
    <xf numFmtId="43" fontId="6" fillId="0" borderId="0" xfId="57" applyNumberFormat="1" applyFont="1">
      <alignment/>
      <protection/>
    </xf>
    <xf numFmtId="0" fontId="7" fillId="34" borderId="23" xfId="57" applyFont="1" applyFill="1" applyBorder="1" applyAlignment="1">
      <alignment horizontal="center" wrapText="1"/>
      <protection/>
    </xf>
    <xf numFmtId="0" fontId="6" fillId="0" borderId="27" xfId="57" applyBorder="1">
      <alignment/>
      <protection/>
    </xf>
    <xf numFmtId="43" fontId="6" fillId="0" borderId="27" xfId="57" applyNumberFormat="1" applyBorder="1">
      <alignment/>
      <protection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43" fontId="6" fillId="0" borderId="11" xfId="57" applyNumberFormat="1" applyFont="1" applyBorder="1">
      <alignment/>
      <protection/>
    </xf>
    <xf numFmtId="0" fontId="0" fillId="0" borderId="0" xfId="0" applyFont="1" applyAlignment="1">
      <alignment/>
    </xf>
    <xf numFmtId="8" fontId="5" fillId="0" borderId="0" xfId="57" applyNumberFormat="1" applyFont="1" quotePrefix="1">
      <alignment/>
      <protection/>
    </xf>
    <xf numFmtId="8" fontId="5" fillId="0" borderId="11" xfId="57" applyNumberFormat="1" applyFont="1" applyBorder="1" quotePrefix="1">
      <alignment/>
      <protection/>
    </xf>
    <xf numFmtId="4" fontId="10" fillId="0" borderId="0" xfId="42" applyNumberFormat="1" applyFont="1" applyAlignment="1" quotePrefix="1">
      <alignment/>
    </xf>
    <xf numFmtId="10" fontId="6" fillId="0" borderId="0" xfId="60" applyNumberFormat="1" applyFont="1" applyAlignment="1" quotePrefix="1">
      <alignment/>
    </xf>
    <xf numFmtId="0" fontId="2" fillId="34" borderId="0" xfId="0" applyFont="1" applyFill="1" applyAlignment="1" quotePrefix="1">
      <alignment horizontal="right"/>
    </xf>
    <xf numFmtId="166" fontId="2" fillId="34" borderId="0" xfId="0" applyNumberFormat="1" applyFont="1" applyFill="1" applyAlignment="1">
      <alignment/>
    </xf>
    <xf numFmtId="164" fontId="0" fillId="0" borderId="0" xfId="60" applyNumberFormat="1" applyFont="1" applyAlignment="1">
      <alignment horizontal="center"/>
    </xf>
    <xf numFmtId="43" fontId="6" fillId="36" borderId="27" xfId="57" applyNumberFormat="1" applyFont="1" applyFill="1" applyBorder="1" quotePrefix="1">
      <alignment/>
      <protection/>
    </xf>
    <xf numFmtId="43" fontId="6" fillId="36" borderId="27" xfId="57" applyNumberFormat="1" applyFill="1" applyBorder="1">
      <alignment/>
      <protection/>
    </xf>
    <xf numFmtId="43" fontId="6" fillId="36" borderId="29" xfId="57" applyNumberFormat="1" applyFill="1" applyBorder="1">
      <alignment/>
      <protection/>
    </xf>
    <xf numFmtId="168" fontId="5" fillId="0" borderId="0" xfId="42" applyNumberFormat="1" applyFont="1" applyAlignment="1" applyProtection="1">
      <alignment/>
      <protection locked="0"/>
    </xf>
    <xf numFmtId="8" fontId="5" fillId="0" borderId="0" xfId="42" applyNumberFormat="1" applyFont="1" applyAlignment="1" applyProtection="1">
      <alignment/>
      <protection locked="0"/>
    </xf>
    <xf numFmtId="0" fontId="2" fillId="36" borderId="23" xfId="0" applyFont="1" applyFill="1" applyBorder="1" applyAlignment="1">
      <alignment horizontal="right"/>
    </xf>
    <xf numFmtId="0" fontId="2" fillId="36" borderId="23" xfId="0" applyFont="1" applyFill="1" applyBorder="1" applyAlignment="1">
      <alignment/>
    </xf>
    <xf numFmtId="167" fontId="2" fillId="37" borderId="23" xfId="0" applyNumberFormat="1" applyFont="1" applyFill="1" applyBorder="1" applyAlignment="1">
      <alignment/>
    </xf>
    <xf numFmtId="165" fontId="2" fillId="37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0" fontId="0" fillId="0" borderId="30" xfId="0" applyNumberForma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5" fontId="2" fillId="37" borderId="23" xfId="0" applyNumberFormat="1" applyFont="1" applyFill="1" applyBorder="1" applyAlignment="1">
      <alignment horizontal="center"/>
    </xf>
    <xf numFmtId="0" fontId="2" fillId="34" borderId="16" xfId="0" applyFont="1" applyFill="1" applyBorder="1" applyAlignment="1" quotePrefix="1">
      <alignment horizontal="center"/>
    </xf>
    <xf numFmtId="166" fontId="2" fillId="37" borderId="10" xfId="60" applyNumberFormat="1" applyFont="1" applyFill="1" applyBorder="1" applyAlignment="1">
      <alignment/>
    </xf>
    <xf numFmtId="166" fontId="2" fillId="37" borderId="10" xfId="60" applyNumberFormat="1" applyFont="1" applyFill="1" applyBorder="1" applyAlignment="1" quotePrefix="1">
      <alignment/>
    </xf>
    <xf numFmtId="166" fontId="2" fillId="37" borderId="23" xfId="0" applyNumberFormat="1" applyFont="1" applyFill="1" applyBorder="1" applyAlignment="1">
      <alignment/>
    </xf>
    <xf numFmtId="165" fontId="2" fillId="37" borderId="23" xfId="0" applyNumberFormat="1" applyFont="1" applyFill="1" applyBorder="1" applyAlignment="1" quotePrefix="1">
      <alignment/>
    </xf>
    <xf numFmtId="1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76" fontId="2" fillId="0" borderId="0" xfId="42" applyNumberFormat="1" applyFont="1" applyAlignment="1">
      <alignment/>
    </xf>
    <xf numFmtId="0" fontId="15" fillId="0" borderId="0" xfId="0" applyFont="1" applyAlignment="1">
      <alignment/>
    </xf>
    <xf numFmtId="0" fontId="51" fillId="38" borderId="0" xfId="0" applyFont="1" applyFill="1" applyAlignment="1">
      <alignment/>
    </xf>
    <xf numFmtId="0" fontId="52" fillId="38" borderId="0" xfId="0" applyFont="1" applyFill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7" borderId="12" xfId="57" applyFont="1" applyFill="1" applyBorder="1">
      <alignment/>
      <protection/>
    </xf>
    <xf numFmtId="0" fontId="2" fillId="37" borderId="13" xfId="0" applyFont="1" applyFill="1" applyBorder="1" applyAlignment="1">
      <alignment/>
    </xf>
    <xf numFmtId="43" fontId="7" fillId="37" borderId="14" xfId="42" applyFont="1" applyFill="1" applyBorder="1" applyAlignment="1" quotePrefix="1">
      <alignment/>
    </xf>
    <xf numFmtId="8" fontId="7" fillId="37" borderId="14" xfId="57" applyNumberFormat="1" applyFont="1" applyFill="1" applyBorder="1" quotePrefix="1">
      <alignment/>
      <protection/>
    </xf>
    <xf numFmtId="43" fontId="7" fillId="37" borderId="23" xfId="57" applyNumberFormat="1" applyFont="1" applyFill="1" applyBorder="1">
      <alignment/>
      <protection/>
    </xf>
    <xf numFmtId="173" fontId="2" fillId="37" borderId="23" xfId="0" applyNumberFormat="1" applyFont="1" applyFill="1" applyBorder="1" applyAlignment="1">
      <alignment/>
    </xf>
    <xf numFmtId="43" fontId="7" fillId="37" borderId="23" xfId="42" applyFont="1" applyFill="1" applyBorder="1" applyAlignment="1" quotePrefix="1">
      <alignment/>
    </xf>
    <xf numFmtId="164" fontId="2" fillId="34" borderId="23" xfId="60" applyNumberFormat="1" applyFont="1" applyFill="1" applyBorder="1" applyAlignment="1" quotePrefix="1">
      <alignment/>
    </xf>
    <xf numFmtId="8" fontId="6" fillId="0" borderId="0" xfId="57" applyNumberFormat="1">
      <alignment/>
      <protection/>
    </xf>
    <xf numFmtId="43" fontId="5" fillId="0" borderId="0" xfId="42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13</xdr:row>
      <xdr:rowOff>85725</xdr:rowOff>
    </xdr:from>
    <xdr:to>
      <xdr:col>13</xdr:col>
      <xdr:colOff>561975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182225" y="2390775"/>
          <a:ext cx="19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342900</xdr:colOff>
      <xdr:row>49</xdr:row>
      <xdr:rowOff>152400</xdr:rowOff>
    </xdr:from>
    <xdr:to>
      <xdr:col>10</xdr:col>
      <xdr:colOff>390525</xdr:colOff>
      <xdr:row>57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8667750"/>
          <a:ext cx="2543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113</xdr:row>
      <xdr:rowOff>28575</xdr:rowOff>
    </xdr:from>
    <xdr:to>
      <xdr:col>3</xdr:col>
      <xdr:colOff>295275</xdr:colOff>
      <xdr:row>113</xdr:row>
      <xdr:rowOff>104775</xdr:rowOff>
    </xdr:to>
    <xdr:sp>
      <xdr:nvSpPr>
        <xdr:cNvPr id="3" name="Line 9"/>
        <xdr:cNvSpPr>
          <a:spLocks/>
        </xdr:cNvSpPr>
      </xdr:nvSpPr>
      <xdr:spPr>
        <a:xfrm flipV="1">
          <a:off x="2228850" y="20802600"/>
          <a:ext cx="257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104775</xdr:rowOff>
    </xdr:from>
    <xdr:to>
      <xdr:col>5</xdr:col>
      <xdr:colOff>295275</xdr:colOff>
      <xdr:row>113</xdr:row>
      <xdr:rowOff>104775</xdr:rowOff>
    </xdr:to>
    <xdr:sp>
      <xdr:nvSpPr>
        <xdr:cNvPr id="4" name="Line 10"/>
        <xdr:cNvSpPr>
          <a:spLocks/>
        </xdr:cNvSpPr>
      </xdr:nvSpPr>
      <xdr:spPr>
        <a:xfrm>
          <a:off x="3571875" y="20878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114300</xdr:rowOff>
    </xdr:from>
    <xdr:to>
      <xdr:col>9</xdr:col>
      <xdr:colOff>190500</xdr:colOff>
      <xdr:row>113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6734175" y="20888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41</xdr:row>
      <xdr:rowOff>171450</xdr:rowOff>
    </xdr:from>
    <xdr:to>
      <xdr:col>5</xdr:col>
      <xdr:colOff>266700</xdr:colOff>
      <xdr:row>43</xdr:row>
      <xdr:rowOff>133350</xdr:rowOff>
    </xdr:to>
    <xdr:sp>
      <xdr:nvSpPr>
        <xdr:cNvPr id="6" name="Straight Arrow Connector 16"/>
        <xdr:cNvSpPr>
          <a:spLocks/>
        </xdr:cNvSpPr>
      </xdr:nvSpPr>
      <xdr:spPr>
        <a:xfrm flipH="1">
          <a:off x="3371850" y="7286625"/>
          <a:ext cx="45720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2"/>
  <sheetViews>
    <sheetView tabSelected="1" zoomScalePageLayoutView="0" workbookViewId="0" topLeftCell="A102">
      <selection activeCell="J115" sqref="J115"/>
    </sheetView>
  </sheetViews>
  <sheetFormatPr defaultColWidth="9.140625" defaultRowHeight="12.75"/>
  <cols>
    <col min="1" max="1" width="4.28125" style="0" customWidth="1"/>
    <col min="2" max="2" width="18.28125" style="0" customWidth="1"/>
    <col min="3" max="5" width="10.28125" style="0" bestFit="1" customWidth="1"/>
    <col min="6" max="6" width="13.8515625" style="0" customWidth="1"/>
    <col min="7" max="7" width="10.7109375" style="0" customWidth="1"/>
    <col min="8" max="8" width="11.28125" style="0" bestFit="1" customWidth="1"/>
    <col min="9" max="9" width="11.7109375" style="0" customWidth="1"/>
    <col min="10" max="10" width="14.421875" style="0" customWidth="1"/>
    <col min="11" max="12" width="12.140625" style="0" customWidth="1"/>
    <col min="13" max="13" width="4.8515625" style="0" customWidth="1"/>
    <col min="14" max="14" width="11.28125" style="0" customWidth="1"/>
    <col min="15" max="15" width="12.00390625" style="0" customWidth="1"/>
    <col min="16" max="16" width="12.28125" style="0" customWidth="1"/>
    <col min="17" max="17" width="11.00390625" style="0" customWidth="1"/>
    <col min="18" max="18" width="10.8515625" style="0" customWidth="1"/>
    <col min="19" max="19" width="12.00390625" style="0" customWidth="1"/>
    <col min="20" max="20" width="14.8515625" style="0" customWidth="1"/>
    <col min="21" max="21" width="13.7109375" style="0" customWidth="1"/>
    <col min="22" max="22" width="13.8515625" style="0" customWidth="1"/>
    <col min="26" max="26" width="12.57421875" style="0" customWidth="1"/>
    <col min="27" max="27" width="13.140625" style="0" customWidth="1"/>
  </cols>
  <sheetData>
    <row r="1" ht="24" customHeight="1">
      <c r="A1" s="144" t="s">
        <v>126</v>
      </c>
    </row>
    <row r="2" ht="9.75" customHeight="1"/>
    <row r="3" spans="1:20" ht="12.75">
      <c r="A3" s="1">
        <f>ROW()</f>
        <v>3</v>
      </c>
      <c r="B3" s="134" t="s">
        <v>0</v>
      </c>
      <c r="C3" s="134" t="s">
        <v>1</v>
      </c>
      <c r="D3" s="134" t="s">
        <v>2</v>
      </c>
      <c r="E3" s="134" t="s">
        <v>3</v>
      </c>
      <c r="F3" s="134" t="s">
        <v>4</v>
      </c>
      <c r="G3" s="134" t="s">
        <v>5</v>
      </c>
      <c r="H3" s="134" t="s">
        <v>6</v>
      </c>
      <c r="I3" s="134" t="s">
        <v>121</v>
      </c>
      <c r="J3" s="134" t="s">
        <v>122</v>
      </c>
      <c r="K3" s="134" t="s">
        <v>7</v>
      </c>
      <c r="M3" s="1">
        <f>ROW()</f>
        <v>3</v>
      </c>
      <c r="N3" s="134" t="s">
        <v>8</v>
      </c>
      <c r="O3" s="134" t="s">
        <v>9</v>
      </c>
      <c r="P3" s="134" t="s">
        <v>10</v>
      </c>
      <c r="Q3" s="134" t="s">
        <v>49</v>
      </c>
      <c r="R3" s="134" t="s">
        <v>72</v>
      </c>
      <c r="S3" s="134" t="s">
        <v>101</v>
      </c>
      <c r="T3" s="134" t="s">
        <v>106</v>
      </c>
    </row>
    <row r="4" spans="1:20" ht="18">
      <c r="A4" s="1">
        <f>ROW()</f>
        <v>4</v>
      </c>
      <c r="B4" s="145" t="s">
        <v>119</v>
      </c>
      <c r="C4" s="146"/>
      <c r="D4" s="146"/>
      <c r="E4" s="146"/>
      <c r="F4" s="146"/>
      <c r="G4" s="146"/>
      <c r="H4" s="146"/>
      <c r="I4" s="146"/>
      <c r="J4" s="146"/>
      <c r="K4" s="146"/>
      <c r="M4" s="1">
        <f>ROW()</f>
        <v>4</v>
      </c>
      <c r="N4" s="145" t="s">
        <v>11</v>
      </c>
      <c r="O4" s="146"/>
      <c r="P4" s="146"/>
      <c r="Q4" s="146"/>
      <c r="R4" s="146"/>
      <c r="S4" s="146"/>
      <c r="T4" s="146"/>
    </row>
    <row r="5" spans="1:19" ht="12.75">
      <c r="A5" s="1">
        <f>ROW()</f>
        <v>5</v>
      </c>
      <c r="B5" t="s">
        <v>14</v>
      </c>
      <c r="D5" s="4">
        <f>DATE(2015,3,15)</f>
        <v>42078</v>
      </c>
      <c r="M5" s="1">
        <f>ROW()</f>
        <v>5</v>
      </c>
      <c r="N5" t="s">
        <v>12</v>
      </c>
      <c r="O5" s="2">
        <v>1000</v>
      </c>
      <c r="Q5" t="s">
        <v>13</v>
      </c>
      <c r="S5" s="3">
        <f>+O6/2</f>
        <v>0.04</v>
      </c>
    </row>
    <row r="6" spans="1:20" ht="12.75">
      <c r="A6" s="1">
        <f>ROW()</f>
        <v>6</v>
      </c>
      <c r="B6" t="s">
        <v>18</v>
      </c>
      <c r="D6" s="4">
        <f>DATE(2025,1,15)</f>
        <v>45672</v>
      </c>
      <c r="M6" s="1">
        <f>ROW()</f>
        <v>6</v>
      </c>
      <c r="N6" t="s">
        <v>15</v>
      </c>
      <c r="O6" s="5">
        <v>0.08</v>
      </c>
      <c r="Q6" t="s">
        <v>16</v>
      </c>
      <c r="S6" s="6">
        <f>+O6*$O$5/2</f>
        <v>40</v>
      </c>
      <c r="T6" t="s">
        <v>17</v>
      </c>
    </row>
    <row r="7" spans="1:20" ht="12.75">
      <c r="A7" s="1">
        <f>ROW()</f>
        <v>7</v>
      </c>
      <c r="B7" t="s">
        <v>23</v>
      </c>
      <c r="D7" s="7">
        <v>0.0425</v>
      </c>
      <c r="M7" s="1">
        <f>ROW()</f>
        <v>7</v>
      </c>
      <c r="N7" t="s">
        <v>19</v>
      </c>
      <c r="O7">
        <v>20</v>
      </c>
      <c r="P7" t="s">
        <v>20</v>
      </c>
      <c r="Q7" t="s">
        <v>21</v>
      </c>
      <c r="S7">
        <f>+O7*2</f>
        <v>40</v>
      </c>
      <c r="T7" t="s">
        <v>22</v>
      </c>
    </row>
    <row r="8" spans="1:13" ht="12.75">
      <c r="A8" s="1">
        <f>ROW()</f>
        <v>8</v>
      </c>
      <c r="B8" s="33" t="s">
        <v>24</v>
      </c>
      <c r="C8" s="33"/>
      <c r="D8" s="142">
        <v>0.0474</v>
      </c>
      <c r="M8" s="1">
        <f>ROW()</f>
        <v>8</v>
      </c>
    </row>
    <row r="9" spans="1:18" ht="12.75">
      <c r="A9" s="1">
        <f>ROW()</f>
        <v>9</v>
      </c>
      <c r="B9" t="s">
        <v>27</v>
      </c>
      <c r="D9">
        <v>100</v>
      </c>
      <c r="M9" s="1">
        <f>ROW()</f>
        <v>9</v>
      </c>
      <c r="N9" t="s">
        <v>25</v>
      </c>
      <c r="Q9" s="8">
        <f>PV(O6/2,S7,-S6)</f>
        <v>791.710955337059</v>
      </c>
      <c r="R9" s="84" t="s">
        <v>26</v>
      </c>
    </row>
    <row r="10" spans="1:18" ht="12.75">
      <c r="A10" s="1">
        <f>ROW()</f>
        <v>10</v>
      </c>
      <c r="B10" t="s">
        <v>30</v>
      </c>
      <c r="D10">
        <v>2</v>
      </c>
      <c r="M10" s="1">
        <f>ROW()</f>
        <v>10</v>
      </c>
      <c r="N10" t="s">
        <v>28</v>
      </c>
      <c r="Q10" s="8">
        <f>PV(O6/2,S7,0,-O5,0)</f>
        <v>208.28904466294102</v>
      </c>
      <c r="R10" s="84" t="s">
        <v>29</v>
      </c>
    </row>
    <row r="11" spans="1:18" ht="13.5" thickBot="1">
      <c r="A11" s="1">
        <f>ROW()</f>
        <v>11</v>
      </c>
      <c r="M11" s="1">
        <f>ROW()</f>
        <v>11</v>
      </c>
      <c r="N11" t="s">
        <v>31</v>
      </c>
      <c r="Q11" s="10">
        <f>SUM(Q9:Q10)</f>
        <v>1000</v>
      </c>
      <c r="R11" s="8"/>
    </row>
    <row r="12" spans="1:13" ht="14.25" thickBot="1" thickTop="1">
      <c r="A12" s="1">
        <f>ROW()</f>
        <v>12</v>
      </c>
      <c r="B12" s="33" t="s">
        <v>32</v>
      </c>
      <c r="C12" s="33"/>
      <c r="D12" s="140">
        <f>PRICE(D5,D6,D7,D8,D9,D10)</f>
        <v>96.17853020101003</v>
      </c>
      <c r="E12" s="85" t="s">
        <v>33</v>
      </c>
      <c r="M12" s="1">
        <f>ROW()</f>
        <v>12</v>
      </c>
    </row>
    <row r="13" spans="1:18" ht="12.75">
      <c r="A13" s="1">
        <f>ROW()</f>
        <v>13</v>
      </c>
      <c r="B13" t="s">
        <v>35</v>
      </c>
      <c r="D13" s="13">
        <f>COUPDAYBS(D5,D6,2,1)</f>
        <v>59</v>
      </c>
      <c r="E13" s="86" t="s">
        <v>36</v>
      </c>
      <c r="M13" s="1">
        <f>ROW()</f>
        <v>13</v>
      </c>
      <c r="N13" t="s">
        <v>34</v>
      </c>
      <c r="O13" s="11"/>
      <c r="P13" s="12">
        <f>NPV($O$6/2,P18:P57)</f>
        <v>999.9999999999991</v>
      </c>
      <c r="Q13" s="12">
        <f>NPV($O$6/2,Q18:Q57)</f>
        <v>0</v>
      </c>
      <c r="R13" s="12">
        <f>NPV($O$6/2,R18:R57)</f>
        <v>999.9999999999991</v>
      </c>
    </row>
    <row r="14" spans="1:18" ht="13.5" thickBot="1">
      <c r="A14" s="1">
        <f>ROW()</f>
        <v>14</v>
      </c>
      <c r="B14" t="s">
        <v>37</v>
      </c>
      <c r="D14" s="13">
        <f>COUPDAYS(D5,D6,2,1)</f>
        <v>181</v>
      </c>
      <c r="E14" s="86" t="s">
        <v>38</v>
      </c>
      <c r="M14" s="1">
        <f>ROW()</f>
        <v>14</v>
      </c>
      <c r="P14" s="9"/>
      <c r="Q14" s="14"/>
      <c r="R14" s="14"/>
    </row>
    <row r="15" spans="1:18" ht="13.5" thickBot="1">
      <c r="A15" s="1">
        <f>ROW()</f>
        <v>15</v>
      </c>
      <c r="B15" t="s">
        <v>40</v>
      </c>
      <c r="D15" s="13">
        <f>(D13/D14)*D7*100/2</f>
        <v>0.6926795580110497</v>
      </c>
      <c r="E15" s="86" t="s">
        <v>41</v>
      </c>
      <c r="M15" s="1">
        <f>ROW()</f>
        <v>15</v>
      </c>
      <c r="O15" s="15" t="s">
        <v>39</v>
      </c>
      <c r="P15" s="16"/>
      <c r="Q15" s="16"/>
      <c r="R15" s="17"/>
    </row>
    <row r="16" spans="1:18" ht="26.25" thickBot="1">
      <c r="A16" s="1">
        <f>ROW()</f>
        <v>16</v>
      </c>
      <c r="B16" s="33" t="s">
        <v>46</v>
      </c>
      <c r="C16" s="33"/>
      <c r="D16" s="140">
        <f>+D12+D15</f>
        <v>96.87120975902108</v>
      </c>
      <c r="E16" s="85" t="s">
        <v>47</v>
      </c>
      <c r="M16" s="1">
        <f>ROW()</f>
        <v>16</v>
      </c>
      <c r="O16" s="18" t="s">
        <v>42</v>
      </c>
      <c r="P16" s="19" t="s">
        <v>43</v>
      </c>
      <c r="Q16" s="19" t="s">
        <v>44</v>
      </c>
      <c r="R16" s="20" t="s">
        <v>45</v>
      </c>
    </row>
    <row r="17" spans="1:18" ht="12.75">
      <c r="A17" s="1">
        <f>ROW()</f>
        <v>17</v>
      </c>
      <c r="M17" s="1">
        <f>ROW()</f>
        <v>17</v>
      </c>
      <c r="O17" s="21">
        <v>0</v>
      </c>
      <c r="P17" s="22"/>
      <c r="Q17" s="22"/>
      <c r="R17" s="23">
        <f>-O5</f>
        <v>-1000</v>
      </c>
    </row>
    <row r="18" spans="1:18" ht="12.75">
      <c r="A18" s="1">
        <f>ROW()</f>
        <v>18</v>
      </c>
      <c r="M18" s="1">
        <f>ROW()</f>
        <v>18</v>
      </c>
      <c r="O18" s="24">
        <v>1</v>
      </c>
      <c r="P18" s="25">
        <f aca="true" t="shared" si="0" ref="P18:P56">+$S$6</f>
        <v>40</v>
      </c>
      <c r="Q18" s="26">
        <v>0</v>
      </c>
      <c r="R18" s="27">
        <f aca="true" t="shared" si="1" ref="R18:R57">+Q18+P18</f>
        <v>40</v>
      </c>
    </row>
    <row r="19" spans="1:18" ht="12.75">
      <c r="A19" s="1">
        <f>ROW()</f>
        <v>19</v>
      </c>
      <c r="B19" t="s">
        <v>14</v>
      </c>
      <c r="D19" s="141">
        <f>+D5</f>
        <v>42078</v>
      </c>
      <c r="M19" s="1">
        <f>ROW()</f>
        <v>19</v>
      </c>
      <c r="O19" s="24">
        <f aca="true" t="shared" si="2" ref="O19:O57">+O18+1</f>
        <v>2</v>
      </c>
      <c r="P19" s="25">
        <f t="shared" si="0"/>
        <v>40</v>
      </c>
      <c r="Q19" s="26">
        <v>0</v>
      </c>
      <c r="R19" s="27">
        <f t="shared" si="1"/>
        <v>40</v>
      </c>
    </row>
    <row r="20" spans="1:18" ht="12.75">
      <c r="A20" s="1">
        <f>ROW()</f>
        <v>20</v>
      </c>
      <c r="B20" t="s">
        <v>18</v>
      </c>
      <c r="D20" s="28">
        <f>+D6</f>
        <v>45672</v>
      </c>
      <c r="M20" s="1">
        <f>ROW()</f>
        <v>20</v>
      </c>
      <c r="O20" s="24">
        <f t="shared" si="2"/>
        <v>3</v>
      </c>
      <c r="P20" s="25">
        <f t="shared" si="0"/>
        <v>40</v>
      </c>
      <c r="Q20" s="26">
        <v>0</v>
      </c>
      <c r="R20" s="27">
        <f t="shared" si="1"/>
        <v>40</v>
      </c>
    </row>
    <row r="21" spans="1:18" ht="12.75">
      <c r="A21" s="1">
        <f>ROW()</f>
        <v>21</v>
      </c>
      <c r="B21" t="s">
        <v>23</v>
      </c>
      <c r="D21" s="7">
        <f>+D7</f>
        <v>0.0425</v>
      </c>
      <c r="M21" s="1">
        <f>ROW()</f>
        <v>21</v>
      </c>
      <c r="O21" s="24">
        <f t="shared" si="2"/>
        <v>4</v>
      </c>
      <c r="P21" s="25">
        <f t="shared" si="0"/>
        <v>40</v>
      </c>
      <c r="Q21" s="26">
        <v>0</v>
      </c>
      <c r="R21" s="27">
        <f t="shared" si="1"/>
        <v>40</v>
      </c>
    </row>
    <row r="22" spans="1:18" ht="12.75">
      <c r="A22" s="1">
        <f>ROW()</f>
        <v>22</v>
      </c>
      <c r="B22" s="33" t="s">
        <v>120</v>
      </c>
      <c r="C22" s="33"/>
      <c r="D22" s="143">
        <f>+D12</f>
        <v>96.17853020101003</v>
      </c>
      <c r="M22" s="1">
        <f>ROW()</f>
        <v>22</v>
      </c>
      <c r="O22" s="24">
        <f t="shared" si="2"/>
        <v>5</v>
      </c>
      <c r="P22" s="25">
        <f t="shared" si="0"/>
        <v>40</v>
      </c>
      <c r="Q22" s="26">
        <v>0</v>
      </c>
      <c r="R22" s="27">
        <f t="shared" si="1"/>
        <v>40</v>
      </c>
    </row>
    <row r="23" spans="1:18" ht="12.75">
      <c r="A23" s="1">
        <f>ROW()</f>
        <v>23</v>
      </c>
      <c r="B23" t="s">
        <v>27</v>
      </c>
      <c r="D23">
        <v>100</v>
      </c>
      <c r="M23" s="1">
        <f>ROW()</f>
        <v>23</v>
      </c>
      <c r="O23" s="24">
        <f t="shared" si="2"/>
        <v>6</v>
      </c>
      <c r="P23" s="25">
        <f t="shared" si="0"/>
        <v>40</v>
      </c>
      <c r="Q23" s="26">
        <v>0</v>
      </c>
      <c r="R23" s="27">
        <f t="shared" si="1"/>
        <v>40</v>
      </c>
    </row>
    <row r="24" spans="1:18" ht="12.75">
      <c r="A24" s="1">
        <f>ROW()</f>
        <v>24</v>
      </c>
      <c r="B24" t="s">
        <v>30</v>
      </c>
      <c r="D24">
        <v>2</v>
      </c>
      <c r="M24" s="1">
        <f>ROW()</f>
        <v>24</v>
      </c>
      <c r="O24" s="24">
        <f t="shared" si="2"/>
        <v>7</v>
      </c>
      <c r="P24" s="25">
        <f t="shared" si="0"/>
        <v>40</v>
      </c>
      <c r="Q24" s="26">
        <v>0</v>
      </c>
      <c r="R24" s="27">
        <f t="shared" si="1"/>
        <v>40</v>
      </c>
    </row>
    <row r="25" spans="1:18" ht="13.5" thickBot="1">
      <c r="A25" s="1">
        <f>ROW()</f>
        <v>25</v>
      </c>
      <c r="M25" s="1">
        <f>ROW()</f>
        <v>25</v>
      </c>
      <c r="O25" s="24">
        <f t="shared" si="2"/>
        <v>8</v>
      </c>
      <c r="P25" s="25">
        <f t="shared" si="0"/>
        <v>40</v>
      </c>
      <c r="Q25" s="26">
        <v>0</v>
      </c>
      <c r="R25" s="27">
        <f t="shared" si="1"/>
        <v>40</v>
      </c>
    </row>
    <row r="26" spans="1:18" ht="13.5" thickBot="1">
      <c r="A26" s="1">
        <f>ROW()</f>
        <v>26</v>
      </c>
      <c r="B26" s="33" t="s">
        <v>24</v>
      </c>
      <c r="D26" s="158">
        <f>YIELD(D19,D20,D21,D22,D23,D24,)</f>
        <v>0.04739999999999842</v>
      </c>
      <c r="M26" s="1">
        <f>ROW()</f>
        <v>26</v>
      </c>
      <c r="O26" s="24">
        <f t="shared" si="2"/>
        <v>9</v>
      </c>
      <c r="P26" s="25">
        <f t="shared" si="0"/>
        <v>40</v>
      </c>
      <c r="Q26" s="26">
        <v>0</v>
      </c>
      <c r="R26" s="27">
        <f t="shared" si="1"/>
        <v>40</v>
      </c>
    </row>
    <row r="27" spans="1:18" ht="12.75">
      <c r="A27" s="1">
        <f>ROW()</f>
        <v>27</v>
      </c>
      <c r="M27" s="1">
        <f>ROW()</f>
        <v>27</v>
      </c>
      <c r="O27" s="24">
        <f t="shared" si="2"/>
        <v>10</v>
      </c>
      <c r="P27" s="25">
        <f t="shared" si="0"/>
        <v>40</v>
      </c>
      <c r="Q27" s="26">
        <v>0</v>
      </c>
      <c r="R27" s="27">
        <f t="shared" si="1"/>
        <v>40</v>
      </c>
    </row>
    <row r="28" spans="1:18" ht="12.75">
      <c r="A28" s="1">
        <f>ROW()</f>
        <v>28</v>
      </c>
      <c r="D28" s="13"/>
      <c r="M28" s="1">
        <f>ROW()</f>
        <v>28</v>
      </c>
      <c r="O28" s="24">
        <f t="shared" si="2"/>
        <v>11</v>
      </c>
      <c r="P28" s="25">
        <f t="shared" si="0"/>
        <v>40</v>
      </c>
      <c r="Q28" s="26">
        <v>0</v>
      </c>
      <c r="R28" s="27">
        <f t="shared" si="1"/>
        <v>40</v>
      </c>
    </row>
    <row r="29" spans="1:18" ht="12.75">
      <c r="A29" s="1">
        <f>ROW()</f>
        <v>29</v>
      </c>
      <c r="B29" s="134" t="s">
        <v>0</v>
      </c>
      <c r="C29" s="134" t="s">
        <v>1</v>
      </c>
      <c r="D29" s="134" t="s">
        <v>2</v>
      </c>
      <c r="E29" s="134" t="s">
        <v>3</v>
      </c>
      <c r="F29" s="134" t="s">
        <v>4</v>
      </c>
      <c r="G29" s="134" t="s">
        <v>5</v>
      </c>
      <c r="H29" s="134" t="s">
        <v>6</v>
      </c>
      <c r="I29" s="134" t="s">
        <v>121</v>
      </c>
      <c r="J29" s="134" t="s">
        <v>122</v>
      </c>
      <c r="K29" s="134" t="s">
        <v>7</v>
      </c>
      <c r="M29" s="1">
        <f>ROW()</f>
        <v>29</v>
      </c>
      <c r="O29" s="24">
        <f t="shared" si="2"/>
        <v>12</v>
      </c>
      <c r="P29" s="25">
        <f t="shared" si="0"/>
        <v>40</v>
      </c>
      <c r="Q29" s="26">
        <v>0</v>
      </c>
      <c r="R29" s="27">
        <f t="shared" si="1"/>
        <v>40</v>
      </c>
    </row>
    <row r="30" spans="1:18" ht="18">
      <c r="A30" s="1">
        <f>ROW()</f>
        <v>30</v>
      </c>
      <c r="B30" s="145" t="s">
        <v>51</v>
      </c>
      <c r="C30" s="146"/>
      <c r="D30" s="146"/>
      <c r="E30" s="146"/>
      <c r="F30" s="146"/>
      <c r="G30" s="146"/>
      <c r="H30" s="146"/>
      <c r="I30" s="146"/>
      <c r="J30" s="146"/>
      <c r="K30" s="146"/>
      <c r="M30" s="1">
        <f>ROW()</f>
        <v>30</v>
      </c>
      <c r="O30" s="24">
        <f t="shared" si="2"/>
        <v>13</v>
      </c>
      <c r="P30" s="25">
        <f t="shared" si="0"/>
        <v>40</v>
      </c>
      <c r="Q30" s="26">
        <v>0</v>
      </c>
      <c r="R30" s="27">
        <f t="shared" si="1"/>
        <v>40</v>
      </c>
    </row>
    <row r="31" spans="1:18" ht="12.75">
      <c r="A31" s="1">
        <f>ROW()</f>
        <v>31</v>
      </c>
      <c r="M31" s="1">
        <f>ROW()</f>
        <v>31</v>
      </c>
      <c r="O31" s="24">
        <f t="shared" si="2"/>
        <v>14</v>
      </c>
      <c r="P31" s="25">
        <f t="shared" si="0"/>
        <v>40</v>
      </c>
      <c r="Q31" s="26">
        <v>0</v>
      </c>
      <c r="R31" s="27">
        <f t="shared" si="1"/>
        <v>40</v>
      </c>
    </row>
    <row r="32" spans="1:18" ht="12.75">
      <c r="A32" s="1">
        <f>ROW()</f>
        <v>32</v>
      </c>
      <c r="D32" s="32" t="s">
        <v>53</v>
      </c>
      <c r="E32" s="33"/>
      <c r="F32" s="32" t="s">
        <v>52</v>
      </c>
      <c r="M32" s="1">
        <f>ROW()</f>
        <v>32</v>
      </c>
      <c r="O32" s="24">
        <f t="shared" si="2"/>
        <v>15</v>
      </c>
      <c r="P32" s="25">
        <f t="shared" si="0"/>
        <v>40</v>
      </c>
      <c r="Q32" s="26">
        <v>0</v>
      </c>
      <c r="R32" s="27">
        <f t="shared" si="1"/>
        <v>40</v>
      </c>
    </row>
    <row r="33" spans="1:18" ht="12.75">
      <c r="A33" s="1">
        <f>ROW()</f>
        <v>33</v>
      </c>
      <c r="B33" t="s">
        <v>14</v>
      </c>
      <c r="D33" s="4">
        <f>DATE(2000,1,1)</f>
        <v>36526</v>
      </c>
      <c r="F33" s="4">
        <f>DATE(2000,1,1)</f>
        <v>36526</v>
      </c>
      <c r="M33" s="1">
        <f>ROW()</f>
        <v>33</v>
      </c>
      <c r="O33" s="24">
        <f t="shared" si="2"/>
        <v>16</v>
      </c>
      <c r="P33" s="25">
        <f t="shared" si="0"/>
        <v>40</v>
      </c>
      <c r="Q33" s="26">
        <v>0</v>
      </c>
      <c r="R33" s="27">
        <f t="shared" si="1"/>
        <v>40</v>
      </c>
    </row>
    <row r="34" spans="1:18" ht="12.75">
      <c r="A34" s="1">
        <f>ROW()</f>
        <v>34</v>
      </c>
      <c r="B34" t="s">
        <v>54</v>
      </c>
      <c r="D34" s="4">
        <f>DATE(2030,1,1)</f>
        <v>47484</v>
      </c>
      <c r="F34" s="4">
        <f>DATE(2010,1,1)</f>
        <v>40179</v>
      </c>
      <c r="M34" s="1">
        <f>ROW()</f>
        <v>34</v>
      </c>
      <c r="O34" s="24">
        <f t="shared" si="2"/>
        <v>17</v>
      </c>
      <c r="P34" s="25">
        <f t="shared" si="0"/>
        <v>40</v>
      </c>
      <c r="Q34" s="26">
        <v>0</v>
      </c>
      <c r="R34" s="27">
        <f t="shared" si="1"/>
        <v>40</v>
      </c>
    </row>
    <row r="35" spans="1:18" ht="12.75">
      <c r="A35" s="1">
        <f>ROW()</f>
        <v>35</v>
      </c>
      <c r="B35" t="s">
        <v>23</v>
      </c>
      <c r="D35" s="5">
        <v>0.08</v>
      </c>
      <c r="F35" s="5">
        <v>0.08</v>
      </c>
      <c r="M35" s="1">
        <f>ROW()</f>
        <v>35</v>
      </c>
      <c r="O35" s="24">
        <f t="shared" si="2"/>
        <v>18</v>
      </c>
      <c r="P35" s="25">
        <f t="shared" si="0"/>
        <v>40</v>
      </c>
      <c r="Q35" s="26">
        <v>0</v>
      </c>
      <c r="R35" s="27">
        <f t="shared" si="1"/>
        <v>40</v>
      </c>
    </row>
    <row r="36" spans="1:18" ht="12.75">
      <c r="A36" s="1">
        <f>ROW()</f>
        <v>36</v>
      </c>
      <c r="B36" t="s">
        <v>57</v>
      </c>
      <c r="D36" s="34">
        <f>+D35*500</f>
        <v>40</v>
      </c>
      <c r="E36" s="34"/>
      <c r="F36" s="34">
        <f>+F35*500</f>
        <v>40</v>
      </c>
      <c r="M36" s="1">
        <f>ROW()</f>
        <v>36</v>
      </c>
      <c r="O36" s="24">
        <f t="shared" si="2"/>
        <v>19</v>
      </c>
      <c r="P36" s="25">
        <f t="shared" si="0"/>
        <v>40</v>
      </c>
      <c r="Q36" s="26">
        <v>0</v>
      </c>
      <c r="R36" s="27">
        <f t="shared" si="1"/>
        <v>40</v>
      </c>
    </row>
    <row r="37" spans="1:18" ht="12.75">
      <c r="A37" s="1">
        <f>ROW()</f>
        <v>37</v>
      </c>
      <c r="B37" t="s">
        <v>59</v>
      </c>
      <c r="D37">
        <v>60</v>
      </c>
      <c r="E37" t="s">
        <v>60</v>
      </c>
      <c r="F37">
        <v>20</v>
      </c>
      <c r="G37" t="s">
        <v>60</v>
      </c>
      <c r="M37" s="1">
        <f>ROW()</f>
        <v>37</v>
      </c>
      <c r="O37" s="24">
        <f t="shared" si="2"/>
        <v>20</v>
      </c>
      <c r="P37" s="25">
        <f t="shared" si="0"/>
        <v>40</v>
      </c>
      <c r="Q37" s="26">
        <v>0</v>
      </c>
      <c r="R37" s="27">
        <f t="shared" si="1"/>
        <v>40</v>
      </c>
    </row>
    <row r="38" spans="1:18" ht="12.75">
      <c r="A38" s="1">
        <f>ROW()</f>
        <v>38</v>
      </c>
      <c r="B38" t="s">
        <v>61</v>
      </c>
      <c r="D38" s="35">
        <v>100</v>
      </c>
      <c r="E38" s="35"/>
      <c r="F38" s="35">
        <v>110</v>
      </c>
      <c r="M38" s="1">
        <f>ROW()</f>
        <v>38</v>
      </c>
      <c r="O38" s="24">
        <f t="shared" si="2"/>
        <v>21</v>
      </c>
      <c r="P38" s="25">
        <f t="shared" si="0"/>
        <v>40</v>
      </c>
      <c r="Q38" s="26">
        <v>0</v>
      </c>
      <c r="R38" s="27">
        <f t="shared" si="1"/>
        <v>40</v>
      </c>
    </row>
    <row r="39" spans="1:18" ht="12.75">
      <c r="A39" s="1">
        <f>ROW()</f>
        <v>39</v>
      </c>
      <c r="B39" t="s">
        <v>63</v>
      </c>
      <c r="D39" s="35">
        <v>100</v>
      </c>
      <c r="E39" s="35"/>
      <c r="F39" s="35">
        <f>+F38</f>
        <v>110</v>
      </c>
      <c r="M39" s="1">
        <f>ROW()</f>
        <v>39</v>
      </c>
      <c r="O39" s="24">
        <f t="shared" si="2"/>
        <v>22</v>
      </c>
      <c r="P39" s="25">
        <f t="shared" si="0"/>
        <v>40</v>
      </c>
      <c r="Q39" s="26">
        <v>0</v>
      </c>
      <c r="R39" s="27">
        <f t="shared" si="1"/>
        <v>40</v>
      </c>
    </row>
    <row r="40" spans="1:18" ht="12.75">
      <c r="A40" s="1">
        <f>ROW()</f>
        <v>40</v>
      </c>
      <c r="B40" t="s">
        <v>64</v>
      </c>
      <c r="D40" s="35">
        <v>115</v>
      </c>
      <c r="E40" s="35"/>
      <c r="F40" s="35">
        <v>115</v>
      </c>
      <c r="M40" s="1">
        <f>ROW()</f>
        <v>40</v>
      </c>
      <c r="O40" s="24">
        <f t="shared" si="2"/>
        <v>23</v>
      </c>
      <c r="P40" s="25">
        <f t="shared" si="0"/>
        <v>40</v>
      </c>
      <c r="Q40" s="26">
        <v>0</v>
      </c>
      <c r="R40" s="27">
        <f t="shared" si="1"/>
        <v>40</v>
      </c>
    </row>
    <row r="41" spans="1:18" ht="12.75">
      <c r="A41" s="1">
        <f>ROW()</f>
        <v>41</v>
      </c>
      <c r="M41" s="1">
        <f>ROW()</f>
        <v>41</v>
      </c>
      <c r="O41" s="24">
        <f t="shared" si="2"/>
        <v>24</v>
      </c>
      <c r="P41" s="25">
        <f t="shared" si="0"/>
        <v>40</v>
      </c>
      <c r="Q41" s="26">
        <v>0</v>
      </c>
      <c r="R41" s="27">
        <f t="shared" si="1"/>
        <v>40</v>
      </c>
    </row>
    <row r="42" spans="1:18" ht="13.5" thickBot="1">
      <c r="A42" s="1">
        <f>ROW()</f>
        <v>42</v>
      </c>
      <c r="C42" s="122" t="s">
        <v>116</v>
      </c>
      <c r="D42" s="137">
        <f>YIELD(D33,D34,D35,D40,D39,2)</f>
        <v>0.06819167128654313</v>
      </c>
      <c r="E42" s="122" t="s">
        <v>117</v>
      </c>
      <c r="F42" s="138">
        <f>YIELD(F33,F34,F35,F40,F39,2)</f>
        <v>0.06643358287131015</v>
      </c>
      <c r="M42" s="1">
        <f>ROW()</f>
        <v>42</v>
      </c>
      <c r="O42" s="24">
        <f t="shared" si="2"/>
        <v>25</v>
      </c>
      <c r="P42" s="25">
        <f t="shared" si="0"/>
        <v>40</v>
      </c>
      <c r="Q42" s="26">
        <v>0</v>
      </c>
      <c r="R42" s="27">
        <f t="shared" si="1"/>
        <v>40</v>
      </c>
    </row>
    <row r="43" spans="1:18" ht="13.5" thickTop="1">
      <c r="A43" s="1">
        <f>ROW()</f>
        <v>43</v>
      </c>
      <c r="M43" s="1">
        <f>ROW()</f>
        <v>43</v>
      </c>
      <c r="O43" s="24">
        <f t="shared" si="2"/>
        <v>26</v>
      </c>
      <c r="P43" s="25">
        <f t="shared" si="0"/>
        <v>40</v>
      </c>
      <c r="Q43" s="26">
        <v>0</v>
      </c>
      <c r="R43" s="27">
        <f t="shared" si="1"/>
        <v>40</v>
      </c>
    </row>
    <row r="44" spans="1:18" ht="13.5" thickBot="1">
      <c r="A44" s="1">
        <f>ROW()</f>
        <v>44</v>
      </c>
      <c r="D44" s="89" t="s">
        <v>65</v>
      </c>
      <c r="E44" s="88"/>
      <c r="M44" s="1">
        <f>ROW()</f>
        <v>44</v>
      </c>
      <c r="O44" s="24">
        <f t="shared" si="2"/>
        <v>27</v>
      </c>
      <c r="P44" s="25">
        <f t="shared" si="0"/>
        <v>40</v>
      </c>
      <c r="Q44" s="26">
        <v>0</v>
      </c>
      <c r="R44" s="27">
        <f t="shared" si="1"/>
        <v>40</v>
      </c>
    </row>
    <row r="45" spans="1:18" ht="13.5" thickBot="1">
      <c r="A45" s="1">
        <f>ROW()</f>
        <v>45</v>
      </c>
      <c r="D45" s="122" t="s">
        <v>118</v>
      </c>
      <c r="E45" s="139">
        <f>MIN(D42,F42)</f>
        <v>0.06643358287131015</v>
      </c>
      <c r="M45" s="1">
        <f>ROW()</f>
        <v>45</v>
      </c>
      <c r="O45" s="24">
        <f t="shared" si="2"/>
        <v>28</v>
      </c>
      <c r="P45" s="25">
        <f t="shared" si="0"/>
        <v>40</v>
      </c>
      <c r="Q45" s="26">
        <v>0</v>
      </c>
      <c r="R45" s="27">
        <f t="shared" si="1"/>
        <v>40</v>
      </c>
    </row>
    <row r="46" spans="13:18" ht="12.75">
      <c r="M46" s="1">
        <f>ROW()</f>
        <v>46</v>
      </c>
      <c r="O46" s="24">
        <f t="shared" si="2"/>
        <v>29</v>
      </c>
      <c r="P46" s="25">
        <f t="shared" si="0"/>
        <v>40</v>
      </c>
      <c r="Q46" s="26">
        <v>0</v>
      </c>
      <c r="R46" s="27">
        <f t="shared" si="1"/>
        <v>40</v>
      </c>
    </row>
    <row r="47" spans="13:18" ht="12.75">
      <c r="M47" s="1">
        <f>ROW()</f>
        <v>47</v>
      </c>
      <c r="O47" s="24">
        <f t="shared" si="2"/>
        <v>30</v>
      </c>
      <c r="P47" s="25">
        <f t="shared" si="0"/>
        <v>40</v>
      </c>
      <c r="Q47" s="26">
        <v>0</v>
      </c>
      <c r="R47" s="27">
        <f t="shared" si="1"/>
        <v>40</v>
      </c>
    </row>
    <row r="48" spans="1:18" ht="12.75">
      <c r="A48" s="1">
        <f>ROW()</f>
        <v>48</v>
      </c>
      <c r="B48" s="134" t="s">
        <v>0</v>
      </c>
      <c r="C48" s="134" t="s">
        <v>1</v>
      </c>
      <c r="D48" s="134" t="s">
        <v>2</v>
      </c>
      <c r="E48" s="134" t="s">
        <v>3</v>
      </c>
      <c r="F48" s="134" t="s">
        <v>4</v>
      </c>
      <c r="G48" s="134" t="s">
        <v>5</v>
      </c>
      <c r="H48" s="134" t="s">
        <v>6</v>
      </c>
      <c r="I48" s="134" t="s">
        <v>121</v>
      </c>
      <c r="J48" s="134" t="s">
        <v>122</v>
      </c>
      <c r="K48" s="134" t="s">
        <v>7</v>
      </c>
      <c r="M48" s="1">
        <f>ROW()</f>
        <v>48</v>
      </c>
      <c r="O48" s="24">
        <f t="shared" si="2"/>
        <v>31</v>
      </c>
      <c r="P48" s="25">
        <f t="shared" si="0"/>
        <v>40</v>
      </c>
      <c r="Q48" s="26">
        <v>0</v>
      </c>
      <c r="R48" s="27">
        <f t="shared" si="1"/>
        <v>40</v>
      </c>
    </row>
    <row r="49" spans="1:18" ht="18">
      <c r="A49" s="1">
        <f>ROW()</f>
        <v>49</v>
      </c>
      <c r="B49" s="145" t="s">
        <v>114</v>
      </c>
      <c r="C49" s="146"/>
      <c r="D49" s="146"/>
      <c r="E49" s="146"/>
      <c r="F49" s="146"/>
      <c r="G49" s="146"/>
      <c r="H49" s="146"/>
      <c r="I49" s="146"/>
      <c r="J49" s="146"/>
      <c r="K49" s="146"/>
      <c r="M49" s="1">
        <f>ROW()</f>
        <v>49</v>
      </c>
      <c r="O49" s="24">
        <f t="shared" si="2"/>
        <v>32</v>
      </c>
      <c r="P49" s="25">
        <f t="shared" si="0"/>
        <v>40</v>
      </c>
      <c r="Q49" s="26">
        <v>0</v>
      </c>
      <c r="R49" s="27">
        <f t="shared" si="1"/>
        <v>40</v>
      </c>
    </row>
    <row r="50" spans="1:18" ht="12.75">
      <c r="A50" s="1">
        <f>ROW()</f>
        <v>50</v>
      </c>
      <c r="M50" s="1">
        <f>ROW()</f>
        <v>50</v>
      </c>
      <c r="O50" s="24">
        <f t="shared" si="2"/>
        <v>33</v>
      </c>
      <c r="P50" s="25">
        <f t="shared" si="0"/>
        <v>40</v>
      </c>
      <c r="Q50" s="26">
        <v>0</v>
      </c>
      <c r="R50" s="27">
        <f t="shared" si="1"/>
        <v>40</v>
      </c>
    </row>
    <row r="51" spans="1:18" ht="12.75">
      <c r="A51" s="1">
        <f>ROW()</f>
        <v>51</v>
      </c>
      <c r="B51" s="121" t="s">
        <v>123</v>
      </c>
      <c r="C51" s="147">
        <v>1000</v>
      </c>
      <c r="G51" s="37"/>
      <c r="H51" s="38"/>
      <c r="M51" s="1">
        <f>ROW()</f>
        <v>51</v>
      </c>
      <c r="O51" s="24">
        <f t="shared" si="2"/>
        <v>34</v>
      </c>
      <c r="P51" s="25">
        <f t="shared" si="0"/>
        <v>40</v>
      </c>
      <c r="Q51" s="26">
        <v>0</v>
      </c>
      <c r="R51" s="27">
        <f t="shared" si="1"/>
        <v>40</v>
      </c>
    </row>
    <row r="52" spans="1:18" ht="12.75">
      <c r="A52" s="1">
        <f>ROW()</f>
        <v>52</v>
      </c>
      <c r="B52" t="s">
        <v>107</v>
      </c>
      <c r="C52" s="5">
        <v>0.08</v>
      </c>
      <c r="G52" s="37"/>
      <c r="H52" s="38"/>
      <c r="M52" s="1">
        <f>ROW()</f>
        <v>52</v>
      </c>
      <c r="O52" s="24">
        <f t="shared" si="2"/>
        <v>35</v>
      </c>
      <c r="P52" s="25">
        <f t="shared" si="0"/>
        <v>40</v>
      </c>
      <c r="Q52" s="26">
        <v>0</v>
      </c>
      <c r="R52" s="27">
        <f t="shared" si="1"/>
        <v>40</v>
      </c>
    </row>
    <row r="53" spans="1:18" ht="12.75">
      <c r="A53" s="1">
        <f>ROW()</f>
        <v>53</v>
      </c>
      <c r="B53" t="s">
        <v>66</v>
      </c>
      <c r="C53" s="5">
        <v>0.1</v>
      </c>
      <c r="G53" s="37"/>
      <c r="H53" s="38"/>
      <c r="M53" s="1">
        <f>ROW()</f>
        <v>53</v>
      </c>
      <c r="O53" s="24">
        <f t="shared" si="2"/>
        <v>36</v>
      </c>
      <c r="P53" s="25">
        <f t="shared" si="0"/>
        <v>40</v>
      </c>
      <c r="Q53" s="26">
        <v>0</v>
      </c>
      <c r="R53" s="27">
        <f t="shared" si="1"/>
        <v>40</v>
      </c>
    </row>
    <row r="54" spans="1:18" ht="12.75">
      <c r="A54" s="1">
        <f>ROW()</f>
        <v>54</v>
      </c>
      <c r="B54" s="121" t="s">
        <v>124</v>
      </c>
      <c r="C54" s="150">
        <v>1</v>
      </c>
      <c r="G54" s="37"/>
      <c r="H54" s="38"/>
      <c r="M54" s="1">
        <f>ROW()</f>
        <v>54</v>
      </c>
      <c r="O54" s="24">
        <f t="shared" si="2"/>
        <v>37</v>
      </c>
      <c r="P54" s="25">
        <f t="shared" si="0"/>
        <v>40</v>
      </c>
      <c r="Q54" s="26">
        <v>0</v>
      </c>
      <c r="R54" s="27">
        <f t="shared" si="1"/>
        <v>40</v>
      </c>
    </row>
    <row r="55" spans="1:18" ht="12.75">
      <c r="A55" s="1">
        <f>ROW()</f>
        <v>55</v>
      </c>
      <c r="C55" s="5"/>
      <c r="G55" s="37"/>
      <c r="H55" s="38"/>
      <c r="M55" s="1">
        <f>ROW()</f>
        <v>55</v>
      </c>
      <c r="O55" s="24">
        <f t="shared" si="2"/>
        <v>38</v>
      </c>
      <c r="P55" s="25">
        <f t="shared" si="0"/>
        <v>40</v>
      </c>
      <c r="Q55" s="26">
        <v>0</v>
      </c>
      <c r="R55" s="27">
        <f t="shared" si="1"/>
        <v>40</v>
      </c>
    </row>
    <row r="56" spans="1:18" ht="12.75">
      <c r="A56" s="1">
        <f>ROW()</f>
        <v>56</v>
      </c>
      <c r="C56" s="5"/>
      <c r="G56" s="37"/>
      <c r="H56" s="38"/>
      <c r="M56" s="1">
        <f>ROW()</f>
        <v>56</v>
      </c>
      <c r="O56" s="24">
        <f t="shared" si="2"/>
        <v>39</v>
      </c>
      <c r="P56" s="25">
        <f t="shared" si="0"/>
        <v>40</v>
      </c>
      <c r="Q56" s="26">
        <v>0</v>
      </c>
      <c r="R56" s="27">
        <f t="shared" si="1"/>
        <v>40</v>
      </c>
    </row>
    <row r="57" spans="1:18" ht="13.5" thickBot="1">
      <c r="A57" s="1">
        <f>ROW()</f>
        <v>57</v>
      </c>
      <c r="C57" s="5"/>
      <c r="G57" s="37"/>
      <c r="H57" s="38"/>
      <c r="M57" s="1">
        <f>ROW()</f>
        <v>57</v>
      </c>
      <c r="O57" s="24">
        <f t="shared" si="2"/>
        <v>40</v>
      </c>
      <c r="P57" s="25">
        <f>+$S$6+O5</f>
        <v>1040</v>
      </c>
      <c r="Q57" s="26">
        <v>0</v>
      </c>
      <c r="R57" s="27">
        <f t="shared" si="1"/>
        <v>1040</v>
      </c>
    </row>
    <row r="58" spans="1:18" ht="13.5" thickBot="1">
      <c r="A58" s="1">
        <f>ROW()</f>
        <v>58</v>
      </c>
      <c r="C58" s="5"/>
      <c r="G58" s="37"/>
      <c r="H58" s="38"/>
      <c r="M58" s="1">
        <f>ROW()</f>
        <v>58</v>
      </c>
      <c r="O58" s="29" t="s">
        <v>48</v>
      </c>
      <c r="P58" s="30"/>
      <c r="Q58" s="30"/>
      <c r="R58" s="31">
        <f>IRR(R17:R57)</f>
        <v>0.03999999999564863</v>
      </c>
    </row>
    <row r="59" spans="1:8" ht="12.75">
      <c r="A59" s="1">
        <f>ROW()</f>
        <v>59</v>
      </c>
      <c r="C59" s="5"/>
      <c r="G59" s="37"/>
      <c r="H59" s="38"/>
    </row>
    <row r="60" spans="1:18" ht="12.75">
      <c r="A60" s="1">
        <f>ROW()</f>
        <v>60</v>
      </c>
      <c r="B60" s="126" t="s">
        <v>67</v>
      </c>
      <c r="C60" s="127" t="s">
        <v>110</v>
      </c>
      <c r="D60" s="127" t="s">
        <v>109</v>
      </c>
      <c r="E60" s="33"/>
      <c r="F60" s="128" t="s">
        <v>68</v>
      </c>
      <c r="G60" s="129"/>
      <c r="H60" s="33"/>
      <c r="I60" s="130"/>
      <c r="J60" s="130"/>
      <c r="O60" s="149"/>
      <c r="P60" s="25"/>
      <c r="Q60" s="26"/>
      <c r="R60" s="25"/>
    </row>
    <row r="61" spans="1:20" ht="13.5" thickBot="1">
      <c r="A61" s="1">
        <f>ROW()</f>
        <v>61</v>
      </c>
      <c r="B61" s="131" t="s">
        <v>70</v>
      </c>
      <c r="C61" s="132"/>
      <c r="D61" s="131"/>
      <c r="E61" s="33"/>
      <c r="F61" s="133" t="s">
        <v>71</v>
      </c>
      <c r="G61" s="131" t="s">
        <v>69</v>
      </c>
      <c r="H61" s="33"/>
      <c r="I61" s="132" t="s">
        <v>108</v>
      </c>
      <c r="J61" s="136" t="s">
        <v>125</v>
      </c>
      <c r="M61" s="1">
        <f>ROW()</f>
        <v>61</v>
      </c>
      <c r="N61" s="134" t="s">
        <v>8</v>
      </c>
      <c r="O61" s="134" t="s">
        <v>9</v>
      </c>
      <c r="P61" s="134" t="s">
        <v>10</v>
      </c>
      <c r="Q61" s="134" t="s">
        <v>49</v>
      </c>
      <c r="R61" s="134" t="s">
        <v>72</v>
      </c>
      <c r="S61" s="134" t="s">
        <v>101</v>
      </c>
      <c r="T61" s="134" t="s">
        <v>106</v>
      </c>
    </row>
    <row r="62" spans="1:20" ht="18">
      <c r="A62" s="1">
        <f>ROW()</f>
        <v>62</v>
      </c>
      <c r="B62" s="37">
        <v>1</v>
      </c>
      <c r="C62" s="117">
        <f aca="true" t="shared" si="3" ref="C62:C70">+$C$51*$C$52</f>
        <v>80</v>
      </c>
      <c r="D62" s="39">
        <f aca="true" t="shared" si="4" ref="D62:D71">+C62/(1+$C$53)^B62</f>
        <v>72.72727272727272</v>
      </c>
      <c r="F62" s="40">
        <f>+D62/$D$73</f>
        <v>0.08291706172706947</v>
      </c>
      <c r="G62" s="41">
        <f aca="true" t="shared" si="5" ref="G62:G71">+F62*B62</f>
        <v>0.08291706172706947</v>
      </c>
      <c r="I62" s="118">
        <f aca="true" t="shared" si="6" ref="I62:I71">+B62+B62^2</f>
        <v>2</v>
      </c>
      <c r="J62" s="119">
        <f aca="true" t="shared" si="7" ref="J62:J71">+I62*D62</f>
        <v>145.45454545454544</v>
      </c>
      <c r="M62" s="1">
        <f>ROW()</f>
        <v>62</v>
      </c>
      <c r="N62" s="145" t="s">
        <v>50</v>
      </c>
      <c r="O62" s="146"/>
      <c r="P62" s="146"/>
      <c r="Q62" s="146"/>
      <c r="R62" s="146"/>
      <c r="S62" s="146"/>
      <c r="T62" s="146"/>
    </row>
    <row r="63" spans="1:13" ht="12.75">
      <c r="A63" s="1">
        <f>ROW()</f>
        <v>63</v>
      </c>
      <c r="B63" s="37">
        <v>2</v>
      </c>
      <c r="C63" s="117">
        <f t="shared" si="3"/>
        <v>80</v>
      </c>
      <c r="D63" s="39">
        <f t="shared" si="4"/>
        <v>66.11570247933884</v>
      </c>
      <c r="F63" s="40">
        <f aca="true" t="shared" si="8" ref="F63:F71">+D63/$D$73</f>
        <v>0.07537914702460861</v>
      </c>
      <c r="G63" s="41">
        <f t="shared" si="5"/>
        <v>0.15075829404921723</v>
      </c>
      <c r="I63" s="118">
        <f t="shared" si="6"/>
        <v>6</v>
      </c>
      <c r="J63" s="119">
        <f t="shared" si="7"/>
        <v>396.694214876033</v>
      </c>
      <c r="M63" s="1">
        <f>ROW()</f>
        <v>63</v>
      </c>
    </row>
    <row r="64" spans="1:16" ht="12.75">
      <c r="A64" s="1">
        <f>ROW()</f>
        <v>64</v>
      </c>
      <c r="B64" s="37">
        <v>3</v>
      </c>
      <c r="C64" s="117">
        <f t="shared" si="3"/>
        <v>80</v>
      </c>
      <c r="D64" s="39">
        <f t="shared" si="4"/>
        <v>60.1051840721262</v>
      </c>
      <c r="F64" s="40">
        <f t="shared" si="8"/>
        <v>0.06852649729509872</v>
      </c>
      <c r="G64" s="41">
        <f t="shared" si="5"/>
        <v>0.20557949188529615</v>
      </c>
      <c r="I64" s="118">
        <f t="shared" si="6"/>
        <v>12</v>
      </c>
      <c r="J64" s="119">
        <f t="shared" si="7"/>
        <v>721.2622088655144</v>
      </c>
      <c r="M64" s="1">
        <f>ROW()</f>
        <v>64</v>
      </c>
      <c r="N64" t="s">
        <v>14</v>
      </c>
      <c r="P64" s="4">
        <f>DATE(2000,1,1)</f>
        <v>36526</v>
      </c>
    </row>
    <row r="65" spans="1:16" ht="12.75">
      <c r="A65" s="1">
        <f>ROW()</f>
        <v>65</v>
      </c>
      <c r="B65" s="37">
        <v>4</v>
      </c>
      <c r="C65" s="117">
        <f t="shared" si="3"/>
        <v>80</v>
      </c>
      <c r="D65" s="39">
        <f t="shared" si="4"/>
        <v>54.64107642920564</v>
      </c>
      <c r="F65" s="40">
        <f t="shared" si="8"/>
        <v>0.06229681572281702</v>
      </c>
      <c r="G65" s="41">
        <f t="shared" si="5"/>
        <v>0.24918726289126808</v>
      </c>
      <c r="I65" s="118">
        <f t="shared" si="6"/>
        <v>20</v>
      </c>
      <c r="J65" s="119">
        <f t="shared" si="7"/>
        <v>1092.821528584113</v>
      </c>
      <c r="M65" s="1">
        <f>ROW()</f>
        <v>65</v>
      </c>
      <c r="N65" t="s">
        <v>18</v>
      </c>
      <c r="P65" s="4">
        <f>DATE(2010,1,1)</f>
        <v>40179</v>
      </c>
    </row>
    <row r="66" spans="1:16" ht="12.75">
      <c r="A66" s="1">
        <f>ROW()</f>
        <v>66</v>
      </c>
      <c r="B66" s="37">
        <v>5</v>
      </c>
      <c r="C66" s="117">
        <f t="shared" si="3"/>
        <v>80</v>
      </c>
      <c r="D66" s="39">
        <f t="shared" si="4"/>
        <v>49.673705844732396</v>
      </c>
      <c r="F66" s="40">
        <f t="shared" si="8"/>
        <v>0.05663346883892456</v>
      </c>
      <c r="G66" s="41">
        <f t="shared" si="5"/>
        <v>0.2831673441946228</v>
      </c>
      <c r="I66" s="118">
        <f t="shared" si="6"/>
        <v>30</v>
      </c>
      <c r="J66" s="119">
        <f t="shared" si="7"/>
        <v>1490.211175341972</v>
      </c>
      <c r="M66" s="1">
        <f>ROW()</f>
        <v>66</v>
      </c>
      <c r="N66" t="s">
        <v>23</v>
      </c>
      <c r="P66" s="7">
        <v>0.08</v>
      </c>
    </row>
    <row r="67" spans="1:16" ht="12.75">
      <c r="A67" s="1">
        <f>ROW()</f>
        <v>67</v>
      </c>
      <c r="B67" s="37">
        <v>6</v>
      </c>
      <c r="C67" s="117">
        <f t="shared" si="3"/>
        <v>80</v>
      </c>
      <c r="D67" s="39">
        <f t="shared" si="4"/>
        <v>45.157914404302176</v>
      </c>
      <c r="F67" s="40">
        <f t="shared" si="8"/>
        <v>0.0514849716717496</v>
      </c>
      <c r="G67" s="41">
        <f t="shared" si="5"/>
        <v>0.3089098300304976</v>
      </c>
      <c r="I67" s="118">
        <f t="shared" si="6"/>
        <v>42</v>
      </c>
      <c r="J67" s="119">
        <f t="shared" si="7"/>
        <v>1896.6324049806913</v>
      </c>
      <c r="M67" s="1">
        <f>ROW()</f>
        <v>67</v>
      </c>
      <c r="N67" t="s">
        <v>55</v>
      </c>
      <c r="P67">
        <v>110</v>
      </c>
    </row>
    <row r="68" spans="1:16" ht="12.75">
      <c r="A68" s="1">
        <f>ROW()</f>
        <v>68</v>
      </c>
      <c r="B68" s="37">
        <v>7</v>
      </c>
      <c r="C68" s="117">
        <f t="shared" si="3"/>
        <v>80</v>
      </c>
      <c r="D68" s="39">
        <f t="shared" si="4"/>
        <v>41.052649458456514</v>
      </c>
      <c r="F68" s="40">
        <f t="shared" si="8"/>
        <v>0.04680451970159053</v>
      </c>
      <c r="G68" s="41">
        <f t="shared" si="5"/>
        <v>0.3276316379111337</v>
      </c>
      <c r="I68" s="118">
        <f t="shared" si="6"/>
        <v>56</v>
      </c>
      <c r="J68" s="119">
        <f t="shared" si="7"/>
        <v>2298.9483696735647</v>
      </c>
      <c r="M68" s="1">
        <f>ROW()</f>
        <v>68</v>
      </c>
      <c r="N68" t="s">
        <v>56</v>
      </c>
      <c r="P68">
        <v>100</v>
      </c>
    </row>
    <row r="69" spans="1:16" ht="12.75">
      <c r="A69" s="1">
        <f>ROW()</f>
        <v>69</v>
      </c>
      <c r="B69" s="37">
        <v>8</v>
      </c>
      <c r="C69" s="117">
        <f t="shared" si="3"/>
        <v>80</v>
      </c>
      <c r="D69" s="39">
        <f t="shared" si="4"/>
        <v>37.32059041677866</v>
      </c>
      <c r="F69" s="40">
        <f t="shared" si="8"/>
        <v>0.04254956336508231</v>
      </c>
      <c r="G69" s="41">
        <f t="shared" si="5"/>
        <v>0.3403965069206585</v>
      </c>
      <c r="I69" s="118">
        <f t="shared" si="6"/>
        <v>72</v>
      </c>
      <c r="J69" s="119">
        <f t="shared" si="7"/>
        <v>2687.0825100080633</v>
      </c>
      <c r="M69" s="1">
        <f>ROW()</f>
        <v>69</v>
      </c>
      <c r="N69" t="s">
        <v>58</v>
      </c>
      <c r="P69">
        <v>2</v>
      </c>
    </row>
    <row r="70" spans="1:13" ht="12.75">
      <c r="A70" s="1">
        <f>ROW()</f>
        <v>70</v>
      </c>
      <c r="B70" s="37">
        <v>9</v>
      </c>
      <c r="C70" s="117">
        <f t="shared" si="3"/>
        <v>80</v>
      </c>
      <c r="D70" s="39">
        <f t="shared" si="4"/>
        <v>33.927809469798774</v>
      </c>
      <c r="F70" s="40">
        <f t="shared" si="8"/>
        <v>0.038681421240983914</v>
      </c>
      <c r="G70" s="41">
        <f t="shared" si="5"/>
        <v>0.3481327911688552</v>
      </c>
      <c r="I70" s="118">
        <f t="shared" si="6"/>
        <v>90</v>
      </c>
      <c r="J70" s="119">
        <f t="shared" si="7"/>
        <v>3053.50285228189</v>
      </c>
      <c r="M70" s="1">
        <f>ROW()</f>
        <v>70</v>
      </c>
    </row>
    <row r="71" spans="1:17" ht="12.75">
      <c r="A71" s="1">
        <f>ROW()</f>
        <v>71</v>
      </c>
      <c r="B71" s="37">
        <v>10</v>
      </c>
      <c r="C71" s="148">
        <f>+$C$51*$C$52+C51</f>
        <v>1080</v>
      </c>
      <c r="D71" s="39">
        <f t="shared" si="4"/>
        <v>416.386752583894</v>
      </c>
      <c r="F71" s="40">
        <f t="shared" si="8"/>
        <v>0.47472653341207527</v>
      </c>
      <c r="G71" s="41">
        <f t="shared" si="5"/>
        <v>4.747265334120753</v>
      </c>
      <c r="I71" s="118">
        <f t="shared" si="6"/>
        <v>110</v>
      </c>
      <c r="J71" s="119">
        <f t="shared" si="7"/>
        <v>45802.54278422834</v>
      </c>
      <c r="M71" s="1">
        <f>ROW()</f>
        <v>71</v>
      </c>
      <c r="N71" t="s">
        <v>24</v>
      </c>
      <c r="P71" s="36">
        <f>YIELD(P64,P65,P66,P67,P68,P69)</f>
        <v>0.06617048546134967</v>
      </c>
      <c r="Q71" s="87" t="s">
        <v>62</v>
      </c>
    </row>
    <row r="72" spans="1:13" ht="13.5" thickBot="1">
      <c r="A72" s="1">
        <f>ROW()</f>
        <v>72</v>
      </c>
      <c r="F72" s="123">
        <f>SUM(F62:F71)</f>
        <v>1</v>
      </c>
      <c r="J72" s="119">
        <f>SUM(J62:J71)</f>
        <v>59585.15259429473</v>
      </c>
      <c r="M72" s="1">
        <f>ROW()</f>
        <v>72</v>
      </c>
    </row>
    <row r="73" spans="1:18" ht="13.5" thickBot="1">
      <c r="A73" s="1">
        <f>ROW()</f>
        <v>73</v>
      </c>
      <c r="C73" s="125" t="s">
        <v>113</v>
      </c>
      <c r="D73" s="116">
        <f>SUM(D62:D71)</f>
        <v>877.1086578859059</v>
      </c>
      <c r="F73" s="125" t="s">
        <v>112</v>
      </c>
      <c r="G73" s="115">
        <f>SUM(G62:G71)</f>
        <v>7.043945554899372</v>
      </c>
      <c r="I73" s="124" t="s">
        <v>111</v>
      </c>
      <c r="J73" s="135">
        <f>+J72*(1/(D73*(1+C53)^2))</f>
        <v>56.14347472361351</v>
      </c>
      <c r="M73" s="1">
        <f>ROW()</f>
        <v>73</v>
      </c>
      <c r="O73" s="15" t="s">
        <v>39</v>
      </c>
      <c r="P73" s="16"/>
      <c r="Q73" s="16"/>
      <c r="R73" s="17"/>
    </row>
    <row r="74" spans="13:18" ht="26.25" thickBot="1">
      <c r="M74" s="1">
        <f>ROW()</f>
        <v>74</v>
      </c>
      <c r="O74" s="18" t="s">
        <v>42</v>
      </c>
      <c r="P74" s="19" t="s">
        <v>43</v>
      </c>
      <c r="Q74" s="19" t="s">
        <v>44</v>
      </c>
      <c r="R74" s="20" t="s">
        <v>45</v>
      </c>
    </row>
    <row r="75" spans="13:18" ht="12.75">
      <c r="M75" s="1">
        <f>ROW()</f>
        <v>75</v>
      </c>
      <c r="O75" s="21">
        <v>0</v>
      </c>
      <c r="P75" s="22"/>
      <c r="Q75" s="22"/>
      <c r="R75" s="23">
        <f>-P67*10</f>
        <v>-1100</v>
      </c>
    </row>
    <row r="76" spans="1:18" ht="12.75">
      <c r="A76" s="1">
        <f>ROW()</f>
        <v>76</v>
      </c>
      <c r="B76" s="134" t="s">
        <v>0</v>
      </c>
      <c r="C76" s="134" t="s">
        <v>1</v>
      </c>
      <c r="D76" s="134" t="s">
        <v>2</v>
      </c>
      <c r="E76" s="134" t="s">
        <v>3</v>
      </c>
      <c r="F76" s="134" t="s">
        <v>4</v>
      </c>
      <c r="G76" s="134" t="s">
        <v>5</v>
      </c>
      <c r="H76" s="134" t="s">
        <v>6</v>
      </c>
      <c r="I76" s="134" t="s">
        <v>121</v>
      </c>
      <c r="J76" s="134" t="s">
        <v>122</v>
      </c>
      <c r="K76" s="134" t="s">
        <v>7</v>
      </c>
      <c r="M76" s="1">
        <f>ROW()</f>
        <v>76</v>
      </c>
      <c r="O76" s="24">
        <v>1</v>
      </c>
      <c r="P76" s="25">
        <f aca="true" t="shared" si="9" ref="P76:P95">+$P$66/2*1000</f>
        <v>40</v>
      </c>
      <c r="Q76" s="26">
        <v>0</v>
      </c>
      <c r="R76" s="27">
        <f>+Q76+P76</f>
        <v>40</v>
      </c>
    </row>
    <row r="77" spans="1:18" ht="18">
      <c r="A77" s="1">
        <f>ROW()</f>
        <v>77</v>
      </c>
      <c r="B77" s="145" t="s">
        <v>115</v>
      </c>
      <c r="C77" s="146"/>
      <c r="D77" s="146"/>
      <c r="E77" s="146"/>
      <c r="F77" s="146"/>
      <c r="G77" s="146"/>
      <c r="H77" s="146"/>
      <c r="I77" s="146"/>
      <c r="J77" s="146"/>
      <c r="K77" s="146"/>
      <c r="M77" s="1">
        <f>ROW()</f>
        <v>77</v>
      </c>
      <c r="O77" s="24">
        <f>+O76+1</f>
        <v>2</v>
      </c>
      <c r="P77" s="25">
        <f t="shared" si="9"/>
        <v>40</v>
      </c>
      <c r="Q77" s="26">
        <v>0</v>
      </c>
      <c r="R77" s="27">
        <f aca="true" t="shared" si="10" ref="R77:R83">+Q77+P77</f>
        <v>40</v>
      </c>
    </row>
    <row r="78" spans="1:18" ht="15.75">
      <c r="A78" s="1">
        <f>ROW()</f>
        <v>78</v>
      </c>
      <c r="B78" s="46" t="s">
        <v>73</v>
      </c>
      <c r="I78" s="105" t="s">
        <v>102</v>
      </c>
      <c r="J78" s="106">
        <f>IRR(C92:C112)*2</f>
        <v>0.09999999999997966</v>
      </c>
      <c r="M78" s="1">
        <f>ROW()</f>
        <v>78</v>
      </c>
      <c r="O78" s="24">
        <f aca="true" t="shared" si="11" ref="O78:O83">+O77+1</f>
        <v>3</v>
      </c>
      <c r="P78" s="25">
        <f t="shared" si="9"/>
        <v>40</v>
      </c>
      <c r="Q78" s="26">
        <v>0</v>
      </c>
      <c r="R78" s="27">
        <f t="shared" si="10"/>
        <v>40</v>
      </c>
    </row>
    <row r="79" spans="1:18" ht="15.75">
      <c r="A79" s="1">
        <f>ROW()</f>
        <v>79</v>
      </c>
      <c r="B79" s="46"/>
      <c r="E79" s="47"/>
      <c r="J79" s="54"/>
      <c r="M79" s="1">
        <f>ROW()</f>
        <v>79</v>
      </c>
      <c r="O79" s="24">
        <f t="shared" si="11"/>
        <v>4</v>
      </c>
      <c r="P79" s="25">
        <f t="shared" si="9"/>
        <v>40</v>
      </c>
      <c r="Q79" s="26">
        <v>0</v>
      </c>
      <c r="R79" s="27">
        <f t="shared" si="10"/>
        <v>40</v>
      </c>
    </row>
    <row r="80" spans="1:18" ht="15">
      <c r="A80" s="1">
        <f>ROW()</f>
        <v>80</v>
      </c>
      <c r="B80" s="48" t="s">
        <v>77</v>
      </c>
      <c r="D80" s="52">
        <v>1000</v>
      </c>
      <c r="E80" s="47"/>
      <c r="G80" s="50" t="s">
        <v>76</v>
      </c>
      <c r="H80" s="50"/>
      <c r="I80" s="51">
        <v>0.01</v>
      </c>
      <c r="J80" s="50"/>
      <c r="M80" s="1">
        <f>ROW()</f>
        <v>80</v>
      </c>
      <c r="O80" s="24">
        <f t="shared" si="11"/>
        <v>5</v>
      </c>
      <c r="P80" s="25">
        <f t="shared" si="9"/>
        <v>40</v>
      </c>
      <c r="Q80" s="26">
        <v>0</v>
      </c>
      <c r="R80" s="27">
        <f t="shared" si="10"/>
        <v>40</v>
      </c>
    </row>
    <row r="81" spans="1:18" ht="15">
      <c r="A81" s="1">
        <f>ROW()</f>
        <v>81</v>
      </c>
      <c r="B81" s="48" t="s">
        <v>79</v>
      </c>
      <c r="D81" s="58">
        <v>0.08</v>
      </c>
      <c r="E81" s="53"/>
      <c r="G81" s="48" t="s">
        <v>78</v>
      </c>
      <c r="H81" s="48"/>
      <c r="I81" s="54">
        <f>-(D85+PV((D83+I80)/D84,D82*D84,D81*D80/D84,D80))</f>
        <v>-54.63363384852448</v>
      </c>
      <c r="J81" s="104">
        <f>+I81/D85</f>
        <v>-0.062411484299876405</v>
      </c>
      <c r="M81" s="1">
        <f>ROW()</f>
        <v>81</v>
      </c>
      <c r="O81" s="24">
        <f t="shared" si="11"/>
        <v>6</v>
      </c>
      <c r="P81" s="25">
        <f t="shared" si="9"/>
        <v>40</v>
      </c>
      <c r="Q81" s="26">
        <v>0</v>
      </c>
      <c r="R81" s="27">
        <f t="shared" si="10"/>
        <v>40</v>
      </c>
    </row>
    <row r="82" spans="1:18" ht="15">
      <c r="A82" s="1">
        <f>ROW()</f>
        <v>82</v>
      </c>
      <c r="B82" s="48" t="s">
        <v>80</v>
      </c>
      <c r="D82" s="62">
        <v>10</v>
      </c>
      <c r="E82" s="59"/>
      <c r="G82" s="48"/>
      <c r="H82" s="48"/>
      <c r="I82" s="48"/>
      <c r="J82" s="103"/>
      <c r="M82" s="1">
        <f>ROW()</f>
        <v>82</v>
      </c>
      <c r="O82" s="24">
        <f t="shared" si="11"/>
        <v>7</v>
      </c>
      <c r="P82" s="25">
        <f t="shared" si="9"/>
        <v>40</v>
      </c>
      <c r="Q82" s="26">
        <v>0</v>
      </c>
      <c r="R82" s="27">
        <f t="shared" si="10"/>
        <v>40</v>
      </c>
    </row>
    <row r="83" spans="1:18" ht="15">
      <c r="A83" s="1">
        <f>ROW()</f>
        <v>83</v>
      </c>
      <c r="B83" s="48" t="s">
        <v>82</v>
      </c>
      <c r="D83" s="58">
        <v>0.1</v>
      </c>
      <c r="E83" s="111"/>
      <c r="G83" s="48" t="s">
        <v>81</v>
      </c>
      <c r="H83" s="48"/>
      <c r="I83" s="54">
        <f>(-D88*I80*D85)</f>
        <v>-57.02768866297899</v>
      </c>
      <c r="J83" s="54"/>
      <c r="M83" s="1">
        <f>ROW()</f>
        <v>83</v>
      </c>
      <c r="O83" s="24">
        <f t="shared" si="11"/>
        <v>8</v>
      </c>
      <c r="P83" s="25">
        <f t="shared" si="9"/>
        <v>40</v>
      </c>
      <c r="Q83" s="26">
        <v>0</v>
      </c>
      <c r="R83" s="27">
        <f t="shared" si="10"/>
        <v>40</v>
      </c>
    </row>
    <row r="84" spans="1:18" ht="15.75" thickBot="1">
      <c r="A84" s="1">
        <f>ROW()</f>
        <v>84</v>
      </c>
      <c r="B84" s="48" t="s">
        <v>84</v>
      </c>
      <c r="D84" s="62">
        <v>2</v>
      </c>
      <c r="E84" s="112"/>
      <c r="G84" s="48" t="s">
        <v>83</v>
      </c>
      <c r="H84" s="48"/>
      <c r="I84" s="63">
        <f>0.5*D89*I80^2*D85</f>
        <v>2.4722875845293224</v>
      </c>
      <c r="J84" s="64"/>
      <c r="M84" s="1">
        <f>ROW()</f>
        <v>84</v>
      </c>
      <c r="O84" s="24">
        <f aca="true" t="shared" si="12" ref="O84:O95">+O83+1</f>
        <v>9</v>
      </c>
      <c r="P84" s="25">
        <f t="shared" si="9"/>
        <v>40</v>
      </c>
      <c r="Q84" s="26">
        <v>0</v>
      </c>
      <c r="R84" s="27">
        <f aca="true" t="shared" si="13" ref="R84:R95">+Q84+P84</f>
        <v>40</v>
      </c>
    </row>
    <row r="85" spans="1:18" ht="15.75" thickBot="1">
      <c r="A85" s="1">
        <f>ROW()</f>
        <v>85</v>
      </c>
      <c r="B85" s="151" t="s">
        <v>75</v>
      </c>
      <c r="C85" s="152"/>
      <c r="D85" s="154">
        <f>-PV(D83/D84,D82*D84,D81*D80/D84,D80)</f>
        <v>875.3778965746001</v>
      </c>
      <c r="E85" s="53">
        <v>2</v>
      </c>
      <c r="G85" s="48" t="s">
        <v>85</v>
      </c>
      <c r="H85" s="48"/>
      <c r="I85" s="65">
        <f>+I83+I84</f>
        <v>-54.55540107844966</v>
      </c>
      <c r="J85" s="66"/>
      <c r="L85" s="66"/>
      <c r="M85" s="1">
        <f>ROW()</f>
        <v>85</v>
      </c>
      <c r="O85" s="24">
        <f t="shared" si="12"/>
        <v>10</v>
      </c>
      <c r="P85" s="25">
        <f t="shared" si="9"/>
        <v>40</v>
      </c>
      <c r="Q85" s="26">
        <v>0</v>
      </c>
      <c r="R85" s="27">
        <f t="shared" si="13"/>
        <v>40</v>
      </c>
    </row>
    <row r="86" spans="1:18" ht="15.75" thickBot="1">
      <c r="A86" s="1">
        <f>ROW()</f>
        <v>86</v>
      </c>
      <c r="E86" s="67"/>
      <c r="G86" s="48"/>
      <c r="H86" s="48"/>
      <c r="I86" s="48"/>
      <c r="J86" s="90"/>
      <c r="L86" s="68"/>
      <c r="M86" s="1">
        <f>ROW()</f>
        <v>86</v>
      </c>
      <c r="O86" s="24">
        <f t="shared" si="12"/>
        <v>11</v>
      </c>
      <c r="P86" s="25">
        <f t="shared" si="9"/>
        <v>40</v>
      </c>
      <c r="Q86" s="26">
        <v>0</v>
      </c>
      <c r="R86" s="27">
        <f t="shared" si="13"/>
        <v>40</v>
      </c>
    </row>
    <row r="87" spans="1:18" ht="15.75" thickBot="1">
      <c r="A87" s="1">
        <f>ROW()</f>
        <v>87</v>
      </c>
      <c r="B87" s="151" t="s">
        <v>86</v>
      </c>
      <c r="C87" s="152"/>
      <c r="D87" s="153">
        <f>+G113/D85/D84</f>
        <v>6.840368408939489</v>
      </c>
      <c r="E87" s="67"/>
      <c r="G87" s="48" t="s">
        <v>87</v>
      </c>
      <c r="H87" s="48"/>
      <c r="I87" s="49">
        <f>-PV((D83+I80)/D84,D82*D84,D81*D80/D84,D80)</f>
        <v>820.7442627260756</v>
      </c>
      <c r="J87" s="101"/>
      <c r="L87" s="100"/>
      <c r="M87" s="1">
        <f>ROW()</f>
        <v>87</v>
      </c>
      <c r="O87" s="24">
        <f t="shared" si="12"/>
        <v>12</v>
      </c>
      <c r="P87" s="25">
        <f t="shared" si="9"/>
        <v>40</v>
      </c>
      <c r="Q87" s="26">
        <v>0</v>
      </c>
      <c r="R87" s="27">
        <f t="shared" si="13"/>
        <v>40</v>
      </c>
    </row>
    <row r="88" spans="1:18" ht="15.75" thickBot="1">
      <c r="A88" s="1">
        <f>ROW()</f>
        <v>88</v>
      </c>
      <c r="B88" s="48" t="s">
        <v>88</v>
      </c>
      <c r="D88" s="69">
        <f>+D87/(1+D83/D84)</f>
        <v>6.51463657994237</v>
      </c>
      <c r="E88" s="67"/>
      <c r="G88" s="48" t="s">
        <v>89</v>
      </c>
      <c r="H88" s="48"/>
      <c r="I88" s="70">
        <f>+D85+I85</f>
        <v>820.8224954961504</v>
      </c>
      <c r="J88" s="102"/>
      <c r="K88" s="100"/>
      <c r="L88" s="100"/>
      <c r="M88" s="1">
        <f>ROW()</f>
        <v>88</v>
      </c>
      <c r="O88" s="24">
        <f t="shared" si="12"/>
        <v>13</v>
      </c>
      <c r="P88" s="25">
        <f t="shared" si="9"/>
        <v>40</v>
      </c>
      <c r="Q88" s="26">
        <v>0</v>
      </c>
      <c r="R88" s="27">
        <f t="shared" si="13"/>
        <v>40</v>
      </c>
    </row>
    <row r="89" spans="1:18" ht="15.75" thickBot="1">
      <c r="A89" s="1">
        <f>ROW()</f>
        <v>89</v>
      </c>
      <c r="B89" s="151" t="s">
        <v>90</v>
      </c>
      <c r="C89" s="152"/>
      <c r="D89" s="153">
        <f>+J113/D85/D84^2</f>
        <v>56.4850356446859</v>
      </c>
      <c r="E89" s="67"/>
      <c r="G89" s="48" t="s">
        <v>91</v>
      </c>
      <c r="H89" s="48"/>
      <c r="I89" s="49">
        <f>+I88-I87</f>
        <v>0.07823277007480556</v>
      </c>
      <c r="J89" s="101"/>
      <c r="K89" s="100"/>
      <c r="L89" s="100"/>
      <c r="M89" s="1">
        <f>ROW()</f>
        <v>89</v>
      </c>
      <c r="O89" s="24">
        <f t="shared" si="12"/>
        <v>14</v>
      </c>
      <c r="P89" s="25">
        <f t="shared" si="9"/>
        <v>40</v>
      </c>
      <c r="Q89" s="26">
        <v>0</v>
      </c>
      <c r="R89" s="27">
        <f t="shared" si="13"/>
        <v>40</v>
      </c>
    </row>
    <row r="90" spans="1:18" ht="15.75" thickBot="1">
      <c r="A90" s="1">
        <f>ROW()</f>
        <v>90</v>
      </c>
      <c r="B90" s="48"/>
      <c r="C90" s="48"/>
      <c r="D90" s="48"/>
      <c r="E90" s="90"/>
      <c r="F90" s="48"/>
      <c r="G90" s="48"/>
      <c r="H90" s="48"/>
      <c r="J90" s="100"/>
      <c r="K90" s="100"/>
      <c r="L90" s="100"/>
      <c r="M90" s="1">
        <f>ROW()</f>
        <v>90</v>
      </c>
      <c r="O90" s="24">
        <f t="shared" si="12"/>
        <v>15</v>
      </c>
      <c r="P90" s="25">
        <f t="shared" si="9"/>
        <v>40</v>
      </c>
      <c r="Q90" s="26">
        <v>0</v>
      </c>
      <c r="R90" s="27">
        <f t="shared" si="13"/>
        <v>40</v>
      </c>
    </row>
    <row r="91" spans="1:18" ht="44.25" thickBot="1">
      <c r="A91" s="1">
        <f>ROW()</f>
        <v>91</v>
      </c>
      <c r="B91" s="71" t="s">
        <v>42</v>
      </c>
      <c r="C91" s="72" t="s">
        <v>92</v>
      </c>
      <c r="D91" s="71" t="s">
        <v>93</v>
      </c>
      <c r="E91" s="71" t="s">
        <v>96</v>
      </c>
      <c r="F91" s="71" t="s">
        <v>97</v>
      </c>
      <c r="G91" s="92" t="s">
        <v>98</v>
      </c>
      <c r="H91" s="71" t="s">
        <v>99</v>
      </c>
      <c r="I91" s="71" t="s">
        <v>100</v>
      </c>
      <c r="J91" s="71" t="s">
        <v>94</v>
      </c>
      <c r="K91" s="48"/>
      <c r="L91" s="48"/>
      <c r="M91" s="1">
        <f>ROW()</f>
        <v>91</v>
      </c>
      <c r="O91" s="24">
        <f t="shared" si="12"/>
        <v>16</v>
      </c>
      <c r="P91" s="25">
        <f t="shared" si="9"/>
        <v>40</v>
      </c>
      <c r="Q91" s="26">
        <v>0</v>
      </c>
      <c r="R91" s="27">
        <f t="shared" si="13"/>
        <v>40</v>
      </c>
    </row>
    <row r="92" spans="1:18" ht="15">
      <c r="A92" s="1">
        <f>ROW()</f>
        <v>92</v>
      </c>
      <c r="B92" s="73">
        <v>0</v>
      </c>
      <c r="C92" s="74">
        <f>-D85</f>
        <v>-875.3778965746001</v>
      </c>
      <c r="D92" s="75"/>
      <c r="G92" s="93"/>
      <c r="J92" s="48"/>
      <c r="K92" s="48"/>
      <c r="L92" s="48"/>
      <c r="M92" s="1">
        <f>ROW()</f>
        <v>92</v>
      </c>
      <c r="O92" s="24">
        <f t="shared" si="12"/>
        <v>17</v>
      </c>
      <c r="P92" s="25">
        <f t="shared" si="9"/>
        <v>40</v>
      </c>
      <c r="Q92" s="26">
        <v>0</v>
      </c>
      <c r="R92" s="27">
        <f t="shared" si="13"/>
        <v>40</v>
      </c>
    </row>
    <row r="93" spans="1:18" ht="15">
      <c r="A93" s="1">
        <f>ROW()</f>
        <v>93</v>
      </c>
      <c r="B93" s="73">
        <v>1</v>
      </c>
      <c r="C93" s="76">
        <f aca="true" t="shared" si="14" ref="C93:C111">+$D$80*$D$81/2</f>
        <v>40</v>
      </c>
      <c r="D93" s="69">
        <f aca="true" t="shared" si="15" ref="D93:D112">+C93/(1+($D$83/2))^B93</f>
        <v>38.095238095238095</v>
      </c>
      <c r="E93" s="107">
        <f>+D93/$D$113</f>
        <v>0.04351862006603865</v>
      </c>
      <c r="F93" s="96">
        <f>+E93*B93</f>
        <v>0.04351862006603865</v>
      </c>
      <c r="G93" s="108">
        <f aca="true" t="shared" si="16" ref="G93:G112">+D93*B93</f>
        <v>38.095238095238095</v>
      </c>
      <c r="H93" s="120">
        <f aca="true" t="shared" si="17" ref="H93:H112">+D93/(1+($D$83/2))^2</f>
        <v>34.553503941259045</v>
      </c>
      <c r="I93" s="97">
        <f>+B93+B93^2</f>
        <v>2</v>
      </c>
      <c r="J93" s="91">
        <f aca="true" t="shared" si="18" ref="J93:J112">+I93*H93</f>
        <v>69.10700788251809</v>
      </c>
      <c r="K93" s="77"/>
      <c r="L93" s="77"/>
      <c r="M93" s="1">
        <f>ROW()</f>
        <v>93</v>
      </c>
      <c r="O93" s="24">
        <f t="shared" si="12"/>
        <v>18</v>
      </c>
      <c r="P93" s="25">
        <f t="shared" si="9"/>
        <v>40</v>
      </c>
      <c r="Q93" s="26">
        <v>0</v>
      </c>
      <c r="R93" s="27">
        <f t="shared" si="13"/>
        <v>40</v>
      </c>
    </row>
    <row r="94" spans="1:18" ht="15">
      <c r="A94" s="1">
        <f>ROW()</f>
        <v>94</v>
      </c>
      <c r="B94" s="73">
        <v>2</v>
      </c>
      <c r="C94" s="76">
        <f t="shared" si="14"/>
        <v>40</v>
      </c>
      <c r="D94" s="69">
        <f t="shared" si="15"/>
        <v>36.281179138321995</v>
      </c>
      <c r="E94" s="107">
        <f aca="true" t="shared" si="19" ref="E94:E112">+D94/$D$113</f>
        <v>0.04144630482479871</v>
      </c>
      <c r="F94" s="96">
        <f aca="true" t="shared" si="20" ref="F94:F112">+E94*B94</f>
        <v>0.08289260964959742</v>
      </c>
      <c r="G94" s="109">
        <f t="shared" si="16"/>
        <v>72.56235827664399</v>
      </c>
      <c r="H94" s="120">
        <f t="shared" si="17"/>
        <v>32.90809899167528</v>
      </c>
      <c r="I94" s="97">
        <f aca="true" t="shared" si="21" ref="I94:I112">+B94+B94^2</f>
        <v>6</v>
      </c>
      <c r="J94" s="91">
        <f t="shared" si="18"/>
        <v>197.4485939500517</v>
      </c>
      <c r="K94" s="77"/>
      <c r="L94" s="79"/>
      <c r="M94" s="1">
        <f>ROW()</f>
        <v>94</v>
      </c>
      <c r="O94" s="24">
        <f t="shared" si="12"/>
        <v>19</v>
      </c>
      <c r="P94" s="25">
        <f t="shared" si="9"/>
        <v>40</v>
      </c>
      <c r="Q94" s="26">
        <v>0</v>
      </c>
      <c r="R94" s="27">
        <f t="shared" si="13"/>
        <v>40</v>
      </c>
    </row>
    <row r="95" spans="1:18" ht="15.75" thickBot="1">
      <c r="A95" s="1">
        <f>ROW()</f>
        <v>95</v>
      </c>
      <c r="B95" s="73">
        <v>3</v>
      </c>
      <c r="C95" s="76">
        <f t="shared" si="14"/>
        <v>40</v>
      </c>
      <c r="D95" s="69">
        <f t="shared" si="15"/>
        <v>34.55350394125904</v>
      </c>
      <c r="E95" s="107">
        <f t="shared" si="19"/>
        <v>0.039472671261713055</v>
      </c>
      <c r="F95" s="96">
        <f t="shared" si="20"/>
        <v>0.11841801378513916</v>
      </c>
      <c r="G95" s="109">
        <f t="shared" si="16"/>
        <v>103.66051182377711</v>
      </c>
      <c r="H95" s="120">
        <f t="shared" si="17"/>
        <v>31.341046658738357</v>
      </c>
      <c r="I95" s="97">
        <f t="shared" si="21"/>
        <v>12</v>
      </c>
      <c r="J95" s="91">
        <f t="shared" si="18"/>
        <v>376.0925599048603</v>
      </c>
      <c r="K95" s="77"/>
      <c r="L95" s="79"/>
      <c r="M95" s="1">
        <f>ROW()</f>
        <v>95</v>
      </c>
      <c r="O95" s="24">
        <f t="shared" si="12"/>
        <v>20</v>
      </c>
      <c r="P95" s="25">
        <f t="shared" si="9"/>
        <v>40</v>
      </c>
      <c r="Q95" s="26">
        <v>1000</v>
      </c>
      <c r="R95" s="27">
        <f t="shared" si="13"/>
        <v>1040</v>
      </c>
    </row>
    <row r="96" spans="1:19" ht="15.75" thickBot="1">
      <c r="A96" s="1">
        <f>ROW()</f>
        <v>96</v>
      </c>
      <c r="B96" s="73">
        <v>4</v>
      </c>
      <c r="C96" s="76">
        <f t="shared" si="14"/>
        <v>40</v>
      </c>
      <c r="D96" s="69">
        <f t="shared" si="15"/>
        <v>32.90809899167528</v>
      </c>
      <c r="E96" s="107">
        <f t="shared" si="19"/>
        <v>0.037593020249250535</v>
      </c>
      <c r="F96" s="96">
        <f t="shared" si="20"/>
        <v>0.15037208099700214</v>
      </c>
      <c r="G96" s="109">
        <f t="shared" si="16"/>
        <v>131.63239596670113</v>
      </c>
      <c r="H96" s="120">
        <f t="shared" si="17"/>
        <v>29.848615865465106</v>
      </c>
      <c r="I96" s="97">
        <f t="shared" si="21"/>
        <v>20</v>
      </c>
      <c r="J96" s="91">
        <f t="shared" si="18"/>
        <v>596.9723173093021</v>
      </c>
      <c r="K96" s="77"/>
      <c r="L96" s="80"/>
      <c r="M96" s="1">
        <f>ROW()</f>
        <v>96</v>
      </c>
      <c r="O96" s="42" t="s">
        <v>48</v>
      </c>
      <c r="P96" s="43"/>
      <c r="Q96" s="43"/>
      <c r="R96" s="44">
        <f>IRR(R75:R95)</f>
        <v>0.03308524273127289</v>
      </c>
      <c r="S96" s="45">
        <f>+R96*2</f>
        <v>0.06617048546254578</v>
      </c>
    </row>
    <row r="97" spans="1:14" ht="15">
      <c r="A97" s="1">
        <f>ROW()</f>
        <v>97</v>
      </c>
      <c r="B97" s="73">
        <v>5</v>
      </c>
      <c r="C97" s="76">
        <f t="shared" si="14"/>
        <v>40</v>
      </c>
      <c r="D97" s="69">
        <f t="shared" si="15"/>
        <v>31.341046658738357</v>
      </c>
      <c r="E97" s="107">
        <f t="shared" si="19"/>
        <v>0.03580287642785764</v>
      </c>
      <c r="F97" s="96">
        <f t="shared" si="20"/>
        <v>0.17901438213928822</v>
      </c>
      <c r="G97" s="109">
        <f t="shared" si="16"/>
        <v>156.70523329369178</v>
      </c>
      <c r="H97" s="120">
        <f t="shared" si="17"/>
        <v>28.427253205204856</v>
      </c>
      <c r="I97" s="97">
        <f t="shared" si="21"/>
        <v>30</v>
      </c>
      <c r="J97" s="91">
        <f t="shared" si="18"/>
        <v>852.8175961561457</v>
      </c>
      <c r="K97" s="77"/>
      <c r="L97" s="48"/>
      <c r="M97" s="48"/>
      <c r="N97" s="48"/>
    </row>
    <row r="98" spans="1:20" ht="15">
      <c r="A98" s="1">
        <f>ROW()</f>
        <v>98</v>
      </c>
      <c r="B98" s="73">
        <v>6</v>
      </c>
      <c r="C98" s="76">
        <f t="shared" si="14"/>
        <v>40</v>
      </c>
      <c r="D98" s="69">
        <f t="shared" si="15"/>
        <v>29.848615865465106</v>
      </c>
      <c r="E98" s="107">
        <f t="shared" si="19"/>
        <v>0.03409797755034062</v>
      </c>
      <c r="F98" s="96">
        <f t="shared" si="20"/>
        <v>0.20458786530204373</v>
      </c>
      <c r="G98" s="109">
        <f t="shared" si="16"/>
        <v>179.09169519279064</v>
      </c>
      <c r="H98" s="120">
        <f t="shared" si="17"/>
        <v>27.07357448114749</v>
      </c>
      <c r="I98" s="97">
        <f t="shared" si="21"/>
        <v>42</v>
      </c>
      <c r="J98" s="91">
        <f t="shared" si="18"/>
        <v>1137.0901282081945</v>
      </c>
      <c r="K98" s="77"/>
      <c r="L98" s="48"/>
      <c r="M98" s="48"/>
      <c r="N98" s="48"/>
      <c r="Q98" s="91"/>
      <c r="R98" s="91"/>
      <c r="S98" s="91"/>
      <c r="T98" s="91"/>
    </row>
    <row r="99" spans="1:14" ht="15">
      <c r="A99" s="1">
        <f>ROW()</f>
        <v>99</v>
      </c>
      <c r="B99" s="73">
        <v>7</v>
      </c>
      <c r="C99" s="76">
        <f t="shared" si="14"/>
        <v>40</v>
      </c>
      <c r="D99" s="69">
        <f t="shared" si="15"/>
        <v>28.42725320520486</v>
      </c>
      <c r="E99" s="107">
        <f t="shared" si="19"/>
        <v>0.03247426433365773</v>
      </c>
      <c r="F99" s="96">
        <f t="shared" si="20"/>
        <v>0.2273198503356041</v>
      </c>
      <c r="G99" s="109">
        <f t="shared" si="16"/>
        <v>198.990772436434</v>
      </c>
      <c r="H99" s="120">
        <f t="shared" si="17"/>
        <v>25.78435664871189</v>
      </c>
      <c r="I99" s="97">
        <f t="shared" si="21"/>
        <v>56</v>
      </c>
      <c r="J99" s="91">
        <f t="shared" si="18"/>
        <v>1443.9239723278658</v>
      </c>
      <c r="K99" s="77"/>
      <c r="L99" s="48"/>
      <c r="M99" s="48"/>
      <c r="N99" s="48"/>
    </row>
    <row r="100" spans="1:14" ht="15">
      <c r="A100" s="1">
        <f>ROW()</f>
        <v>100</v>
      </c>
      <c r="B100" s="73">
        <v>8</v>
      </c>
      <c r="C100" s="76">
        <f t="shared" si="14"/>
        <v>40</v>
      </c>
      <c r="D100" s="69">
        <f t="shared" si="15"/>
        <v>27.07357448114749</v>
      </c>
      <c r="E100" s="107">
        <f t="shared" si="19"/>
        <v>0.030927870793959745</v>
      </c>
      <c r="F100" s="96">
        <f t="shared" si="20"/>
        <v>0.24742296635167796</v>
      </c>
      <c r="G100" s="109">
        <f t="shared" si="16"/>
        <v>216.5885958491799</v>
      </c>
      <c r="H100" s="120">
        <f t="shared" si="17"/>
        <v>24.556530141630375</v>
      </c>
      <c r="I100" s="97">
        <f t="shared" si="21"/>
        <v>72</v>
      </c>
      <c r="J100" s="91">
        <f t="shared" si="18"/>
        <v>1768.0701701973871</v>
      </c>
      <c r="K100" s="77"/>
      <c r="L100" s="48"/>
      <c r="M100" s="48"/>
      <c r="N100" s="48"/>
    </row>
    <row r="101" spans="1:14" ht="15">
      <c r="A101" s="1">
        <f>ROW()</f>
        <v>101</v>
      </c>
      <c r="B101" s="73">
        <v>9</v>
      </c>
      <c r="C101" s="76">
        <f t="shared" si="14"/>
        <v>40</v>
      </c>
      <c r="D101" s="69">
        <f t="shared" si="15"/>
        <v>25.784356648711892</v>
      </c>
      <c r="E101" s="107">
        <f t="shared" si="19"/>
        <v>0.029455115041866424</v>
      </c>
      <c r="F101" s="96">
        <f t="shared" si="20"/>
        <v>0.2650960353767978</v>
      </c>
      <c r="G101" s="109">
        <f t="shared" si="16"/>
        <v>232.059209838407</v>
      </c>
      <c r="H101" s="120">
        <f t="shared" si="17"/>
        <v>23.387171563457496</v>
      </c>
      <c r="I101" s="97">
        <f t="shared" si="21"/>
        <v>90</v>
      </c>
      <c r="J101" s="91">
        <f t="shared" si="18"/>
        <v>2104.8454407111744</v>
      </c>
      <c r="K101" s="77"/>
      <c r="L101" s="48"/>
      <c r="M101" s="48"/>
      <c r="N101" s="48"/>
    </row>
    <row r="102" spans="1:14" ht="15">
      <c r="A102" s="1">
        <f>ROW()</f>
        <v>102</v>
      </c>
      <c r="B102" s="73">
        <v>10</v>
      </c>
      <c r="C102" s="76">
        <f t="shared" si="14"/>
        <v>40</v>
      </c>
      <c r="D102" s="69">
        <f t="shared" si="15"/>
        <v>24.556530141630372</v>
      </c>
      <c r="E102" s="107">
        <f t="shared" si="19"/>
        <v>0.028052490516063257</v>
      </c>
      <c r="F102" s="96">
        <f t="shared" si="20"/>
        <v>0.28052490516063255</v>
      </c>
      <c r="G102" s="109">
        <f t="shared" si="16"/>
        <v>245.56530141630373</v>
      </c>
      <c r="H102" s="120">
        <f t="shared" si="17"/>
        <v>22.273496727102376</v>
      </c>
      <c r="I102" s="97">
        <f t="shared" si="21"/>
        <v>110</v>
      </c>
      <c r="J102" s="91">
        <f t="shared" si="18"/>
        <v>2450.0846399812613</v>
      </c>
      <c r="K102" s="77"/>
      <c r="L102" s="48"/>
      <c r="M102" s="48"/>
      <c r="N102" s="48"/>
    </row>
    <row r="103" spans="1:14" ht="15">
      <c r="A103" s="1">
        <f>ROW()</f>
        <v>103</v>
      </c>
      <c r="B103" s="73">
        <v>11</v>
      </c>
      <c r="C103" s="76">
        <f t="shared" si="14"/>
        <v>40</v>
      </c>
      <c r="D103" s="69">
        <f t="shared" si="15"/>
        <v>23.387171563457496</v>
      </c>
      <c r="E103" s="107">
        <f t="shared" si="19"/>
        <v>0.02671665763434596</v>
      </c>
      <c r="F103" s="96">
        <f t="shared" si="20"/>
        <v>0.2938832339778055</v>
      </c>
      <c r="G103" s="109">
        <f t="shared" si="16"/>
        <v>257.2588871980325</v>
      </c>
      <c r="H103" s="120">
        <f t="shared" si="17"/>
        <v>21.212854025811787</v>
      </c>
      <c r="I103" s="97">
        <f t="shared" si="21"/>
        <v>132</v>
      </c>
      <c r="J103" s="91">
        <f t="shared" si="18"/>
        <v>2800.096731407156</v>
      </c>
      <c r="K103" s="77"/>
      <c r="L103" s="48"/>
      <c r="M103" s="48"/>
      <c r="N103" s="48"/>
    </row>
    <row r="104" spans="1:14" ht="15">
      <c r="A104" s="1">
        <f>ROW()</f>
        <v>104</v>
      </c>
      <c r="B104" s="73">
        <v>12</v>
      </c>
      <c r="C104" s="76">
        <f t="shared" si="14"/>
        <v>40</v>
      </c>
      <c r="D104" s="69">
        <f t="shared" si="15"/>
        <v>22.27349672710238</v>
      </c>
      <c r="E104" s="107">
        <f t="shared" si="19"/>
        <v>0.02544443584223425</v>
      </c>
      <c r="F104" s="96">
        <f t="shared" si="20"/>
        <v>0.305333230106811</v>
      </c>
      <c r="G104" s="109">
        <f t="shared" si="16"/>
        <v>267.28196072522854</v>
      </c>
      <c r="H104" s="120">
        <f t="shared" si="17"/>
        <v>20.20271811982075</v>
      </c>
      <c r="I104" s="97">
        <f t="shared" si="21"/>
        <v>156</v>
      </c>
      <c r="J104" s="91">
        <f t="shared" si="18"/>
        <v>3151.624026692037</v>
      </c>
      <c r="K104" s="77"/>
      <c r="L104" s="48"/>
      <c r="M104" s="48"/>
      <c r="N104" s="48"/>
    </row>
    <row r="105" spans="1:14" ht="15">
      <c r="A105" s="1">
        <f>ROW()</f>
        <v>105</v>
      </c>
      <c r="B105" s="73">
        <v>13</v>
      </c>
      <c r="C105" s="76">
        <f t="shared" si="14"/>
        <v>40</v>
      </c>
      <c r="D105" s="69">
        <f t="shared" si="15"/>
        <v>21.212854025811787</v>
      </c>
      <c r="E105" s="107">
        <f t="shared" si="19"/>
        <v>0.02423279604022309</v>
      </c>
      <c r="F105" s="96">
        <f t="shared" si="20"/>
        <v>0.3150263485229002</v>
      </c>
      <c r="G105" s="109">
        <f t="shared" si="16"/>
        <v>275.7671023355532</v>
      </c>
      <c r="H105" s="120">
        <f t="shared" si="17"/>
        <v>19.24068392363881</v>
      </c>
      <c r="I105" s="97">
        <f t="shared" si="21"/>
        <v>182</v>
      </c>
      <c r="J105" s="91">
        <f t="shared" si="18"/>
        <v>3501.804474102263</v>
      </c>
      <c r="K105" s="77"/>
      <c r="L105" s="48"/>
      <c r="M105" s="48"/>
      <c r="N105" s="48"/>
    </row>
    <row r="106" spans="1:14" ht="15">
      <c r="A106" s="1">
        <f>ROW()</f>
        <v>106</v>
      </c>
      <c r="B106" s="73">
        <v>14</v>
      </c>
      <c r="C106" s="76">
        <f t="shared" si="14"/>
        <v>40</v>
      </c>
      <c r="D106" s="69">
        <f t="shared" si="15"/>
        <v>20.202718119820755</v>
      </c>
      <c r="E106" s="107">
        <f t="shared" si="19"/>
        <v>0.023078853371641044</v>
      </c>
      <c r="F106" s="96">
        <f t="shared" si="20"/>
        <v>0.32310394720297464</v>
      </c>
      <c r="G106" s="109">
        <f t="shared" si="16"/>
        <v>282.83805367749056</v>
      </c>
      <c r="H106" s="120">
        <f t="shared" si="17"/>
        <v>18.324460879656012</v>
      </c>
      <c r="I106" s="97">
        <f t="shared" si="21"/>
        <v>210</v>
      </c>
      <c r="J106" s="91">
        <f t="shared" si="18"/>
        <v>3848.1367847277625</v>
      </c>
      <c r="K106" s="77"/>
      <c r="L106" s="48"/>
      <c r="M106" s="48"/>
      <c r="N106" s="48"/>
    </row>
    <row r="107" spans="1:14" ht="15.75" customHeight="1">
      <c r="A107" s="1">
        <f>ROW()</f>
        <v>107</v>
      </c>
      <c r="B107" s="73">
        <v>15</v>
      </c>
      <c r="C107" s="76">
        <f t="shared" si="14"/>
        <v>40</v>
      </c>
      <c r="D107" s="69">
        <f t="shared" si="15"/>
        <v>19.24068392363881</v>
      </c>
      <c r="E107" s="107">
        <f t="shared" si="19"/>
        <v>0.021979860353943847</v>
      </c>
      <c r="F107" s="96">
        <f t="shared" si="20"/>
        <v>0.3296979053091577</v>
      </c>
      <c r="G107" s="109">
        <f t="shared" si="16"/>
        <v>288.6102588545821</v>
      </c>
      <c r="H107" s="120">
        <f t="shared" si="17"/>
        <v>17.451867504434293</v>
      </c>
      <c r="I107" s="97">
        <f t="shared" si="21"/>
        <v>240</v>
      </c>
      <c r="J107" s="91">
        <f t="shared" si="18"/>
        <v>4188.4482010642305</v>
      </c>
      <c r="K107" s="77"/>
      <c r="L107" s="48"/>
      <c r="M107" s="48"/>
      <c r="N107" s="48"/>
    </row>
    <row r="108" spans="1:14" ht="15.75" customHeight="1">
      <c r="A108" s="1">
        <f>ROW()</f>
        <v>108</v>
      </c>
      <c r="B108" s="73">
        <v>16</v>
      </c>
      <c r="C108" s="76">
        <f t="shared" si="14"/>
        <v>40</v>
      </c>
      <c r="D108" s="69">
        <f t="shared" si="15"/>
        <v>18.32446087965601</v>
      </c>
      <c r="E108" s="107">
        <f t="shared" si="19"/>
        <v>0.020933200337089376</v>
      </c>
      <c r="F108" s="96">
        <f t="shared" si="20"/>
        <v>0.33493120539343</v>
      </c>
      <c r="G108" s="109">
        <f t="shared" si="16"/>
        <v>293.19137407449614</v>
      </c>
      <c r="H108" s="120">
        <f t="shared" si="17"/>
        <v>16.620826194699326</v>
      </c>
      <c r="I108" s="97">
        <f t="shared" si="21"/>
        <v>272</v>
      </c>
      <c r="J108" s="91">
        <f t="shared" si="18"/>
        <v>4520.864724958216</v>
      </c>
      <c r="K108" s="77"/>
      <c r="L108" s="48"/>
      <c r="M108" s="48"/>
      <c r="N108" s="48"/>
    </row>
    <row r="109" spans="1:14" ht="15">
      <c r="A109" s="1">
        <f>ROW()</f>
        <v>109</v>
      </c>
      <c r="B109" s="73">
        <v>17</v>
      </c>
      <c r="C109" s="76">
        <f t="shared" si="14"/>
        <v>40</v>
      </c>
      <c r="D109" s="69">
        <f t="shared" si="15"/>
        <v>17.451867504434293</v>
      </c>
      <c r="E109" s="107">
        <f t="shared" si="19"/>
        <v>0.019936381273418454</v>
      </c>
      <c r="F109" s="96">
        <f t="shared" si="20"/>
        <v>0.3389184816481137</v>
      </c>
      <c r="G109" s="109">
        <f t="shared" si="16"/>
        <v>296.681747575383</v>
      </c>
      <c r="H109" s="120">
        <f t="shared" si="17"/>
        <v>15.829358280666025</v>
      </c>
      <c r="I109" s="97">
        <f t="shared" si="21"/>
        <v>306</v>
      </c>
      <c r="J109" s="91">
        <f t="shared" si="18"/>
        <v>4843.783633883803</v>
      </c>
      <c r="K109" s="77"/>
      <c r="L109" s="48"/>
      <c r="M109" s="48"/>
      <c r="N109" s="48"/>
    </row>
    <row r="110" spans="1:14" ht="15">
      <c r="A110" s="1">
        <f>ROW()</f>
        <v>110</v>
      </c>
      <c r="B110" s="73">
        <v>18</v>
      </c>
      <c r="C110" s="76">
        <f t="shared" si="14"/>
        <v>40</v>
      </c>
      <c r="D110" s="69">
        <f t="shared" si="15"/>
        <v>16.620826194699326</v>
      </c>
      <c r="E110" s="107">
        <f t="shared" si="19"/>
        <v>0.01898702978420805</v>
      </c>
      <c r="F110" s="96">
        <f t="shared" si="20"/>
        <v>0.3417665361157449</v>
      </c>
      <c r="G110" s="109">
        <f t="shared" si="16"/>
        <v>299.1748715045879</v>
      </c>
      <c r="H110" s="120">
        <f t="shared" si="17"/>
        <v>15.075579314920024</v>
      </c>
      <c r="I110" s="97">
        <f t="shared" si="21"/>
        <v>342</v>
      </c>
      <c r="J110" s="91">
        <f t="shared" si="18"/>
        <v>5155.848125702648</v>
      </c>
      <c r="K110" s="77"/>
      <c r="L110" s="48"/>
      <c r="M110" s="48"/>
      <c r="N110" s="48"/>
    </row>
    <row r="111" spans="1:14" ht="15">
      <c r="A111" s="1">
        <f>ROW()</f>
        <v>111</v>
      </c>
      <c r="B111" s="73">
        <v>19</v>
      </c>
      <c r="C111" s="76">
        <f t="shared" si="14"/>
        <v>40</v>
      </c>
      <c r="D111" s="69">
        <f t="shared" si="15"/>
        <v>15.829358280666025</v>
      </c>
      <c r="E111" s="107">
        <f t="shared" si="19"/>
        <v>0.01808288550876957</v>
      </c>
      <c r="F111" s="96">
        <f t="shared" si="20"/>
        <v>0.34357482466662187</v>
      </c>
      <c r="G111" s="109">
        <f t="shared" si="16"/>
        <v>300.75780733265447</v>
      </c>
      <c r="H111" s="120">
        <f t="shared" si="17"/>
        <v>14.357694585638118</v>
      </c>
      <c r="I111" s="97">
        <f t="shared" si="21"/>
        <v>380</v>
      </c>
      <c r="J111" s="91">
        <f t="shared" si="18"/>
        <v>5455.923942542485</v>
      </c>
      <c r="K111" s="77"/>
      <c r="L111" s="48"/>
      <c r="M111" s="48"/>
      <c r="N111" s="48"/>
    </row>
    <row r="112" spans="1:14" ht="15.75" thickBot="1">
      <c r="A112" s="1">
        <f>ROW()</f>
        <v>112</v>
      </c>
      <c r="B112" s="81">
        <v>20</v>
      </c>
      <c r="C112" s="76">
        <f>+$D$80*$D$81/2+$D$80</f>
        <v>1040</v>
      </c>
      <c r="D112" s="69">
        <f t="shared" si="15"/>
        <v>391.96506218792064</v>
      </c>
      <c r="E112" s="107">
        <f t="shared" si="19"/>
        <v>0.4477666887885799</v>
      </c>
      <c r="F112" s="98">
        <f t="shared" si="20"/>
        <v>8.955333775771598</v>
      </c>
      <c r="G112" s="110">
        <f t="shared" si="16"/>
        <v>7839.301243758413</v>
      </c>
      <c r="H112" s="120">
        <f t="shared" si="17"/>
        <v>355.52386593008674</v>
      </c>
      <c r="I112" s="97">
        <f t="shared" si="21"/>
        <v>420</v>
      </c>
      <c r="J112" s="99">
        <f t="shared" si="18"/>
        <v>149320.02369063644</v>
      </c>
      <c r="K112" s="77"/>
      <c r="L112" s="48"/>
      <c r="M112" s="48"/>
      <c r="N112" s="48"/>
    </row>
    <row r="113" spans="1:14" ht="15.75" thickBot="1">
      <c r="A113" s="1">
        <f>ROW()</f>
        <v>113</v>
      </c>
      <c r="B113" s="82"/>
      <c r="C113" s="83" t="s">
        <v>95</v>
      </c>
      <c r="D113" s="155">
        <f>SUM(D92:D112)</f>
        <v>875.3778965746001</v>
      </c>
      <c r="E113" s="107">
        <f>SUM(E92:E112)</f>
        <v>1</v>
      </c>
      <c r="F113" s="96">
        <f>SUM(F93:F112)</f>
        <v>13.680736817878978</v>
      </c>
      <c r="G113" s="94">
        <f>SUM(G92:G112)</f>
        <v>11975.814619225588</v>
      </c>
      <c r="H113" s="96">
        <f>SUM(H93:H112)</f>
        <v>793.9935569837642</v>
      </c>
      <c r="I113" s="97"/>
      <c r="J113" s="78">
        <f>SUM(J92:J112)</f>
        <v>197783.00676234582</v>
      </c>
      <c r="K113" s="159"/>
      <c r="L113" s="48"/>
      <c r="M113" s="48"/>
      <c r="N113" s="48"/>
    </row>
    <row r="114" spans="1:39" ht="15.75" thickBot="1">
      <c r="A114" s="1">
        <f>ROW()</f>
        <v>114</v>
      </c>
      <c r="C114" s="113" t="s">
        <v>103</v>
      </c>
      <c r="E114" s="114" t="s">
        <v>104</v>
      </c>
      <c r="F114" s="156">
        <f>+F113/2</f>
        <v>6.840368408939489</v>
      </c>
      <c r="G114" s="95"/>
      <c r="I114" s="114" t="s">
        <v>105</v>
      </c>
      <c r="J114" s="157">
        <f>+J113/D85/D84^2</f>
        <v>56.4850356446859</v>
      </c>
      <c r="K114" s="160"/>
      <c r="M114" s="48"/>
      <c r="N114" s="48"/>
      <c r="AM114" s="33" t="s">
        <v>74</v>
      </c>
    </row>
    <row r="115" spans="1:14" ht="15.75" thickBot="1">
      <c r="A115" s="1">
        <f>ROW()</f>
        <v>115</v>
      </c>
      <c r="M115" s="48"/>
      <c r="N115" s="48"/>
    </row>
    <row r="116" spans="13:43" ht="15">
      <c r="M116" s="48"/>
      <c r="N116" s="48"/>
      <c r="AM116" s="55"/>
      <c r="AN116" s="56"/>
      <c r="AO116" s="56"/>
      <c r="AP116" s="56"/>
      <c r="AQ116" s="57"/>
    </row>
    <row r="117" spans="13:43" ht="15">
      <c r="M117" s="48"/>
      <c r="N117" s="48"/>
      <c r="AM117" s="60"/>
      <c r="AN117" s="38"/>
      <c r="AO117" s="38"/>
      <c r="AP117" s="38"/>
      <c r="AQ117" s="61"/>
    </row>
    <row r="118" spans="13:43" ht="15">
      <c r="M118" s="48"/>
      <c r="N118" s="48"/>
      <c r="AM118" s="60"/>
      <c r="AN118" s="38"/>
      <c r="AO118" s="38"/>
      <c r="AP118" s="38"/>
      <c r="AQ118" s="61"/>
    </row>
    <row r="119" spans="39:43" ht="12.75">
      <c r="AM119" s="60"/>
      <c r="AN119" s="38"/>
      <c r="AO119" s="38"/>
      <c r="AP119" s="38"/>
      <c r="AQ119" s="61"/>
    </row>
    <row r="120" spans="39:43" ht="12.75">
      <c r="AM120" s="60"/>
      <c r="AN120" s="38"/>
      <c r="AO120" s="38"/>
      <c r="AP120" s="38"/>
      <c r="AQ120" s="61"/>
    </row>
    <row r="121" spans="39:43" ht="12.75">
      <c r="AM121" s="60"/>
      <c r="AN121" s="38"/>
      <c r="AO121" s="38"/>
      <c r="AP121" s="38"/>
      <c r="AQ121" s="61"/>
    </row>
    <row r="122" spans="39:43" ht="12.75">
      <c r="AM122" s="60"/>
      <c r="AN122" s="38"/>
      <c r="AO122" s="38"/>
      <c r="AP122" s="38"/>
      <c r="AQ122" s="61"/>
    </row>
  </sheetData>
  <sheetProtection/>
  <printOptions/>
  <pageMargins left="0.75" right="0.75" top="1" bottom="1" header="0.5" footer="0.5"/>
  <pageSetup horizontalDpi="600" verticalDpi="600" orientation="portrait" scale="65" r:id="rId2"/>
  <rowBreaks count="2" manualBreakCount="2">
    <brk id="69" max="255" man="1"/>
    <brk id="109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2010-12-29T15:35:07Z</cp:lastPrinted>
  <dcterms:created xsi:type="dcterms:W3CDTF">2009-12-10T15:45:13Z</dcterms:created>
  <dcterms:modified xsi:type="dcterms:W3CDTF">2016-09-24T10:52:30Z</dcterms:modified>
  <cp:category/>
  <cp:version/>
  <cp:contentType/>
  <cp:contentStatus/>
</cp:coreProperties>
</file>