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180" windowHeight="80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'Sheet1'!$A$1:$L$155</definedName>
  </definedNames>
  <calcPr fullCalcOnLoad="1"/>
</workbook>
</file>

<file path=xl/sharedStrings.xml><?xml version="1.0" encoding="utf-8"?>
<sst xmlns="http://schemas.openxmlformats.org/spreadsheetml/2006/main" count="257" uniqueCount="208">
  <si>
    <t>CORPORATE VALUATIONS - Public Companies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</si>
  <si>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</si>
  <si>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</si>
  <si>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</si>
  <si>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</si>
  <si>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</si>
  <si>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</si>
  <si>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</si>
  <si>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</si>
  <si>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</si>
  <si>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Stocks Outstanding ($000)</t>
  </si>
  <si>
    <t>Equity Value
 ($000)</t>
  </si>
  <si>
    <t>Debt (ST&amp;LT)
($000)</t>
  </si>
  <si>
    <t>Cash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</si>
  <si>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</si>
  <si>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</si>
  <si>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</si>
  <si>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</si>
  <si>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</si>
  <si>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</si>
  <si>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</si>
  <si>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</si>
  <si>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</si>
  <si>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</si>
  <si>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</si>
  <si>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</si>
  <si>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</si>
  <si>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</si>
  <si>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</si>
  <si>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</si>
  <si>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</si>
  <si>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</si>
  <si>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</si>
  <si>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>Starwood's Enteprise Value</t>
  </si>
  <si>
    <t>E</t>
  </si>
  <si>
    <t>EV / E</t>
  </si>
  <si>
    <t>EBITDA Multiple</t>
  </si>
  <si>
    <t>Beta</t>
  </si>
  <si>
    <t>Intercontinental Hotel</t>
  </si>
  <si>
    <t>IHG</t>
  </si>
  <si>
    <t>Morgan Hotel Group</t>
  </si>
  <si>
    <t>MHGC</t>
  </si>
  <si>
    <t>WYN</t>
  </si>
  <si>
    <t>Average</t>
  </si>
  <si>
    <t>EBITDA * Average Multiple</t>
  </si>
  <si>
    <t>Outliers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</si>
  <si>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</si>
  <si>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</si>
  <si>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</si>
  <si>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</si>
  <si>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</si>
  <si>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</si>
  <si>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</si>
  <si>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</si>
  <si>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EBITDA (last reported)</t>
  </si>
  <si>
    <t>Four Seasons*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</si>
  <si>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</si>
  <si>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</si>
  <si>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</si>
  <si>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</si>
  <si>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</si>
  <si>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</si>
  <si>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</si>
  <si>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</si>
  <si>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</si>
  <si>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</si>
  <si>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</si>
  <si>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</si>
  <si>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</si>
  <si>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</si>
  <si>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</si>
  <si>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</si>
  <si>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</si>
  <si>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</si>
  <si>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</si>
  <si>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</si>
  <si>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</si>
  <si>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</si>
  <si>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</si>
  <si>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</si>
  <si>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</si>
  <si>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</si>
  <si>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 xml:space="preserve">  year =</t>
  </si>
  <si>
    <t>Discout Cash Flow Valuation Analysis</t>
  </si>
  <si>
    <t>Projected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</si>
  <si>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</si>
  <si>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</si>
  <si>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</si>
  <si>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</si>
  <si>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</si>
  <si>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</si>
  <si>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</si>
  <si>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Plus Depreciation</t>
  </si>
  <si>
    <t xml:space="preserve">Less Capex </t>
  </si>
  <si>
    <t>Cash Flow</t>
  </si>
  <si>
    <t>EBITDA</t>
  </si>
  <si>
    <t>Terminal Value</t>
  </si>
  <si>
    <t xml:space="preserve">  EBITDA Multiple Method</t>
  </si>
  <si>
    <t>(EBITDA x EBITDA Multiple)</t>
  </si>
  <si>
    <t xml:space="preserve">  Perpetuity Method </t>
  </si>
  <si>
    <t>Less Debt Outstanding (at Exit)</t>
  </si>
  <si>
    <t>Plus Cash (at Exit)</t>
  </si>
  <si>
    <t>Equity Value at Terminal</t>
  </si>
  <si>
    <t>Equity Cash Flows</t>
  </si>
  <si>
    <t>x</t>
  </si>
  <si>
    <t>=</t>
  </si>
  <si>
    <t>PV (1) =</t>
  </si>
  <si>
    <t>PV (2) =</t>
  </si>
  <si>
    <t>PV (3) =</t>
  </si>
  <si>
    <t>PV (4) =</t>
  </si>
  <si>
    <t>PV (5) =</t>
  </si>
  <si>
    <t>PV=</t>
  </si>
  <si>
    <t>PV of Equity + PV of Debt</t>
  </si>
  <si>
    <t xml:space="preserve">PV of Equity = </t>
  </si>
  <si>
    <t>Cost of Equity Calc</t>
  </si>
  <si>
    <t xml:space="preserve">+ PV of Debt = </t>
  </si>
  <si>
    <t>Premium based on MC =</t>
  </si>
  <si>
    <t>Starwood Beta =</t>
  </si>
  <si>
    <t>Expected Equity Return =</t>
  </si>
  <si>
    <t>STARWOOD HOTELS &amp; RESORTS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</si>
  <si>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</si>
  <si>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</si>
  <si>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</si>
  <si>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</si>
  <si>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</si>
  <si>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</si>
  <si>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</si>
  <si>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</si>
  <si>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</si>
  <si>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</si>
  <si>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 xml:space="preserve">  Average of other methods</t>
  </si>
  <si>
    <t xml:space="preserve">+ PV of Cash = </t>
  </si>
  <si>
    <t>H</t>
  </si>
  <si>
    <t>Market Capitalization (Equity Value)</t>
  </si>
  <si>
    <t>Dividends/Share</t>
  </si>
  <si>
    <t>Valuation</t>
  </si>
  <si>
    <t>General Information</t>
  </si>
  <si>
    <t>Profitability</t>
  </si>
  <si>
    <t>ROE %</t>
  </si>
  <si>
    <t>ROA%</t>
  </si>
  <si>
    <t>P/E</t>
  </si>
  <si>
    <t>EV / EBITDA</t>
  </si>
  <si>
    <t>Expected HPR = E 9r) = [E (d1) + (E(p1) - P0) / P0</t>
  </si>
  <si>
    <t>Dividend (d1)</t>
  </si>
  <si>
    <t>P1 = P0+D</t>
  </si>
  <si>
    <t>P0</t>
  </si>
  <si>
    <t>Exp. HPR=</t>
  </si>
  <si>
    <t>Risk Free =</t>
  </si>
  <si>
    <t>Beta =</t>
  </si>
  <si>
    <t>Premium=</t>
  </si>
  <si>
    <t>RoR =</t>
  </si>
  <si>
    <t>Intrinsic Value = V0 = [ E(D1) + E (P1)] / (1+k)</t>
  </si>
  <si>
    <t>D1=</t>
  </si>
  <si>
    <t>k=</t>
  </si>
  <si>
    <t>V0=</t>
  </si>
  <si>
    <t>Intrinsic Value Method</t>
  </si>
  <si>
    <t>D1 =</t>
  </si>
  <si>
    <t>g=</t>
  </si>
  <si>
    <t>Dividend V0 = D1 / (k-g)</t>
  </si>
  <si>
    <t xml:space="preserve">METHOD #2 -Average  EBITDA  Industry Trading Multiples </t>
  </si>
  <si>
    <t>METHOD #3 - Using Averge EBITDA Transaction Multiples (M&amp;A Comparable Method)</t>
  </si>
  <si>
    <t>Book Value of Assets</t>
  </si>
  <si>
    <t>Book Value of Equity</t>
  </si>
  <si>
    <t>Debt (assuming 5% reduction)</t>
  </si>
  <si>
    <t>Common Shares Outstanding (000's)</t>
  </si>
  <si>
    <t>Revenues (LTM)</t>
  </si>
  <si>
    <t>Operating Expenses (Excl. Non-rec.)</t>
  </si>
  <si>
    <t>EV/Sales</t>
  </si>
  <si>
    <t>EV/BV</t>
  </si>
  <si>
    <t>Current Market Price</t>
  </si>
  <si>
    <t>Intrinsic Value Price</t>
  </si>
  <si>
    <t>Comparable Trading Multiples</t>
  </si>
  <si>
    <t>Comparable Acquisition Multiples</t>
  </si>
  <si>
    <t>DCF Analysis</t>
  </si>
  <si>
    <t>METHOD #1 - Using the Stock Price / Dividend Yield</t>
  </si>
  <si>
    <t>Less Taxes (tax rate x of EBIT)</t>
  </si>
  <si>
    <t>Growth</t>
  </si>
  <si>
    <t>Total Net Debt ($mm)</t>
  </si>
  <si>
    <t>ND</t>
  </si>
  <si>
    <t>EQ + ND = EV</t>
  </si>
  <si>
    <t xml:space="preserve"> Next Year's Cash Flow / (Discount Rate - Growth)</t>
  </si>
  <si>
    <t>ENTERPRISE VALUATION ANALYSIS</t>
  </si>
  <si>
    <t>Enterprise Value =</t>
  </si>
  <si>
    <t>Starwood's Enterprise Value</t>
  </si>
  <si>
    <t>Enterprise Value (EV)</t>
  </si>
  <si>
    <t>EBITDA 
($mm)</t>
  </si>
  <si>
    <t>Hyatt</t>
  </si>
  <si>
    <t>Wyndham Worldwide</t>
  </si>
  <si>
    <t>EBITDA (LTM)</t>
  </si>
  <si>
    <t>Net Income (LTM)</t>
  </si>
  <si>
    <t>Risk Free Rate (5 year)</t>
  </si>
  <si>
    <t>Using CAPM = k = Rf + ( Beta * Premium )</t>
  </si>
  <si>
    <t>Exp (P1)=</t>
  </si>
  <si>
    <t>Historical</t>
  </si>
  <si>
    <t>PV Table for ($1)</t>
  </si>
  <si>
    <t>Kingtom Hotels Int'l / 
Gates' Cascade</t>
  </si>
  <si>
    <t>(adjusted for 9 months)</t>
  </si>
  <si>
    <t>Stock Price 
(as of 10/15/14)</t>
  </si>
  <si>
    <t>Last Reported Performance (6/30/2014 ($ 000's)</t>
  </si>
  <si>
    <t>6/30/2014</t>
  </si>
  <si>
    <t>(Avg Target by Analysts for 12/15)</t>
  </si>
  <si>
    <t xml:space="preserve">Analyst Est. </t>
  </si>
  <si>
    <t xml:space="preserve"> (Average Earnings per share)</t>
  </si>
  <si>
    <t>PE Multiple</t>
  </si>
  <si>
    <t>Hilton Worldwide Holdings Inc.</t>
  </si>
  <si>
    <t>Belmond (A/K Orient Express Hotels Ltd)</t>
  </si>
  <si>
    <t>BEL</t>
  </si>
  <si>
    <t xml:space="preserve"> (excluding MCS and MHGC)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</si>
</sst>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\x"/>
    <numFmt numFmtId="167" formatCode="0.0%"/>
    <numFmt numFmtId="168" formatCode="0.0\x"/>
    <numFmt numFmtId="169" formatCode="_(* #,##0.0000000_);_(* \(#,##0.000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48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8.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44" fontId="5" fillId="0" borderId="16" xfId="44" applyFont="1" applyBorder="1" applyAlignment="1">
      <alignment/>
    </xf>
    <xf numFmtId="164" fontId="5" fillId="0" borderId="16" xfId="42" applyNumberFormat="1" applyFont="1" applyBorder="1" applyAlignment="1">
      <alignment/>
    </xf>
    <xf numFmtId="43" fontId="5" fillId="0" borderId="16" xfId="42" applyNumberFormat="1" applyFont="1" applyBorder="1" applyAlignment="1">
      <alignment/>
    </xf>
    <xf numFmtId="43" fontId="5" fillId="0" borderId="17" xfId="42" applyNumberFormat="1" applyFont="1" applyBorder="1" applyAlignment="1">
      <alignment/>
    </xf>
    <xf numFmtId="43" fontId="5" fillId="0" borderId="18" xfId="42" applyNumberFormat="1" applyFont="1" applyBorder="1" applyAlignment="1">
      <alignment/>
    </xf>
    <xf numFmtId="43" fontId="7" fillId="33" borderId="19" xfId="42" applyNumberFormat="1" applyFont="1" applyFill="1" applyBorder="1" applyAlignment="1">
      <alignment/>
    </xf>
    <xf numFmtId="0" fontId="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/>
    </xf>
    <xf numFmtId="44" fontId="5" fillId="0" borderId="21" xfId="44" applyFont="1" applyBorder="1" applyAlignment="1">
      <alignment/>
    </xf>
    <xf numFmtId="164" fontId="5" fillId="0" borderId="21" xfId="42" applyNumberFormat="1" applyFont="1" applyBorder="1" applyAlignment="1">
      <alignment/>
    </xf>
    <xf numFmtId="43" fontId="5" fillId="0" borderId="22" xfId="42" applyNumberFormat="1" applyFont="1" applyBorder="1" applyAlignment="1">
      <alignment/>
    </xf>
    <xf numFmtId="43" fontId="5" fillId="0" borderId="23" xfId="42" applyNumberFormat="1" applyFont="1" applyBorder="1" applyAlignment="1">
      <alignment/>
    </xf>
    <xf numFmtId="43" fontId="7" fillId="33" borderId="24" xfId="42" applyNumberFormat="1" applyFont="1" applyFill="1" applyBorder="1" applyAlignment="1">
      <alignment/>
    </xf>
    <xf numFmtId="44" fontId="5" fillId="0" borderId="21" xfId="44" applyFont="1" applyFill="1" applyBorder="1" applyAlignment="1">
      <alignment/>
    </xf>
    <xf numFmtId="44" fontId="5" fillId="4" borderId="21" xfId="44" applyFont="1" applyFill="1" applyBorder="1" applyAlignment="1">
      <alignment horizontal="center"/>
    </xf>
    <xf numFmtId="165" fontId="5" fillId="4" borderId="21" xfId="42" applyNumberFormat="1" applyFont="1" applyFill="1" applyBorder="1" applyAlignment="1">
      <alignment/>
    </xf>
    <xf numFmtId="165" fontId="5" fillId="0" borderId="16" xfId="42" applyNumberFormat="1" applyFont="1" applyBorder="1" applyAlignment="1">
      <alignment/>
    </xf>
    <xf numFmtId="165" fontId="7" fillId="33" borderId="24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0" fontId="8" fillId="32" borderId="25" xfId="0" applyFont="1" applyFill="1" applyBorder="1" applyAlignment="1">
      <alignment horizontal="left" vertical="center" wrapText="1"/>
    </xf>
    <xf numFmtId="165" fontId="2" fillId="32" borderId="2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4" fontId="5" fillId="0" borderId="11" xfId="44" applyFont="1" applyFill="1" applyBorder="1" applyAlignment="1">
      <alignment horizontal="center"/>
    </xf>
    <xf numFmtId="44" fontId="5" fillId="0" borderId="11" xfId="44" applyFont="1" applyFill="1" applyBorder="1" applyAlignment="1">
      <alignment horizontal="right"/>
    </xf>
    <xf numFmtId="165" fontId="5" fillId="0" borderId="11" xfId="42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5" fillId="0" borderId="13" xfId="42" applyNumberFormat="1" applyFont="1" applyBorder="1" applyAlignment="1">
      <alignment/>
    </xf>
    <xf numFmtId="165" fontId="7" fillId="33" borderId="14" xfId="42" applyNumberFormat="1" applyFont="1" applyFill="1" applyBorder="1" applyAlignment="1">
      <alignment/>
    </xf>
    <xf numFmtId="166" fontId="7" fillId="33" borderId="14" xfId="42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5" fillId="0" borderId="27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0" fontId="2" fillId="32" borderId="0" xfId="0" applyFont="1" applyFill="1" applyAlignment="1">
      <alignment horizontal="center"/>
    </xf>
    <xf numFmtId="0" fontId="2" fillId="32" borderId="28" xfId="0" applyFont="1" applyFill="1" applyBorder="1" applyAlignment="1">
      <alignment horizontal="center"/>
    </xf>
    <xf numFmtId="165" fontId="0" fillId="0" borderId="29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9" xfId="42" applyNumberFormat="1" applyFont="1" applyBorder="1" applyAlignment="1">
      <alignment/>
    </xf>
    <xf numFmtId="167" fontId="5" fillId="0" borderId="0" xfId="57" applyNumberFormat="1" applyFont="1" applyBorder="1" applyAlignment="1">
      <alignment/>
    </xf>
    <xf numFmtId="167" fontId="5" fillId="0" borderId="29" xfId="57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2" fillId="0" borderId="30" xfId="42" applyNumberFormat="1" applyFont="1" applyBorder="1" applyAlignment="1">
      <alignment/>
    </xf>
    <xf numFmtId="165" fontId="2" fillId="0" borderId="31" xfId="42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2" fillId="0" borderId="28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65" fontId="0" fillId="0" borderId="29" xfId="0" applyNumberFormat="1" applyBorder="1" applyAlignment="1">
      <alignment/>
    </xf>
    <xf numFmtId="10" fontId="11" fillId="0" borderId="0" xfId="0" applyNumberFormat="1" applyFont="1" applyAlignment="1">
      <alignment/>
    </xf>
    <xf numFmtId="165" fontId="0" fillId="0" borderId="32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169" fontId="2" fillId="0" borderId="0" xfId="42" applyNumberFormat="1" applyFont="1" applyBorder="1" applyAlignment="1">
      <alignment horizontal="center"/>
    </xf>
    <xf numFmtId="169" fontId="2" fillId="0" borderId="29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9" fontId="12" fillId="0" borderId="0" xfId="42" applyNumberFormat="1" applyFont="1" applyBorder="1" applyAlignment="1">
      <alignment/>
    </xf>
    <xf numFmtId="169" fontId="12" fillId="0" borderId="33" xfId="42" applyNumberFormat="1" applyFont="1" applyBorder="1" applyAlignment="1">
      <alignment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31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3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0" fillId="0" borderId="0" xfId="0" applyAlignment="1" quotePrefix="1">
      <alignment horizontal="right"/>
    </xf>
    <xf numFmtId="165" fontId="2" fillId="0" borderId="0" xfId="0" applyNumberFormat="1" applyFont="1" applyAlignment="1">
      <alignment/>
    </xf>
    <xf numFmtId="0" fontId="2" fillId="34" borderId="3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0" fontId="2" fillId="34" borderId="38" xfId="0" applyNumberFormat="1" applyFont="1" applyFill="1" applyBorder="1" applyAlignment="1">
      <alignment/>
    </xf>
    <xf numFmtId="0" fontId="0" fillId="32" borderId="39" xfId="0" applyFill="1" applyBorder="1" applyAlignment="1">
      <alignment/>
    </xf>
    <xf numFmtId="166" fontId="2" fillId="34" borderId="38" xfId="0" applyNumberFormat="1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167" fontId="2" fillId="34" borderId="14" xfId="5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32" borderId="14" xfId="0" applyFont="1" applyFill="1" applyBorder="1" applyAlignment="1">
      <alignment horizontal="center"/>
    </xf>
    <xf numFmtId="0" fontId="0" fillId="0" borderId="41" xfId="0" applyBorder="1" applyAlignment="1">
      <alignment/>
    </xf>
    <xf numFmtId="165" fontId="0" fillId="0" borderId="18" xfId="0" applyNumberFormat="1" applyBorder="1" applyAlignment="1">
      <alignment/>
    </xf>
    <xf numFmtId="44" fontId="0" fillId="0" borderId="19" xfId="44" applyNumberFormat="1" applyFont="1" applyBorder="1" applyAlignment="1">
      <alignment/>
    </xf>
    <xf numFmtId="0" fontId="0" fillId="0" borderId="42" xfId="0" applyBorder="1" applyAlignment="1">
      <alignment/>
    </xf>
    <xf numFmtId="165" fontId="0" fillId="0" borderId="23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2" fillId="0" borderId="37" xfId="0" applyFont="1" applyBorder="1" applyAlignment="1">
      <alignment/>
    </xf>
    <xf numFmtId="165" fontId="2" fillId="0" borderId="31" xfId="0" applyNumberFormat="1" applyFont="1" applyBorder="1" applyAlignment="1">
      <alignment/>
    </xf>
    <xf numFmtId="44" fontId="2" fillId="0" borderId="43" xfId="44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9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34" borderId="41" xfId="0" applyFill="1" applyBorder="1" applyAlignment="1">
      <alignment/>
    </xf>
    <xf numFmtId="165" fontId="0" fillId="34" borderId="18" xfId="0" applyNumberFormat="1" applyFill="1" applyBorder="1" applyAlignment="1">
      <alignment/>
    </xf>
    <xf numFmtId="44" fontId="0" fillId="34" borderId="19" xfId="44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30" xfId="42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10" fontId="2" fillId="34" borderId="26" xfId="57" applyNumberFormat="1" applyFont="1" applyFill="1" applyBorder="1" applyAlignment="1">
      <alignment/>
    </xf>
    <xf numFmtId="167" fontId="2" fillId="34" borderId="26" xfId="57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44" fontId="2" fillId="34" borderId="26" xfId="44" applyFont="1" applyFill="1" applyBorder="1" applyAlignment="1">
      <alignment/>
    </xf>
    <xf numFmtId="9" fontId="0" fillId="0" borderId="0" xfId="0" applyNumberFormat="1" applyFont="1" applyAlignment="1">
      <alignment/>
    </xf>
    <xf numFmtId="166" fontId="17" fillId="33" borderId="14" xfId="42" applyNumberFormat="1" applyFont="1" applyFill="1" applyBorder="1" applyAlignment="1">
      <alignment/>
    </xf>
    <xf numFmtId="165" fontId="11" fillId="0" borderId="29" xfId="42" applyNumberFormat="1" applyFont="1" applyBorder="1" applyAlignment="1">
      <alignment/>
    </xf>
    <xf numFmtId="165" fontId="11" fillId="0" borderId="19" xfId="42" applyNumberFormat="1" applyFont="1" applyBorder="1" applyAlignment="1">
      <alignment/>
    </xf>
    <xf numFmtId="0" fontId="5" fillId="0" borderId="0" xfId="0" applyFont="1" applyAlignment="1">
      <alignment/>
    </xf>
    <xf numFmtId="14" fontId="2" fillId="32" borderId="28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165" fontId="2" fillId="0" borderId="45" xfId="0" applyNumberFormat="1" applyFont="1" applyFill="1" applyBorder="1" applyAlignment="1">
      <alignment/>
    </xf>
    <xf numFmtId="165" fontId="2" fillId="0" borderId="45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167" fontId="16" fillId="0" borderId="0" xfId="57" applyNumberFormat="1" applyFont="1" applyBorder="1" applyAlignment="1">
      <alignment/>
    </xf>
    <xf numFmtId="167" fontId="16" fillId="0" borderId="29" xfId="57" applyNumberFormat="1" applyFont="1" applyBorder="1" applyAlignment="1">
      <alignment/>
    </xf>
    <xf numFmtId="44" fontId="0" fillId="0" borderId="0" xfId="0" applyNumberFormat="1" applyAlignment="1">
      <alignment/>
    </xf>
    <xf numFmtId="8" fontId="11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14" fontId="15" fillId="32" borderId="33" xfId="0" applyNumberFormat="1" applyFont="1" applyFill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 quotePrefix="1">
      <alignment horizontal="center" vertical="center"/>
    </xf>
    <xf numFmtId="167" fontId="2" fillId="0" borderId="0" xfId="0" applyNumberFormat="1" applyFont="1" applyAlignment="1">
      <alignment/>
    </xf>
    <xf numFmtId="165" fontId="16" fillId="0" borderId="22" xfId="42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32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44" fontId="5" fillId="4" borderId="16" xfId="44" applyFont="1" applyFill="1" applyBorder="1" applyAlignment="1">
      <alignment/>
    </xf>
    <xf numFmtId="165" fontId="16" fillId="0" borderId="16" xfId="42" applyNumberFormat="1" applyFont="1" applyBorder="1" applyAlignment="1">
      <alignment/>
    </xf>
    <xf numFmtId="165" fontId="16" fillId="0" borderId="17" xfId="42" applyNumberFormat="1" applyFont="1" applyBorder="1" applyAlignment="1">
      <alignment/>
    </xf>
    <xf numFmtId="165" fontId="16" fillId="0" borderId="46" xfId="42" applyNumberFormat="1" applyFont="1" applyBorder="1" applyAlignment="1">
      <alignment/>
    </xf>
    <xf numFmtId="165" fontId="7" fillId="33" borderId="19" xfId="42" applyNumberFormat="1" applyFont="1" applyFill="1" applyBorder="1" applyAlignment="1">
      <alignment/>
    </xf>
    <xf numFmtId="166" fontId="7" fillId="33" borderId="19" xfId="42" applyNumberFormat="1" applyFont="1" applyFill="1" applyBorder="1" applyAlignment="1">
      <alignment/>
    </xf>
    <xf numFmtId="166" fontId="17" fillId="33" borderId="19" xfId="42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44" fontId="5" fillId="4" borderId="21" xfId="44" applyFont="1" applyFill="1" applyBorder="1" applyAlignment="1">
      <alignment/>
    </xf>
    <xf numFmtId="165" fontId="16" fillId="0" borderId="21" xfId="42" applyNumberFormat="1" applyFont="1" applyBorder="1" applyAlignment="1">
      <alignment/>
    </xf>
    <xf numFmtId="165" fontId="16" fillId="0" borderId="22" xfId="42" applyNumberFormat="1" applyFont="1" applyBorder="1" applyAlignment="1">
      <alignment/>
    </xf>
    <xf numFmtId="165" fontId="16" fillId="0" borderId="47" xfId="42" applyNumberFormat="1" applyFont="1" applyBorder="1" applyAlignment="1">
      <alignment/>
    </xf>
    <xf numFmtId="44" fontId="5" fillId="0" borderId="21" xfId="44" applyFont="1" applyBorder="1" applyAlignment="1">
      <alignment horizontal="center"/>
    </xf>
    <xf numFmtId="44" fontId="5" fillId="0" borderId="21" xfId="44" applyFont="1" applyFill="1" applyBorder="1" applyAlignment="1">
      <alignment horizontal="center"/>
    </xf>
    <xf numFmtId="0" fontId="6" fillId="0" borderId="48" xfId="0" applyFont="1" applyBorder="1" applyAlignment="1">
      <alignment horizontal="left" vertical="center" wrapText="1"/>
    </xf>
    <xf numFmtId="44" fontId="5" fillId="0" borderId="49" xfId="44" applyFont="1" applyFill="1" applyBorder="1" applyAlignment="1">
      <alignment horizontal="center"/>
    </xf>
    <xf numFmtId="44" fontId="5" fillId="4" borderId="49" xfId="44" applyFont="1" applyFill="1" applyBorder="1" applyAlignment="1">
      <alignment/>
    </xf>
    <xf numFmtId="165" fontId="16" fillId="0" borderId="49" xfId="42" applyNumberFormat="1" applyFont="1" applyBorder="1" applyAlignment="1">
      <alignment/>
    </xf>
    <xf numFmtId="165" fontId="5" fillId="0" borderId="50" xfId="42" applyNumberFormat="1" applyFont="1" applyBorder="1" applyAlignment="1">
      <alignment/>
    </xf>
    <xf numFmtId="165" fontId="16" fillId="0" borderId="51" xfId="42" applyNumberFormat="1" applyFont="1" applyBorder="1" applyAlignment="1">
      <alignment/>
    </xf>
    <xf numFmtId="165" fontId="16" fillId="0" borderId="52" xfId="42" applyNumberFormat="1" applyFont="1" applyBorder="1" applyAlignment="1">
      <alignment/>
    </xf>
    <xf numFmtId="165" fontId="7" fillId="33" borderId="33" xfId="42" applyNumberFormat="1" applyFont="1" applyFill="1" applyBorder="1" applyAlignment="1">
      <alignment/>
    </xf>
    <xf numFmtId="166" fontId="7" fillId="33" borderId="33" xfId="42" applyNumberFormat="1" applyFont="1" applyFill="1" applyBorder="1" applyAlignment="1">
      <alignment/>
    </xf>
    <xf numFmtId="166" fontId="17" fillId="33" borderId="33" xfId="42" applyNumberFormat="1" applyFont="1" applyFill="1" applyBorder="1" applyAlignment="1">
      <alignment/>
    </xf>
    <xf numFmtId="44" fontId="0" fillId="0" borderId="0" xfId="44" applyFont="1" applyAlignment="1">
      <alignment horizontal="right"/>
    </xf>
    <xf numFmtId="165" fontId="0" fillId="0" borderId="38" xfId="42" applyNumberFormat="1" applyFont="1" applyBorder="1" applyAlignment="1">
      <alignment/>
    </xf>
    <xf numFmtId="167" fontId="16" fillId="0" borderId="38" xfId="57" applyNumberFormat="1" applyFont="1" applyBorder="1" applyAlignment="1">
      <alignment/>
    </xf>
    <xf numFmtId="167" fontId="5" fillId="0" borderId="38" xfId="57" applyNumberFormat="1" applyFont="1" applyBorder="1" applyAlignment="1">
      <alignment/>
    </xf>
    <xf numFmtId="165" fontId="0" fillId="0" borderId="53" xfId="42" applyNumberFormat="1" applyFont="1" applyBorder="1" applyAlignment="1">
      <alignment/>
    </xf>
    <xf numFmtId="165" fontId="2" fillId="0" borderId="54" xfId="42" applyNumberFormat="1" applyFont="1" applyBorder="1" applyAlignment="1">
      <alignment/>
    </xf>
    <xf numFmtId="165" fontId="2" fillId="0" borderId="55" xfId="0" applyNumberFormat="1" applyFont="1" applyBorder="1" applyAlignment="1">
      <alignment/>
    </xf>
    <xf numFmtId="165" fontId="2" fillId="0" borderId="53" xfId="42" applyNumberFormat="1" applyFont="1" applyBorder="1" applyAlignment="1">
      <alignment/>
    </xf>
    <xf numFmtId="14" fontId="2" fillId="32" borderId="33" xfId="0" applyNumberFormat="1" applyFont="1" applyFill="1" applyBorder="1" applyAlignment="1">
      <alignment horizontal="right"/>
    </xf>
    <xf numFmtId="10" fontId="21" fillId="34" borderId="38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2" fillId="32" borderId="56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9" fontId="11" fillId="0" borderId="56" xfId="0" applyNumberFormat="1" applyFont="1" applyBorder="1" applyAlignment="1">
      <alignment horizontal="center"/>
    </xf>
    <xf numFmtId="167" fontId="11" fillId="0" borderId="56" xfId="0" applyNumberFormat="1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2" fillId="32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4" fontId="5" fillId="0" borderId="16" xfId="44" applyFont="1" applyFill="1" applyBorder="1" applyAlignment="1">
      <alignment vertical="center"/>
    </xf>
    <xf numFmtId="165" fontId="5" fillId="0" borderId="16" xfId="42" applyNumberFormat="1" applyFont="1" applyFill="1" applyBorder="1" applyAlignment="1">
      <alignment vertical="center"/>
    </xf>
    <xf numFmtId="44" fontId="5" fillId="0" borderId="16" xfId="0" applyNumberFormat="1" applyFont="1" applyFill="1" applyBorder="1" applyAlignment="1">
      <alignment vertical="center"/>
    </xf>
    <xf numFmtId="166" fontId="5" fillId="0" borderId="46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14" fontId="5" fillId="0" borderId="15" xfId="0" applyNumberFormat="1" applyFont="1" applyBorder="1" applyAlignment="1" quotePrefix="1">
      <alignment horizontal="left"/>
    </xf>
    <xf numFmtId="0" fontId="5" fillId="0" borderId="16" xfId="0" applyFont="1" applyBorder="1" applyAlignment="1">
      <alignment/>
    </xf>
    <xf numFmtId="44" fontId="5" fillId="0" borderId="16" xfId="44" applyFont="1" applyBorder="1" applyAlignment="1">
      <alignment/>
    </xf>
    <xf numFmtId="165" fontId="5" fillId="0" borderId="16" xfId="42" applyNumberFormat="1" applyFont="1" applyBorder="1" applyAlignment="1">
      <alignment/>
    </xf>
    <xf numFmtId="44" fontId="5" fillId="0" borderId="16" xfId="0" applyNumberFormat="1" applyFont="1" applyBorder="1" applyAlignment="1">
      <alignment/>
    </xf>
    <xf numFmtId="166" fontId="5" fillId="0" borderId="46" xfId="0" applyNumberFormat="1" applyFont="1" applyBorder="1" applyAlignment="1">
      <alignment/>
    </xf>
    <xf numFmtId="14" fontId="5" fillId="0" borderId="20" xfId="0" applyNumberFormat="1" applyFont="1" applyBorder="1" applyAlignment="1" quotePrefix="1">
      <alignment horizontal="left"/>
    </xf>
    <xf numFmtId="14" fontId="5" fillId="0" borderId="57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 quotePrefix="1">
      <alignment/>
    </xf>
    <xf numFmtId="0" fontId="5" fillId="0" borderId="20" xfId="0" applyFont="1" applyBorder="1" applyAlignment="1" quotePrefix="1">
      <alignment/>
    </xf>
    <xf numFmtId="0" fontId="5" fillId="0" borderId="21" xfId="0" applyFont="1" applyBorder="1" applyAlignment="1">
      <alignment/>
    </xf>
    <xf numFmtId="44" fontId="5" fillId="0" borderId="21" xfId="44" applyFont="1" applyBorder="1" applyAlignment="1">
      <alignment/>
    </xf>
    <xf numFmtId="165" fontId="5" fillId="0" borderId="21" xfId="42" applyNumberFormat="1" applyFont="1" applyBorder="1" applyAlignment="1">
      <alignment/>
    </xf>
    <xf numFmtId="44" fontId="5" fillId="0" borderId="21" xfId="0" applyNumberFormat="1" applyFont="1" applyBorder="1" applyAlignment="1">
      <alignment/>
    </xf>
    <xf numFmtId="166" fontId="5" fillId="0" borderId="47" xfId="0" applyNumberFormat="1" applyFont="1" applyBorder="1" applyAlignment="1">
      <alignment/>
    </xf>
    <xf numFmtId="0" fontId="5" fillId="0" borderId="48" xfId="0" applyFont="1" applyBorder="1" applyAlignment="1" quotePrefix="1">
      <alignment/>
    </xf>
    <xf numFmtId="0" fontId="5" fillId="0" borderId="49" xfId="0" applyFont="1" applyBorder="1" applyAlignment="1">
      <alignment/>
    </xf>
    <xf numFmtId="44" fontId="5" fillId="0" borderId="49" xfId="44" applyFont="1" applyBorder="1" applyAlignment="1">
      <alignment/>
    </xf>
    <xf numFmtId="165" fontId="5" fillId="0" borderId="49" xfId="42" applyNumberFormat="1" applyFont="1" applyBorder="1" applyAlignment="1">
      <alignment/>
    </xf>
    <xf numFmtId="44" fontId="5" fillId="0" borderId="49" xfId="0" applyNumberFormat="1" applyFont="1" applyBorder="1" applyAlignment="1">
      <alignment/>
    </xf>
    <xf numFmtId="166" fontId="5" fillId="0" borderId="52" xfId="0" applyNumberFormat="1" applyFont="1" applyBorder="1" applyAlignment="1">
      <alignment/>
    </xf>
    <xf numFmtId="15" fontId="0" fillId="0" borderId="0" xfId="0" applyNumberForma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Valuation Methods</a:t>
            </a:r>
          </a:p>
        </c:rich>
      </c:tx>
      <c:layout>
        <c:manualLayout>
          <c:xMode val="factor"/>
          <c:yMode val="factor"/>
          <c:x val="-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38"/>
          <c:w val="0.97575"/>
          <c:h val="0.94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Sheet1!$N$145:$N$149</c:f>
              <c:strCache/>
            </c:strRef>
          </c:cat>
          <c:val>
            <c:numRef>
              <c:f>Sheet1!$O$145:$O$149</c:f>
              <c:numCache/>
            </c:numRef>
          </c:val>
        </c:ser>
        <c:overlap val="100"/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126</xdr:row>
      <xdr:rowOff>9525</xdr:rowOff>
    </xdr:from>
    <xdr:to>
      <xdr:col>6</xdr:col>
      <xdr:colOff>400050</xdr:colOff>
      <xdr:row>128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24675" y="21488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126</xdr:row>
      <xdr:rowOff>19050</xdr:rowOff>
    </xdr:from>
    <xdr:to>
      <xdr:col>7</xdr:col>
      <xdr:colOff>352425</xdr:colOff>
      <xdr:row>129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734300" y="214979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126</xdr:row>
      <xdr:rowOff>19050</xdr:rowOff>
    </xdr:from>
    <xdr:to>
      <xdr:col>8</xdr:col>
      <xdr:colOff>400050</xdr:colOff>
      <xdr:row>130</xdr:row>
      <xdr:rowOff>76200</xdr:rowOff>
    </xdr:to>
    <xdr:sp>
      <xdr:nvSpPr>
        <xdr:cNvPr id="3" name="Line 3"/>
        <xdr:cNvSpPr>
          <a:spLocks/>
        </xdr:cNvSpPr>
      </xdr:nvSpPr>
      <xdr:spPr>
        <a:xfrm>
          <a:off x="8553450" y="214979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126</xdr:row>
      <xdr:rowOff>38100</xdr:rowOff>
    </xdr:from>
    <xdr:to>
      <xdr:col>9</xdr:col>
      <xdr:colOff>400050</xdr:colOff>
      <xdr:row>131</xdr:row>
      <xdr:rowOff>95250</xdr:rowOff>
    </xdr:to>
    <xdr:sp>
      <xdr:nvSpPr>
        <xdr:cNvPr id="4" name="Line 4"/>
        <xdr:cNvSpPr>
          <a:spLocks/>
        </xdr:cNvSpPr>
      </xdr:nvSpPr>
      <xdr:spPr>
        <a:xfrm>
          <a:off x="9496425" y="215169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476250</xdr:colOff>
      <xdr:row>127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5695950" y="21697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95250</xdr:rowOff>
    </xdr:from>
    <xdr:to>
      <xdr:col>6</xdr:col>
      <xdr:colOff>400050</xdr:colOff>
      <xdr:row>128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695950" y="21897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95250</xdr:rowOff>
    </xdr:from>
    <xdr:to>
      <xdr:col>7</xdr:col>
      <xdr:colOff>352425</xdr:colOff>
      <xdr:row>129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5695950" y="220599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66675</xdr:rowOff>
    </xdr:from>
    <xdr:to>
      <xdr:col>8</xdr:col>
      <xdr:colOff>400050</xdr:colOff>
      <xdr:row>130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5695950" y="221932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131</xdr:row>
      <xdr:rowOff>85725</xdr:rowOff>
    </xdr:from>
    <xdr:to>
      <xdr:col>9</xdr:col>
      <xdr:colOff>409575</xdr:colOff>
      <xdr:row>131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5695950" y="223742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124</xdr:row>
      <xdr:rowOff>104775</xdr:rowOff>
    </xdr:from>
    <xdr:to>
      <xdr:col>5</xdr:col>
      <xdr:colOff>0</xdr:colOff>
      <xdr:row>124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4867275" y="212217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126</xdr:row>
      <xdr:rowOff>0</xdr:rowOff>
    </xdr:from>
    <xdr:to>
      <xdr:col>5</xdr:col>
      <xdr:colOff>466725</xdr:colOff>
      <xdr:row>127</xdr:row>
      <xdr:rowOff>57150</xdr:rowOff>
    </xdr:to>
    <xdr:sp>
      <xdr:nvSpPr>
        <xdr:cNvPr id="11" name="Line 12"/>
        <xdr:cNvSpPr>
          <a:spLocks/>
        </xdr:cNvSpPr>
      </xdr:nvSpPr>
      <xdr:spPr>
        <a:xfrm>
          <a:off x="6162675" y="21478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31</xdr:row>
      <xdr:rowOff>190500</xdr:rowOff>
    </xdr:from>
    <xdr:to>
      <xdr:col>2</xdr:col>
      <xdr:colOff>523875</xdr:colOff>
      <xdr:row>31</xdr:row>
      <xdr:rowOff>190500</xdr:rowOff>
    </xdr:to>
    <xdr:sp>
      <xdr:nvSpPr>
        <xdr:cNvPr id="12" name="Line 14"/>
        <xdr:cNvSpPr>
          <a:spLocks/>
        </xdr:cNvSpPr>
      </xdr:nvSpPr>
      <xdr:spPr>
        <a:xfrm>
          <a:off x="1447800" y="60864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8</xdr:col>
      <xdr:colOff>428625</xdr:colOff>
      <xdr:row>45</xdr:row>
      <xdr:rowOff>152400</xdr:rowOff>
    </xdr:to>
    <xdr:sp>
      <xdr:nvSpPr>
        <xdr:cNvPr id="13" name="Line 15"/>
        <xdr:cNvSpPr>
          <a:spLocks/>
        </xdr:cNvSpPr>
      </xdr:nvSpPr>
      <xdr:spPr>
        <a:xfrm flipV="1">
          <a:off x="3971925" y="7086600"/>
          <a:ext cx="4610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73</xdr:row>
      <xdr:rowOff>171450</xdr:rowOff>
    </xdr:from>
    <xdr:to>
      <xdr:col>3</xdr:col>
      <xdr:colOff>0</xdr:colOff>
      <xdr:row>73</xdr:row>
      <xdr:rowOff>171450</xdr:rowOff>
    </xdr:to>
    <xdr:sp>
      <xdr:nvSpPr>
        <xdr:cNvPr id="14" name="Line 16"/>
        <xdr:cNvSpPr>
          <a:spLocks/>
        </xdr:cNvSpPr>
      </xdr:nvSpPr>
      <xdr:spPr>
        <a:xfrm>
          <a:off x="685800" y="123634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142875</xdr:rowOff>
    </xdr:from>
    <xdr:to>
      <xdr:col>3</xdr:col>
      <xdr:colOff>742950</xdr:colOff>
      <xdr:row>18</xdr:row>
      <xdr:rowOff>142875</xdr:rowOff>
    </xdr:to>
    <xdr:graphicFrame>
      <xdr:nvGraphicFramePr>
        <xdr:cNvPr id="15" name="Chart 20"/>
        <xdr:cNvGraphicFramePr/>
      </xdr:nvGraphicFramePr>
      <xdr:xfrm>
        <a:off x="742950" y="1181100"/>
        <a:ext cx="39624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113</xdr:row>
      <xdr:rowOff>85725</xdr:rowOff>
    </xdr:from>
    <xdr:to>
      <xdr:col>10</xdr:col>
      <xdr:colOff>447675</xdr:colOff>
      <xdr:row>116</xdr:row>
      <xdr:rowOff>114300</xdr:rowOff>
    </xdr:to>
    <xdr:sp>
      <xdr:nvSpPr>
        <xdr:cNvPr id="16" name="Line 21"/>
        <xdr:cNvSpPr>
          <a:spLocks/>
        </xdr:cNvSpPr>
      </xdr:nvSpPr>
      <xdr:spPr>
        <a:xfrm flipV="1">
          <a:off x="10353675" y="19450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95250</xdr:rowOff>
    </xdr:from>
    <xdr:to>
      <xdr:col>10</xdr:col>
      <xdr:colOff>457200</xdr:colOff>
      <xdr:row>116</xdr:row>
      <xdr:rowOff>95250</xdr:rowOff>
    </xdr:to>
    <xdr:sp>
      <xdr:nvSpPr>
        <xdr:cNvPr id="17" name="Line 22"/>
        <xdr:cNvSpPr>
          <a:spLocks/>
        </xdr:cNvSpPr>
      </xdr:nvSpPr>
      <xdr:spPr>
        <a:xfrm>
          <a:off x="9915525" y="1991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leritymoment.com/sitebuildercontent/sitebuilderfiles/Starwood%20Financials%20-%20updated%2011-06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leritymoment.com/sitebuildercontent/sitebuilderfiles/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Yahoo Fin Input"/>
      <sheetName val="Historical Analysis"/>
      <sheetName val="Title 2"/>
      <sheetName val="Projected Analysis"/>
      <sheetName val="Title3"/>
      <sheetName val="Valuation Analysis"/>
    </sheetNames>
    <sheetDataSet>
      <sheetData sheetId="2">
        <row r="1">
          <cell r="C1" t="str">
            <v>Starwood Hotels &amp; Resorts Worldwide Inc. (HOT)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0.28125" style="0" customWidth="1"/>
    <col min="2" max="2" width="33.00390625" style="0" customWidth="1"/>
    <col min="3" max="3" width="16.140625" style="0" customWidth="1"/>
    <col min="4" max="5" width="13.00390625" style="0" customWidth="1"/>
    <col min="6" max="6" width="12.421875" style="0" customWidth="1"/>
    <col min="7" max="7" width="12.8515625" style="0" customWidth="1"/>
    <col min="8" max="8" width="11.57421875" style="0" customWidth="1"/>
    <col min="9" max="9" width="14.140625" style="0" customWidth="1"/>
    <col min="10" max="10" width="12.140625" style="0" customWidth="1"/>
    <col min="11" max="11" width="14.421875" style="0" customWidth="1"/>
    <col min="12" max="12" width="8.140625" style="0" customWidth="1"/>
    <col min="14" max="14" width="23.7109375" style="0" customWidth="1"/>
  </cols>
  <sheetData>
    <row r="1" ht="12.75">
      <c r="B1" s="1" t="s">
        <v>0</v>
      </c>
    </row>
    <row r="2" ht="12.75">
      <c r="B2" s="1"/>
    </row>
    <row r="3" spans="2:10" ht="20.25">
      <c r="B3" s="2" t="s">
        <v>174</v>
      </c>
      <c r="C3" s="3"/>
      <c r="J3" s="4"/>
    </row>
    <row r="4" spans="2:10" ht="15.75">
      <c r="B4" s="5"/>
      <c r="C4" s="3"/>
      <c r="J4" s="4"/>
    </row>
    <row r="5" spans="2:10" ht="20.25">
      <c r="B5" s="6" t="str">
        <f>+'[1]Historical Analysis'!C1</f>
        <v>Starwood Hotels &amp; Resorts Worldwide Inc. (HOT)</v>
      </c>
      <c r="C5" s="3"/>
      <c r="J5" s="4"/>
    </row>
    <row r="6" spans="2:10" ht="16.5" customHeight="1">
      <c r="B6" s="6"/>
      <c r="C6" s="3"/>
      <c r="J6" s="4"/>
    </row>
    <row r="7" spans="4:10" ht="14.25" customHeight="1">
      <c r="D7" s="134"/>
      <c r="E7" s="93" t="s">
        <v>137</v>
      </c>
      <c r="F7" s="134"/>
      <c r="G7" s="134"/>
      <c r="H7" s="93" t="s">
        <v>142</v>
      </c>
      <c r="I7" s="134"/>
      <c r="J7" s="4"/>
    </row>
    <row r="8" spans="4:10" ht="14.25" customHeight="1">
      <c r="D8" s="134"/>
      <c r="E8" s="134" t="s">
        <v>138</v>
      </c>
      <c r="F8" s="138">
        <f>+C29/G29</f>
        <v>0.20210057288351368</v>
      </c>
      <c r="G8" s="134"/>
      <c r="H8" s="134" t="s">
        <v>143</v>
      </c>
      <c r="I8" s="137">
        <f>+G27</f>
        <v>1</v>
      </c>
      <c r="J8" s="4"/>
    </row>
    <row r="9" spans="4:10" ht="14.25" customHeight="1">
      <c r="D9" s="134"/>
      <c r="E9" s="134" t="s">
        <v>139</v>
      </c>
      <c r="F9" s="138">
        <f>+C29/G28</f>
        <v>0.07260461925451635</v>
      </c>
      <c r="G9" s="134"/>
      <c r="H9" s="134" t="s">
        <v>144</v>
      </c>
      <c r="I9" s="137">
        <f>+C21+I8</f>
        <v>71.87</v>
      </c>
      <c r="J9" s="4"/>
    </row>
    <row r="10" spans="4:10" ht="14.25" customHeight="1" thickBot="1">
      <c r="D10" s="134"/>
      <c r="E10" s="134"/>
      <c r="F10" s="134"/>
      <c r="G10" s="134"/>
      <c r="H10" s="134" t="s">
        <v>145</v>
      </c>
      <c r="I10" s="140">
        <f>+C21</f>
        <v>70.87</v>
      </c>
      <c r="J10" s="4"/>
    </row>
    <row r="11" spans="4:10" ht="14.25" customHeight="1" thickBot="1">
      <c r="D11" s="134"/>
      <c r="E11" s="134"/>
      <c r="F11" s="134"/>
      <c r="G11" s="134"/>
      <c r="H11" s="143" t="s">
        <v>146</v>
      </c>
      <c r="I11" s="144">
        <f>+(I8+(I9-I10))/I10</f>
        <v>0.02822068576266403</v>
      </c>
      <c r="J11" s="4"/>
    </row>
    <row r="12" spans="4:10" ht="14.25" customHeight="1">
      <c r="D12" s="134"/>
      <c r="E12" s="93" t="s">
        <v>135</v>
      </c>
      <c r="F12" s="134"/>
      <c r="G12" s="134"/>
      <c r="H12" s="134"/>
      <c r="I12" s="134"/>
      <c r="J12" s="4"/>
    </row>
    <row r="13" spans="4:10" ht="14.25" customHeight="1">
      <c r="D13" s="134"/>
      <c r="E13" s="134" t="s">
        <v>140</v>
      </c>
      <c r="F13" s="139">
        <f>+C46/C29</f>
        <v>23.04748409448819</v>
      </c>
      <c r="G13" s="134"/>
      <c r="H13" s="142" t="s">
        <v>191</v>
      </c>
      <c r="I13" s="134"/>
      <c r="J13" s="4"/>
    </row>
    <row r="14" spans="4:10" ht="14.25" customHeight="1">
      <c r="D14" s="134"/>
      <c r="E14" s="134" t="s">
        <v>167</v>
      </c>
      <c r="F14" s="139">
        <f>+C46/C27</f>
        <v>2.4347283979371155</v>
      </c>
      <c r="G14" s="134"/>
      <c r="H14" s="141" t="s">
        <v>147</v>
      </c>
      <c r="I14" s="138">
        <f>+K134</f>
        <v>0.0175</v>
      </c>
      <c r="J14" s="4"/>
    </row>
    <row r="15" spans="4:10" ht="14.25" customHeight="1">
      <c r="D15" s="134"/>
      <c r="E15" s="134" t="s">
        <v>141</v>
      </c>
      <c r="F15" s="139">
        <f>+C46/C28</f>
        <v>13.741927136150235</v>
      </c>
      <c r="G15" s="134"/>
      <c r="H15" s="141" t="s">
        <v>148</v>
      </c>
      <c r="I15" s="139">
        <f>+L66</f>
        <v>2.05</v>
      </c>
      <c r="J15" s="4"/>
    </row>
    <row r="16" spans="4:10" ht="14.25" customHeight="1" thickBot="1">
      <c r="D16" s="134"/>
      <c r="E16" s="134" t="s">
        <v>168</v>
      </c>
      <c r="F16" s="139">
        <f>+C46/G29</f>
        <v>4.657909739019733</v>
      </c>
      <c r="G16" s="134"/>
      <c r="H16" s="141" t="s">
        <v>149</v>
      </c>
      <c r="I16" s="138">
        <f>+K135</f>
        <v>0.0905</v>
      </c>
      <c r="J16" s="4"/>
    </row>
    <row r="17" spans="4:9" ht="14.25" customHeight="1" thickBot="1">
      <c r="D17" s="134"/>
      <c r="E17" s="134"/>
      <c r="F17" s="134"/>
      <c r="G17" s="134"/>
      <c r="H17" s="143" t="s">
        <v>150</v>
      </c>
      <c r="I17" s="145">
        <f>+I14+(I15*I16)</f>
        <v>0.20302499999999996</v>
      </c>
    </row>
    <row r="18" spans="4:9" ht="14.25" customHeight="1">
      <c r="D18" s="134"/>
      <c r="E18" s="134"/>
      <c r="F18" s="134"/>
      <c r="G18" s="134"/>
      <c r="H18" s="134"/>
      <c r="I18" s="134"/>
    </row>
    <row r="19" spans="4:9" ht="14.25" customHeight="1">
      <c r="D19" s="134"/>
      <c r="E19" s="93" t="s">
        <v>158</v>
      </c>
      <c r="F19" s="134"/>
      <c r="G19" s="134"/>
      <c r="H19" s="142" t="s">
        <v>151</v>
      </c>
      <c r="I19" s="134"/>
    </row>
    <row r="20" spans="2:9" ht="14.25" customHeight="1">
      <c r="B20" s="93" t="s">
        <v>136</v>
      </c>
      <c r="D20" s="134"/>
      <c r="E20" s="134" t="s">
        <v>156</v>
      </c>
      <c r="F20" s="137">
        <f>+I8</f>
        <v>1</v>
      </c>
      <c r="G20" s="134"/>
      <c r="H20" s="141" t="s">
        <v>152</v>
      </c>
      <c r="I20" s="137">
        <f>+I8</f>
        <v>1</v>
      </c>
    </row>
    <row r="21" spans="2:10" ht="14.25" customHeight="1">
      <c r="B21" s="134" t="str">
        <f>+D34</f>
        <v>Stock Price 
(as of 10/15/14)</v>
      </c>
      <c r="C21" s="202">
        <f>+D43</f>
        <v>70.87</v>
      </c>
      <c r="D21" s="134"/>
      <c r="E21" s="134" t="s">
        <v>153</v>
      </c>
      <c r="F21" s="146">
        <f>+I17</f>
        <v>0.20302499999999996</v>
      </c>
      <c r="G21" s="134"/>
      <c r="H21" s="141" t="s">
        <v>201</v>
      </c>
      <c r="I21" s="252">
        <v>3.27</v>
      </c>
      <c r="J21" s="212" t="s">
        <v>202</v>
      </c>
    </row>
    <row r="22" spans="2:9" ht="14.25" customHeight="1" thickBot="1">
      <c r="B22" s="134" t="s">
        <v>164</v>
      </c>
      <c r="C22" s="135">
        <f>+E43</f>
        <v>190520</v>
      </c>
      <c r="D22" s="134"/>
      <c r="E22" s="134" t="s">
        <v>157</v>
      </c>
      <c r="F22" s="148">
        <v>0.1</v>
      </c>
      <c r="G22" s="134"/>
      <c r="H22" s="141" t="s">
        <v>203</v>
      </c>
      <c r="I22" s="52">
        <f>+F13</f>
        <v>23.04748409448819</v>
      </c>
    </row>
    <row r="23" spans="2:10" ht="14.25" customHeight="1" thickBot="1">
      <c r="B23" s="134" t="s">
        <v>133</v>
      </c>
      <c r="C23" s="133">
        <f>+C22*C21</f>
        <v>13502152.4</v>
      </c>
      <c r="D23" s="134"/>
      <c r="E23" s="143" t="s">
        <v>154</v>
      </c>
      <c r="F23" s="147">
        <f>+F20/(F21-F22)</f>
        <v>9.706381946129586</v>
      </c>
      <c r="G23" s="134"/>
      <c r="H23" s="141" t="s">
        <v>192</v>
      </c>
      <c r="I23" s="165">
        <f>+I21*I22</f>
        <v>75.36527298897639</v>
      </c>
      <c r="J23" s="212" t="s">
        <v>200</v>
      </c>
    </row>
    <row r="24" spans="8:9" ht="16.5" customHeight="1" thickBot="1">
      <c r="H24" s="141" t="s">
        <v>153</v>
      </c>
      <c r="I24" s="146">
        <f>+I17</f>
        <v>0.20302499999999996</v>
      </c>
    </row>
    <row r="25" spans="8:10" ht="16.5" customHeight="1" thickBot="1">
      <c r="H25" s="143" t="s">
        <v>154</v>
      </c>
      <c r="I25" s="147">
        <f>+(I23+I20)/(1+(I24))</f>
        <v>63.47771076160212</v>
      </c>
      <c r="J25" s="212" t="s">
        <v>196</v>
      </c>
    </row>
    <row r="26" ht="16.5" customHeight="1">
      <c r="B26" s="93" t="s">
        <v>198</v>
      </c>
    </row>
    <row r="27" spans="2:8" ht="16.5" customHeight="1">
      <c r="B27" s="134" t="s">
        <v>165</v>
      </c>
      <c r="C27" s="135">
        <f>+E101</f>
        <v>6011000</v>
      </c>
      <c r="E27" s="134" t="s">
        <v>134</v>
      </c>
      <c r="G27" s="165">
        <v>1</v>
      </c>
      <c r="H27" s="251">
        <v>41794</v>
      </c>
    </row>
    <row r="28" spans="2:7" ht="16.5" customHeight="1">
      <c r="B28" s="134" t="s">
        <v>188</v>
      </c>
      <c r="C28" s="135">
        <f>+E112</f>
        <v>1065000</v>
      </c>
      <c r="E28" s="134" t="s">
        <v>161</v>
      </c>
      <c r="G28" s="166">
        <v>8746000</v>
      </c>
    </row>
    <row r="29" spans="2:7" ht="16.5" customHeight="1">
      <c r="B29" s="134" t="s">
        <v>189</v>
      </c>
      <c r="C29" s="133">
        <v>635000</v>
      </c>
      <c r="E29" s="134" t="s">
        <v>162</v>
      </c>
      <c r="G29" s="166">
        <v>3142000</v>
      </c>
    </row>
    <row r="30" spans="2:10" ht="16.5" customHeight="1">
      <c r="B30" s="6"/>
      <c r="C30" s="3"/>
      <c r="J30" s="4"/>
    </row>
    <row r="31" ht="8.25" customHeight="1">
      <c r="J31" s="4"/>
    </row>
    <row r="32" spans="2:10" ht="21" customHeight="1">
      <c r="B32" t="s">
        <v>1</v>
      </c>
      <c r="D32" s="170" t="s">
        <v>2</v>
      </c>
      <c r="E32" s="170" t="s">
        <v>3</v>
      </c>
      <c r="F32" s="170" t="s">
        <v>4</v>
      </c>
      <c r="G32" s="170" t="s">
        <v>5</v>
      </c>
      <c r="H32" s="170" t="s">
        <v>6</v>
      </c>
      <c r="I32" s="171" t="s">
        <v>7</v>
      </c>
      <c r="J32" s="7"/>
    </row>
    <row r="33" spans="4:10" ht="9.75" customHeight="1" thickBot="1">
      <c r="D33" s="8"/>
      <c r="E33" s="8"/>
      <c r="F33" s="8"/>
      <c r="G33" s="8"/>
      <c r="H33" s="8"/>
      <c r="I33" s="9"/>
      <c r="J33" s="7"/>
    </row>
    <row r="34" spans="1:10" ht="45.75" customHeight="1" thickBot="1">
      <c r="A34" s="10">
        <f>+A31+1</f>
        <v>1</v>
      </c>
      <c r="B34" s="11" t="s">
        <v>8</v>
      </c>
      <c r="C34" s="12" t="s">
        <v>9</v>
      </c>
      <c r="D34" s="13" t="s">
        <v>197</v>
      </c>
      <c r="E34" s="13" t="s">
        <v>10</v>
      </c>
      <c r="F34" s="13" t="s">
        <v>11</v>
      </c>
      <c r="G34" s="14" t="s">
        <v>12</v>
      </c>
      <c r="H34" s="15" t="s">
        <v>13</v>
      </c>
      <c r="I34" s="16" t="s">
        <v>14</v>
      </c>
      <c r="J34" s="4"/>
    </row>
    <row r="35" spans="1:10" ht="15.75" customHeight="1" hidden="1">
      <c r="A35" s="10">
        <f>+A34+1</f>
        <v>2</v>
      </c>
      <c r="B35" s="17" t="s">
        <v>15</v>
      </c>
      <c r="C35" s="18" t="s">
        <v>16</v>
      </c>
      <c r="D35" s="19">
        <v>64.37</v>
      </c>
      <c r="E35" s="20">
        <v>32.696</v>
      </c>
      <c r="F35" s="21">
        <v>2104.64152</v>
      </c>
      <c r="G35" s="22">
        <v>328.71</v>
      </c>
      <c r="H35" s="23"/>
      <c r="I35" s="24">
        <v>2433.35152</v>
      </c>
      <c r="J35" s="4"/>
    </row>
    <row r="36" spans="1:10" ht="15.75" customHeight="1" hidden="1">
      <c r="A36" s="10">
        <f aca="true" t="shared" si="0" ref="A36:A42">+A35+1</f>
        <v>3</v>
      </c>
      <c r="B36" s="25" t="s">
        <v>17</v>
      </c>
      <c r="C36" s="26" t="s">
        <v>18</v>
      </c>
      <c r="D36" s="27">
        <v>30.76</v>
      </c>
      <c r="E36" s="28">
        <v>74.518</v>
      </c>
      <c r="F36" s="21">
        <v>2292.1736800000003</v>
      </c>
      <c r="G36" s="29">
        <v>402.1</v>
      </c>
      <c r="H36" s="30"/>
      <c r="I36" s="31">
        <v>2694.2736800000002</v>
      </c>
      <c r="J36" s="4"/>
    </row>
    <row r="37" spans="1:10" ht="15.75" customHeight="1" hidden="1">
      <c r="A37" s="10">
        <f t="shared" si="0"/>
        <v>4</v>
      </c>
      <c r="B37" s="25" t="s">
        <v>19</v>
      </c>
      <c r="C37" s="26" t="s">
        <v>20</v>
      </c>
      <c r="D37" s="27">
        <v>24.35</v>
      </c>
      <c r="E37" s="28">
        <v>380.965</v>
      </c>
      <c r="F37" s="21">
        <v>9276.49775</v>
      </c>
      <c r="G37" s="29">
        <v>3647</v>
      </c>
      <c r="H37" s="30"/>
      <c r="I37" s="31">
        <v>12923.49775</v>
      </c>
      <c r="J37" s="4"/>
    </row>
    <row r="38" spans="1:10" ht="15.75" customHeight="1" hidden="1">
      <c r="A38" s="10">
        <f t="shared" si="0"/>
        <v>5</v>
      </c>
      <c r="B38" s="25" t="s">
        <v>21</v>
      </c>
      <c r="C38" s="26" t="s">
        <v>22</v>
      </c>
      <c r="D38" s="27">
        <v>23.6</v>
      </c>
      <c r="E38" s="28">
        <v>5.253</v>
      </c>
      <c r="F38" s="21">
        <v>123.97080000000001</v>
      </c>
      <c r="G38" s="29">
        <v>765.2</v>
      </c>
      <c r="H38" s="30"/>
      <c r="I38" s="31">
        <v>889.1708000000001</v>
      </c>
      <c r="J38" s="4"/>
    </row>
    <row r="39" spans="1:10" ht="15.75" customHeight="1" hidden="1">
      <c r="A39" s="10">
        <f t="shared" si="0"/>
        <v>6</v>
      </c>
      <c r="B39" s="25" t="s">
        <v>23</v>
      </c>
      <c r="C39" s="26" t="s">
        <v>24</v>
      </c>
      <c r="D39" s="27">
        <v>8.52</v>
      </c>
      <c r="E39" s="28">
        <v>201.8</v>
      </c>
      <c r="F39" s="21">
        <v>1719.336</v>
      </c>
      <c r="G39" s="29">
        <v>925.61</v>
      </c>
      <c r="H39" s="30"/>
      <c r="I39" s="31">
        <v>2644.946</v>
      </c>
      <c r="J39" s="4"/>
    </row>
    <row r="40" spans="1:10" ht="15.75" customHeight="1" hidden="1">
      <c r="A40" s="10">
        <f t="shared" si="0"/>
        <v>7</v>
      </c>
      <c r="B40" s="25" t="s">
        <v>25</v>
      </c>
      <c r="C40" s="27" t="s">
        <v>26</v>
      </c>
      <c r="D40" s="27">
        <v>19.92</v>
      </c>
      <c r="E40" s="28">
        <v>21.282</v>
      </c>
      <c r="F40" s="21">
        <v>423.93744000000004</v>
      </c>
      <c r="G40" s="29">
        <v>198.43</v>
      </c>
      <c r="H40" s="30"/>
      <c r="I40" s="31">
        <v>622.36744</v>
      </c>
      <c r="J40" s="4"/>
    </row>
    <row r="41" spans="1:10" ht="15.75" customHeight="1" hidden="1">
      <c r="A41" s="10">
        <f t="shared" si="0"/>
        <v>8</v>
      </c>
      <c r="B41" s="25" t="s">
        <v>27</v>
      </c>
      <c r="C41" s="27" t="s">
        <v>28</v>
      </c>
      <c r="D41" s="27">
        <v>67.51</v>
      </c>
      <c r="E41" s="28">
        <v>216.711</v>
      </c>
      <c r="F41" s="21">
        <v>14630.159610000002</v>
      </c>
      <c r="G41" s="29">
        <v>1325</v>
      </c>
      <c r="H41" s="30"/>
      <c r="I41" s="31">
        <v>15955.159610000002</v>
      </c>
      <c r="J41" s="4"/>
    </row>
    <row r="42" spans="1:10" ht="15.75" customHeight="1" hidden="1">
      <c r="A42" s="10">
        <f t="shared" si="0"/>
        <v>9</v>
      </c>
      <c r="B42" s="25" t="s">
        <v>29</v>
      </c>
      <c r="C42" s="32" t="s">
        <v>30</v>
      </c>
      <c r="D42" s="27">
        <v>28.92</v>
      </c>
      <c r="E42" s="28">
        <v>31.791</v>
      </c>
      <c r="F42" s="21">
        <v>919.3957200000001</v>
      </c>
      <c r="G42" s="29">
        <v>626.63</v>
      </c>
      <c r="H42" s="30"/>
      <c r="I42" s="31">
        <v>1546.02572</v>
      </c>
      <c r="J42" s="4"/>
    </row>
    <row r="43" spans="1:10" ht="15.75" customHeight="1">
      <c r="A43" s="10"/>
      <c r="B43" s="25" t="s">
        <v>31</v>
      </c>
      <c r="C43" s="32" t="s">
        <v>32</v>
      </c>
      <c r="D43" s="33">
        <v>70.87</v>
      </c>
      <c r="E43" s="34">
        <v>190520</v>
      </c>
      <c r="F43" s="35">
        <f>+E43*D43</f>
        <v>13502152.4</v>
      </c>
      <c r="G43" s="173">
        <v>1730000</v>
      </c>
      <c r="H43" s="173">
        <v>597000</v>
      </c>
      <c r="I43" s="36">
        <f>+F43+G43-H43</f>
        <v>14635152.4</v>
      </c>
      <c r="J43" s="4"/>
    </row>
    <row r="44" spans="4:10" ht="5.25" customHeight="1">
      <c r="D44" s="37"/>
      <c r="F44" s="37"/>
      <c r="G44" s="37"/>
      <c r="H44" s="37"/>
      <c r="I44" s="37"/>
      <c r="J44" s="4"/>
    </row>
    <row r="45" ht="13.5" thickBot="1">
      <c r="J45" s="4"/>
    </row>
    <row r="46" spans="2:10" ht="15" thickBot="1">
      <c r="B46" s="38" t="s">
        <v>33</v>
      </c>
      <c r="C46" s="39">
        <f>+I43</f>
        <v>14635152.4</v>
      </c>
      <c r="J46" s="4"/>
    </row>
    <row r="47" spans="9:10" ht="12.75">
      <c r="I47" s="1"/>
      <c r="J47" s="40"/>
    </row>
    <row r="48" ht="12.75">
      <c r="J48" s="40"/>
    </row>
    <row r="49" ht="12.75">
      <c r="J49" s="4"/>
    </row>
    <row r="50" ht="20.25">
      <c r="B50" s="2" t="s">
        <v>159</v>
      </c>
    </row>
    <row r="51" ht="8.25" customHeight="1">
      <c r="B51" s="2"/>
    </row>
    <row r="52" ht="18.75" customHeight="1">
      <c r="B52" s="6" t="str">
        <f>+B5</f>
        <v>Starwood Hotels &amp; Resorts Worldwide Inc. (HOT)</v>
      </c>
    </row>
    <row r="53" spans="2:11" ht="11.25" customHeight="1">
      <c r="B53" s="1"/>
      <c r="D53" s="170" t="s">
        <v>2</v>
      </c>
      <c r="E53" s="170" t="s">
        <v>3</v>
      </c>
      <c r="F53" s="170" t="s">
        <v>4</v>
      </c>
      <c r="G53" s="170" t="s">
        <v>5</v>
      </c>
      <c r="H53" s="170" t="s">
        <v>6</v>
      </c>
      <c r="I53" s="171" t="s">
        <v>7</v>
      </c>
      <c r="J53" s="170" t="s">
        <v>34</v>
      </c>
      <c r="K53" s="170" t="s">
        <v>35</v>
      </c>
    </row>
    <row r="54" spans="2:8" ht="7.5" customHeight="1" thickBot="1">
      <c r="B54" s="1"/>
      <c r="D54" s="8"/>
      <c r="E54" s="8"/>
      <c r="F54" s="8"/>
      <c r="G54" s="8"/>
      <c r="H54" s="8"/>
    </row>
    <row r="55" spans="2:12" ht="39" thickBot="1">
      <c r="B55" s="11" t="s">
        <v>8</v>
      </c>
      <c r="C55" s="174" t="s">
        <v>9</v>
      </c>
      <c r="D55" s="13" t="str">
        <f>+D34</f>
        <v>Stock Price 
(as of 10/15/14)</v>
      </c>
      <c r="E55" s="13" t="s">
        <v>10</v>
      </c>
      <c r="F55" s="13" t="s">
        <v>11</v>
      </c>
      <c r="G55" s="14" t="s">
        <v>12</v>
      </c>
      <c r="H55" s="15" t="s">
        <v>13</v>
      </c>
      <c r="I55" s="16" t="s">
        <v>14</v>
      </c>
      <c r="J55" s="14" t="s">
        <v>185</v>
      </c>
      <c r="K55" s="175" t="s">
        <v>36</v>
      </c>
      <c r="L55" s="176" t="s">
        <v>37</v>
      </c>
    </row>
    <row r="56" spans="2:12" ht="12.75">
      <c r="B56" s="17" t="s">
        <v>15</v>
      </c>
      <c r="C56" s="177" t="s">
        <v>16</v>
      </c>
      <c r="D56" s="178">
        <v>48.52</v>
      </c>
      <c r="E56" s="179">
        <v>57900</v>
      </c>
      <c r="F56" s="35">
        <f aca="true" t="shared" si="1" ref="F56:F63">+E56*D56</f>
        <v>2809308</v>
      </c>
      <c r="G56" s="180">
        <v>789510</v>
      </c>
      <c r="H56" s="181">
        <v>211720</v>
      </c>
      <c r="I56" s="182">
        <f aca="true" t="shared" si="2" ref="I56:I63">+F56+G56-H56</f>
        <v>3387098</v>
      </c>
      <c r="J56" s="180">
        <v>213640</v>
      </c>
      <c r="K56" s="183">
        <f aca="true" t="shared" si="3" ref="K56:K63">+I56/J56</f>
        <v>15.854231417337576</v>
      </c>
      <c r="L56" s="184">
        <v>1.29</v>
      </c>
    </row>
    <row r="57" spans="2:12" ht="12.75">
      <c r="B57" s="17" t="s">
        <v>204</v>
      </c>
      <c r="C57" s="177" t="s">
        <v>20</v>
      </c>
      <c r="D57" s="178">
        <v>21.61</v>
      </c>
      <c r="E57" s="179">
        <v>984620</v>
      </c>
      <c r="F57" s="35">
        <f t="shared" si="1"/>
        <v>21277638.2</v>
      </c>
      <c r="G57" s="180">
        <v>12310000</v>
      </c>
      <c r="H57" s="181">
        <v>545000</v>
      </c>
      <c r="I57" s="182">
        <f t="shared" si="2"/>
        <v>33042638.200000003</v>
      </c>
      <c r="J57" s="180">
        <v>1800000</v>
      </c>
      <c r="K57" s="183">
        <f t="shared" si="3"/>
        <v>18.357021222222222</v>
      </c>
      <c r="L57" s="184"/>
    </row>
    <row r="58" spans="2:12" ht="12.75">
      <c r="B58" s="17" t="s">
        <v>186</v>
      </c>
      <c r="C58" s="177" t="s">
        <v>132</v>
      </c>
      <c r="D58" s="178">
        <v>55.71</v>
      </c>
      <c r="E58" s="179">
        <v>153650</v>
      </c>
      <c r="F58" s="35">
        <f>+E58*D58</f>
        <v>8559841.5</v>
      </c>
      <c r="G58" s="180">
        <v>1300000</v>
      </c>
      <c r="H58" s="181">
        <v>583000</v>
      </c>
      <c r="I58" s="182">
        <f>+F58+G58-H58</f>
        <v>9276841.5</v>
      </c>
      <c r="J58" s="180">
        <v>612600</v>
      </c>
      <c r="K58" s="183">
        <f>+I58/J58</f>
        <v>15.143391283055827</v>
      </c>
      <c r="L58" s="184">
        <v>1.64</v>
      </c>
    </row>
    <row r="59" spans="2:12" ht="12.75">
      <c r="B59" s="25" t="s">
        <v>38</v>
      </c>
      <c r="C59" s="185" t="s">
        <v>39</v>
      </c>
      <c r="D59" s="186">
        <v>34.27</v>
      </c>
      <c r="E59" s="187">
        <v>236310</v>
      </c>
      <c r="F59" s="35">
        <f t="shared" si="1"/>
        <v>8098343.700000001</v>
      </c>
      <c r="G59" s="188">
        <v>1350000</v>
      </c>
      <c r="H59" s="189">
        <v>356000</v>
      </c>
      <c r="I59" s="182">
        <f t="shared" si="2"/>
        <v>9092343.700000001</v>
      </c>
      <c r="J59" s="188">
        <v>702000</v>
      </c>
      <c r="K59" s="183">
        <f t="shared" si="3"/>
        <v>12.952056552706555</v>
      </c>
      <c r="L59" s="184">
        <v>1.2</v>
      </c>
    </row>
    <row r="60" spans="2:12" ht="12.75">
      <c r="B60" s="25" t="s">
        <v>25</v>
      </c>
      <c r="C60" s="190" t="s">
        <v>26</v>
      </c>
      <c r="D60" s="186">
        <v>14.84</v>
      </c>
      <c r="E60" s="187">
        <v>27390</v>
      </c>
      <c r="F60" s="35">
        <f t="shared" si="1"/>
        <v>406467.6</v>
      </c>
      <c r="G60" s="188">
        <v>266550</v>
      </c>
      <c r="H60" s="189">
        <v>5510</v>
      </c>
      <c r="I60" s="182">
        <f t="shared" si="2"/>
        <v>667507.6</v>
      </c>
      <c r="J60" s="188">
        <v>81650</v>
      </c>
      <c r="K60" s="183">
        <f t="shared" si="3"/>
        <v>8.175230863441518</v>
      </c>
      <c r="L60" s="184">
        <v>0.82</v>
      </c>
    </row>
    <row r="61" spans="2:12" ht="12.75">
      <c r="B61" s="25" t="s">
        <v>27</v>
      </c>
      <c r="C61" s="190" t="s">
        <v>28</v>
      </c>
      <c r="D61" s="186">
        <v>62.2</v>
      </c>
      <c r="E61" s="187">
        <v>290570</v>
      </c>
      <c r="F61" s="35">
        <f t="shared" si="1"/>
        <v>18073454</v>
      </c>
      <c r="G61" s="188">
        <v>3400000</v>
      </c>
      <c r="H61" s="189">
        <v>192000</v>
      </c>
      <c r="I61" s="182">
        <f t="shared" si="2"/>
        <v>21281454</v>
      </c>
      <c r="J61" s="188">
        <v>1200000</v>
      </c>
      <c r="K61" s="183">
        <f t="shared" si="3"/>
        <v>17.734545</v>
      </c>
      <c r="L61" s="184">
        <v>1.2</v>
      </c>
    </row>
    <row r="62" spans="2:12" ht="12.75">
      <c r="B62" s="25" t="s">
        <v>40</v>
      </c>
      <c r="C62" s="190" t="s">
        <v>41</v>
      </c>
      <c r="D62" s="186">
        <v>7.46</v>
      </c>
      <c r="E62" s="187">
        <v>34240</v>
      </c>
      <c r="F62" s="35">
        <f t="shared" si="1"/>
        <v>255430.4</v>
      </c>
      <c r="G62" s="188">
        <v>708270</v>
      </c>
      <c r="H62" s="189">
        <v>132970</v>
      </c>
      <c r="I62" s="182">
        <f t="shared" si="2"/>
        <v>830730.4</v>
      </c>
      <c r="J62" s="188">
        <v>37110</v>
      </c>
      <c r="K62" s="183">
        <f t="shared" si="3"/>
        <v>22.38562112638103</v>
      </c>
      <c r="L62" s="184">
        <v>0.59</v>
      </c>
    </row>
    <row r="63" spans="2:12" ht="12.75">
      <c r="B63" s="25" t="s">
        <v>205</v>
      </c>
      <c r="C63" s="191" t="s">
        <v>206</v>
      </c>
      <c r="D63" s="186">
        <v>10.69</v>
      </c>
      <c r="E63" s="187">
        <v>103900</v>
      </c>
      <c r="F63" s="35">
        <f t="shared" si="1"/>
        <v>1110691</v>
      </c>
      <c r="G63" s="188">
        <v>644560</v>
      </c>
      <c r="H63" s="189">
        <v>132940</v>
      </c>
      <c r="I63" s="182">
        <f t="shared" si="2"/>
        <v>1622311</v>
      </c>
      <c r="J63" s="188">
        <v>102150</v>
      </c>
      <c r="K63" s="183">
        <f t="shared" si="3"/>
        <v>15.881654429760157</v>
      </c>
      <c r="L63" s="184">
        <v>1.74</v>
      </c>
    </row>
    <row r="64" spans="2:12" ht="13.5" thickBot="1">
      <c r="B64" s="192" t="s">
        <v>187</v>
      </c>
      <c r="C64" s="193" t="s">
        <v>42</v>
      </c>
      <c r="D64" s="194">
        <v>71.83</v>
      </c>
      <c r="E64" s="195">
        <v>125000</v>
      </c>
      <c r="F64" s="196">
        <f>+E64*D64</f>
        <v>8978750</v>
      </c>
      <c r="G64" s="197">
        <v>4710000</v>
      </c>
      <c r="H64" s="198">
        <v>247000</v>
      </c>
      <c r="I64" s="199">
        <f>+F64+G64-H64</f>
        <v>13441750</v>
      </c>
      <c r="J64" s="197">
        <v>1170000</v>
      </c>
      <c r="K64" s="200">
        <f>+I64/J64</f>
        <v>11.488675213675213</v>
      </c>
      <c r="L64" s="201">
        <v>1.17</v>
      </c>
    </row>
    <row r="65" ht="6" customHeight="1" thickBot="1"/>
    <row r="66" spans="2:12" ht="13.5" thickBot="1">
      <c r="B66" s="41" t="s">
        <v>31</v>
      </c>
      <c r="C66" s="42" t="s">
        <v>32</v>
      </c>
      <c r="D66" s="43">
        <f>+D43</f>
        <v>70.87</v>
      </c>
      <c r="E66" s="44">
        <f>+E43</f>
        <v>190520</v>
      </c>
      <c r="F66" s="44">
        <f>+E66*D66</f>
        <v>13502152.4</v>
      </c>
      <c r="G66" s="45">
        <f>+G43</f>
        <v>1730000</v>
      </c>
      <c r="H66" s="46">
        <f>+H43</f>
        <v>597000</v>
      </c>
      <c r="I66" s="47">
        <f>+G66+F66-H66</f>
        <v>14635152.4</v>
      </c>
      <c r="J66" s="45">
        <f>+E112</f>
        <v>1065000</v>
      </c>
      <c r="K66" s="48">
        <f>+I66/J66</f>
        <v>13.741927136150235</v>
      </c>
      <c r="L66" s="149">
        <v>2.05</v>
      </c>
    </row>
    <row r="67" spans="2:11" ht="12.75">
      <c r="B67" s="1"/>
      <c r="D67" s="37"/>
      <c r="E67" s="37"/>
      <c r="K67" s="49"/>
    </row>
    <row r="68" spans="2:12" ht="12.75">
      <c r="B68" s="1" t="s">
        <v>44</v>
      </c>
      <c r="C68" s="51">
        <f>+J66</f>
        <v>1065000</v>
      </c>
      <c r="D68" s="52">
        <f>+K69</f>
        <v>15.344510731251079</v>
      </c>
      <c r="J68" s="1" t="s">
        <v>43</v>
      </c>
      <c r="K68" s="50">
        <f>AVERAGE(K56:K64)</f>
        <v>15.33026967873112</v>
      </c>
      <c r="L68" s="50">
        <f>AVERAGE(L56:L66)</f>
        <v>1.2999999999999998</v>
      </c>
    </row>
    <row r="69" spans="2:11" ht="13.5" thickBot="1">
      <c r="B69" s="1"/>
      <c r="F69" s="1"/>
      <c r="G69" s="50"/>
      <c r="H69" s="50"/>
      <c r="J69" t="s">
        <v>45</v>
      </c>
      <c r="K69" s="50">
        <f>AVERAGE(K56,K57,K58,K59,K61,K63,K64)</f>
        <v>15.344510731251079</v>
      </c>
    </row>
    <row r="70" spans="2:11" ht="15" thickBot="1">
      <c r="B70" s="38" t="s">
        <v>33</v>
      </c>
      <c r="C70" s="39">
        <f>+C68*D68</f>
        <v>16341903.9287824</v>
      </c>
      <c r="F70" s="1"/>
      <c r="G70" s="50"/>
      <c r="H70" s="50"/>
      <c r="K70" s="152" t="s">
        <v>207</v>
      </c>
    </row>
    <row r="72" ht="20.25">
      <c r="A72" s="6" t="s">
        <v>160</v>
      </c>
    </row>
    <row r="73" ht="4.5" customHeight="1"/>
    <row r="74" spans="1:14" ht="16.5" customHeight="1">
      <c r="A74" t="s">
        <v>1</v>
      </c>
      <c r="D74" s="170" t="s">
        <v>46</v>
      </c>
      <c r="E74" s="170" t="s">
        <v>3</v>
      </c>
      <c r="F74" s="170" t="s">
        <v>47</v>
      </c>
      <c r="G74" s="170" t="s">
        <v>178</v>
      </c>
      <c r="H74" s="170" t="s">
        <v>179</v>
      </c>
      <c r="I74" s="170" t="s">
        <v>34</v>
      </c>
      <c r="J74" s="170" t="s">
        <v>35</v>
      </c>
      <c r="L74" s="8"/>
      <c r="M74" s="8"/>
      <c r="N74" s="8"/>
    </row>
    <row r="75" spans="4:14" ht="11.25" customHeight="1" thickBot="1">
      <c r="D75" s="8"/>
      <c r="E75" s="8"/>
      <c r="F75" s="8"/>
      <c r="G75" s="8"/>
      <c r="H75" s="8"/>
      <c r="I75" s="53"/>
      <c r="J75" s="8"/>
      <c r="K75" s="8"/>
      <c r="L75" s="8"/>
      <c r="M75" s="8"/>
      <c r="N75" s="8"/>
    </row>
    <row r="76" spans="1:12" ht="39" thickBot="1">
      <c r="A76" s="54" t="s">
        <v>48</v>
      </c>
      <c r="B76" s="13" t="s">
        <v>49</v>
      </c>
      <c r="C76" s="13" t="s">
        <v>50</v>
      </c>
      <c r="D76" s="13" t="s">
        <v>51</v>
      </c>
      <c r="E76" s="13" t="s">
        <v>52</v>
      </c>
      <c r="F76" s="13" t="s">
        <v>53</v>
      </c>
      <c r="G76" s="13" t="s">
        <v>177</v>
      </c>
      <c r="H76" s="13" t="s">
        <v>184</v>
      </c>
      <c r="I76" s="13" t="s">
        <v>54</v>
      </c>
      <c r="J76" s="55" t="s">
        <v>36</v>
      </c>
      <c r="K76" s="4"/>
      <c r="L76" s="4"/>
    </row>
    <row r="77" spans="1:12" s="10" customFormat="1" ht="15.75" customHeight="1">
      <c r="A77" s="222">
        <f>+'[2]Method #3'!A10</f>
        <v>39267</v>
      </c>
      <c r="B77" s="223" t="str">
        <f>+'[2]Method #3'!B10</f>
        <v>Hilton Hotels</v>
      </c>
      <c r="C77" s="223" t="str">
        <f>+'[2]Method #3'!C10</f>
        <v>Blackstone Group</v>
      </c>
      <c r="D77" s="224">
        <f>+'[2]Method #3'!D10</f>
        <v>47.5</v>
      </c>
      <c r="E77" s="225">
        <f>+'[2]Method #3'!E10</f>
        <v>390400000</v>
      </c>
      <c r="F77" s="226">
        <f>+'[2]Method #3'!F10</f>
        <v>18544</v>
      </c>
      <c r="G77" s="224">
        <f>+'[2]Method #3'!G10</f>
        <v>6180</v>
      </c>
      <c r="H77" s="226">
        <f>+'[2]Method #3'!H10</f>
        <v>24724</v>
      </c>
      <c r="I77" s="226">
        <f>+'[2]Method #3'!I10</f>
        <v>1680</v>
      </c>
      <c r="J77" s="227">
        <f>+'[2]Method #3'!J10</f>
        <v>14.716666666666667</v>
      </c>
      <c r="K77" s="228"/>
      <c r="L77" s="228"/>
    </row>
    <row r="78" spans="1:12" s="10" customFormat="1" ht="26.25" customHeight="1">
      <c r="A78" s="222">
        <v>39027</v>
      </c>
      <c r="B78" s="223" t="s">
        <v>55</v>
      </c>
      <c r="C78" s="223" t="s">
        <v>195</v>
      </c>
      <c r="D78" s="224">
        <v>82</v>
      </c>
      <c r="E78" s="225">
        <v>33078000</v>
      </c>
      <c r="F78" s="226">
        <v>3300</v>
      </c>
      <c r="G78" s="224">
        <f>273.825+4.853</f>
        <v>278.678</v>
      </c>
      <c r="H78" s="226">
        <f>+G78+F78</f>
        <v>3578.678</v>
      </c>
      <c r="I78" s="226">
        <f>+H78/31.9</f>
        <v>112.18426332288401</v>
      </c>
      <c r="J78" s="227">
        <f>+H78/I78</f>
        <v>31.900000000000002</v>
      </c>
      <c r="K78" s="228"/>
      <c r="L78" s="228"/>
    </row>
    <row r="79" spans="1:12" s="10" customFormat="1" ht="12" customHeight="1">
      <c r="A79" s="229" t="s">
        <v>56</v>
      </c>
      <c r="B79" s="230" t="s">
        <v>57</v>
      </c>
      <c r="C79" s="230" t="s">
        <v>58</v>
      </c>
      <c r="D79" s="231">
        <v>45</v>
      </c>
      <c r="E79" s="232">
        <f>+F79/D79*1000000</f>
        <v>73333333.33333333</v>
      </c>
      <c r="F79" s="233">
        <v>3300</v>
      </c>
      <c r="G79" s="231">
        <v>123.5</v>
      </c>
      <c r="H79" s="233">
        <f>+G79+F79</f>
        <v>3423.5</v>
      </c>
      <c r="I79" s="233">
        <v>187.2</v>
      </c>
      <c r="J79" s="234">
        <f>+H79/I79</f>
        <v>18.287927350427353</v>
      </c>
      <c r="K79" s="228"/>
      <c r="L79" s="228"/>
    </row>
    <row r="80" spans="1:12" s="10" customFormat="1" ht="12" customHeight="1">
      <c r="A80" s="229">
        <v>38727</v>
      </c>
      <c r="B80" s="230" t="s">
        <v>59</v>
      </c>
      <c r="C80" s="230" t="s">
        <v>60</v>
      </c>
      <c r="D80" s="231"/>
      <c r="E80" s="232"/>
      <c r="F80" s="233">
        <v>5578</v>
      </c>
      <c r="G80" s="231">
        <v>0</v>
      </c>
      <c r="H80" s="233">
        <f>+G80+F80</f>
        <v>5578</v>
      </c>
      <c r="I80" s="233">
        <v>504</v>
      </c>
      <c r="J80" s="234">
        <f aca="true" t="shared" si="4" ref="J80:J89">+H80/I80</f>
        <v>11.067460317460318</v>
      </c>
      <c r="K80" s="228"/>
      <c r="L80" s="228"/>
    </row>
    <row r="81" spans="1:12" s="10" customFormat="1" ht="12" customHeight="1">
      <c r="A81" s="235" t="s">
        <v>61</v>
      </c>
      <c r="B81" s="236" t="s">
        <v>62</v>
      </c>
      <c r="C81" s="230" t="s">
        <v>63</v>
      </c>
      <c r="D81" s="231"/>
      <c r="E81" s="232"/>
      <c r="F81" s="233"/>
      <c r="G81" s="231"/>
      <c r="H81" s="233">
        <v>4096</v>
      </c>
      <c r="I81" s="233">
        <f>+H81/13</f>
        <v>315.0769230769231</v>
      </c>
      <c r="J81" s="234">
        <f t="shared" si="4"/>
        <v>13</v>
      </c>
      <c r="K81" s="228"/>
      <c r="L81" s="228"/>
    </row>
    <row r="82" spans="1:12" s="10" customFormat="1" ht="12" customHeight="1">
      <c r="A82" s="229">
        <v>38649</v>
      </c>
      <c r="B82" s="236" t="s">
        <v>23</v>
      </c>
      <c r="C82" s="223" t="str">
        <f>+C77</f>
        <v>Blackstone Group</v>
      </c>
      <c r="D82" s="231">
        <v>12.22</v>
      </c>
      <c r="E82" s="232">
        <v>202.5</v>
      </c>
      <c r="F82" s="233">
        <v>2474</v>
      </c>
      <c r="G82" s="231">
        <v>925.71</v>
      </c>
      <c r="H82" s="233">
        <v>3400</v>
      </c>
      <c r="I82" s="233">
        <v>229.7</v>
      </c>
      <c r="J82" s="234">
        <v>14.8</v>
      </c>
      <c r="K82" s="228"/>
      <c r="L82" s="228"/>
    </row>
    <row r="83" spans="1:12" s="10" customFormat="1" ht="12" customHeight="1">
      <c r="A83" s="237">
        <v>38580</v>
      </c>
      <c r="B83" s="230" t="s">
        <v>64</v>
      </c>
      <c r="C83" s="230" t="s">
        <v>65</v>
      </c>
      <c r="D83" s="231">
        <v>1.15</v>
      </c>
      <c r="E83" s="232">
        <v>172053000</v>
      </c>
      <c r="F83" s="233">
        <f>+E83*D83/1000000</f>
        <v>197.86094999999997</v>
      </c>
      <c r="G83" s="231">
        <v>2681.96</v>
      </c>
      <c r="H83" s="233">
        <f>+G83+F83</f>
        <v>2879.82095</v>
      </c>
      <c r="I83" s="233">
        <v>275.18</v>
      </c>
      <c r="J83" s="234">
        <f t="shared" si="4"/>
        <v>10.465226215567991</v>
      </c>
      <c r="K83" s="228"/>
      <c r="L83" s="228"/>
    </row>
    <row r="84" spans="1:12" s="10" customFormat="1" ht="12" customHeight="1">
      <c r="A84" s="237">
        <v>38572</v>
      </c>
      <c r="B84" s="230" t="s">
        <v>21</v>
      </c>
      <c r="C84" s="230" t="s">
        <v>66</v>
      </c>
      <c r="D84" s="231">
        <v>24</v>
      </c>
      <c r="E84" s="232">
        <v>19583</v>
      </c>
      <c r="F84" s="233">
        <v>470</v>
      </c>
      <c r="G84" s="231">
        <v>765.2</v>
      </c>
      <c r="H84" s="233">
        <v>1235</v>
      </c>
      <c r="I84" s="233">
        <v>123.07</v>
      </c>
      <c r="J84" s="234">
        <v>10</v>
      </c>
      <c r="K84" s="228"/>
      <c r="L84" s="228"/>
    </row>
    <row r="85" spans="1:12" s="10" customFormat="1" ht="12" customHeight="1">
      <c r="A85" s="229" t="s">
        <v>67</v>
      </c>
      <c r="B85" s="230" t="s">
        <v>68</v>
      </c>
      <c r="C85" s="230" t="s">
        <v>69</v>
      </c>
      <c r="D85" s="231"/>
      <c r="E85" s="232"/>
      <c r="F85" s="233"/>
      <c r="G85" s="231"/>
      <c r="H85" s="233">
        <v>1028.9</v>
      </c>
      <c r="I85" s="233">
        <f>+H85/11.3</f>
        <v>91.05309734513274</v>
      </c>
      <c r="J85" s="234">
        <f t="shared" si="4"/>
        <v>11.3</v>
      </c>
      <c r="K85" s="228"/>
      <c r="L85" s="228"/>
    </row>
    <row r="86" spans="1:12" s="10" customFormat="1" ht="12" customHeight="1">
      <c r="A86" s="229" t="s">
        <v>70</v>
      </c>
      <c r="B86" s="230" t="s">
        <v>71</v>
      </c>
      <c r="C86" s="230" t="s">
        <v>72</v>
      </c>
      <c r="D86" s="231"/>
      <c r="E86" s="232"/>
      <c r="F86" s="233"/>
      <c r="G86" s="231"/>
      <c r="H86" s="233">
        <v>981</v>
      </c>
      <c r="I86" s="233">
        <f>+H86/9.2</f>
        <v>106.6304347826087</v>
      </c>
      <c r="J86" s="234">
        <f t="shared" si="4"/>
        <v>9.2</v>
      </c>
      <c r="K86" s="228"/>
      <c r="L86" s="228"/>
    </row>
    <row r="87" spans="1:12" s="10" customFormat="1" ht="12" customHeight="1">
      <c r="A87" s="238" t="s">
        <v>73</v>
      </c>
      <c r="B87" s="230" t="s">
        <v>74</v>
      </c>
      <c r="C87" s="230" t="s">
        <v>65</v>
      </c>
      <c r="D87" s="231">
        <v>24</v>
      </c>
      <c r="E87" s="232">
        <v>40284000</v>
      </c>
      <c r="F87" s="233">
        <f>+E87*D87/1000000</f>
        <v>966.816</v>
      </c>
      <c r="G87" s="231">
        <v>217.29</v>
      </c>
      <c r="H87" s="233">
        <f>+G87+F87</f>
        <v>1184.106</v>
      </c>
      <c r="I87" s="233">
        <v>90.07</v>
      </c>
      <c r="J87" s="234">
        <f t="shared" si="4"/>
        <v>13.14650827134451</v>
      </c>
      <c r="K87" s="228"/>
      <c r="L87" s="228"/>
    </row>
    <row r="88" spans="1:12" s="10" customFormat="1" ht="12" customHeight="1">
      <c r="A88" s="239" t="s">
        <v>75</v>
      </c>
      <c r="B88" s="240" t="s">
        <v>76</v>
      </c>
      <c r="C88" s="240" t="s">
        <v>65</v>
      </c>
      <c r="D88" s="241">
        <v>12.25</v>
      </c>
      <c r="E88" s="242">
        <v>44808000</v>
      </c>
      <c r="F88" s="243">
        <f>+E88*D88/1000000</f>
        <v>548.898</v>
      </c>
      <c r="G88" s="241">
        <v>243.6</v>
      </c>
      <c r="H88" s="243">
        <f>+G88+F88</f>
        <v>792.498</v>
      </c>
      <c r="I88" s="243">
        <v>55.12</v>
      </c>
      <c r="J88" s="244">
        <f t="shared" si="4"/>
        <v>14.37768505079826</v>
      </c>
      <c r="K88" s="228"/>
      <c r="L88" s="228"/>
    </row>
    <row r="89" spans="1:12" s="10" customFormat="1" ht="12" customHeight="1" thickBot="1">
      <c r="A89" s="245" t="s">
        <v>77</v>
      </c>
      <c r="B89" s="246" t="s">
        <v>78</v>
      </c>
      <c r="C89" s="246" t="s">
        <v>65</v>
      </c>
      <c r="D89" s="247">
        <v>19.93</v>
      </c>
      <c r="E89" s="248">
        <v>95077000</v>
      </c>
      <c r="F89" s="249">
        <f>+E89*D89/1000000</f>
        <v>1894.88461</v>
      </c>
      <c r="G89" s="247">
        <v>1231.5</v>
      </c>
      <c r="H89" s="249">
        <f>+G89+F89</f>
        <v>3126.38461</v>
      </c>
      <c r="I89" s="249">
        <v>224.85</v>
      </c>
      <c r="J89" s="250">
        <f t="shared" si="4"/>
        <v>13.904312252612854</v>
      </c>
      <c r="K89" s="228"/>
      <c r="L89" s="228"/>
    </row>
    <row r="90" spans="1:12" ht="12.75" customHeight="1">
      <c r="A90" s="56" t="s">
        <v>79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1" t="s">
        <v>43</v>
      </c>
      <c r="J91" s="50">
        <f>AVERAGE(J77:J89)</f>
        <v>14.32044508652907</v>
      </c>
      <c r="K91" s="57"/>
      <c r="L91" s="4"/>
      <c r="M91" s="4"/>
      <c r="N91" s="4"/>
    </row>
    <row r="92" spans="2:10" ht="12.75">
      <c r="B92" s="1" t="s">
        <v>44</v>
      </c>
      <c r="C92" s="51">
        <f>+C68</f>
        <v>1065000</v>
      </c>
      <c r="D92" s="52">
        <f>+J92</f>
        <v>13.187798738625268</v>
      </c>
      <c r="I92" t="s">
        <v>80</v>
      </c>
      <c r="J92" s="50">
        <f>+(J77+SUM(J79:J85)+SUM(J87:J89))/11</f>
        <v>13.187798738625268</v>
      </c>
    </row>
    <row r="93" ht="13.5" thickBot="1"/>
    <row r="94" spans="2:3" ht="15" thickBot="1">
      <c r="B94" s="38" t="s">
        <v>33</v>
      </c>
      <c r="C94" s="39">
        <f>+C92*D92</f>
        <v>14045005.65663591</v>
      </c>
    </row>
    <row r="95" ht="20.25">
      <c r="B95" s="6" t="s">
        <v>81</v>
      </c>
    </row>
    <row r="96" ht="10.5" customHeight="1">
      <c r="B96" s="6"/>
    </row>
    <row r="97" spans="1:2" ht="20.25">
      <c r="A97">
        <v>6</v>
      </c>
      <c r="B97" s="6" t="str">
        <f>+B5</f>
        <v>Starwood Hotels &amp; Resorts Worldwide Inc. (HOT)</v>
      </c>
    </row>
    <row r="98" spans="1:11" ht="20.25">
      <c r="A98">
        <f>+A97+1</f>
        <v>7</v>
      </c>
      <c r="B98" s="6"/>
      <c r="C98" s="154"/>
      <c r="D98" s="154"/>
      <c r="E98" s="220" t="s">
        <v>82</v>
      </c>
      <c r="F98" s="221">
        <v>1</v>
      </c>
      <c r="G98" s="221">
        <v>2</v>
      </c>
      <c r="H98" s="221">
        <v>3</v>
      </c>
      <c r="I98" s="221">
        <v>4</v>
      </c>
      <c r="J98" s="221">
        <v>5</v>
      </c>
      <c r="K98" s="221">
        <v>6</v>
      </c>
    </row>
    <row r="99" spans="1:10" ht="12.75">
      <c r="A99">
        <f aca="true" t="shared" si="5" ref="A99:A138">+A98+1</f>
        <v>8</v>
      </c>
      <c r="B99" t="s">
        <v>83</v>
      </c>
      <c r="C99" s="213" t="s">
        <v>193</v>
      </c>
      <c r="D99" s="58" t="s">
        <v>84</v>
      </c>
      <c r="E99" s="219" t="s">
        <v>85</v>
      </c>
      <c r="J99" s="219" t="s">
        <v>86</v>
      </c>
    </row>
    <row r="100" spans="1:11" ht="13.5" thickBot="1">
      <c r="A100">
        <f t="shared" si="5"/>
        <v>9</v>
      </c>
      <c r="C100" s="214" t="s">
        <v>87</v>
      </c>
      <c r="D100" s="59" t="s">
        <v>87</v>
      </c>
      <c r="E100" s="167" t="s">
        <v>199</v>
      </c>
      <c r="F100" s="153">
        <f>+E100+184</f>
        <v>42004</v>
      </c>
      <c r="G100" s="153">
        <f>+F100+365</f>
        <v>42369</v>
      </c>
      <c r="H100" s="153">
        <f>+G100+366</f>
        <v>42735</v>
      </c>
      <c r="I100" s="153">
        <f>+H100+365</f>
        <v>43100</v>
      </c>
      <c r="J100" s="210">
        <f>+I100+365</f>
        <v>43465</v>
      </c>
      <c r="K100" s="153">
        <f>+J100+365</f>
        <v>43830</v>
      </c>
    </row>
    <row r="101" spans="1:11" ht="12.75">
      <c r="A101">
        <f t="shared" si="5"/>
        <v>10</v>
      </c>
      <c r="B101" t="s">
        <v>88</v>
      </c>
      <c r="C101" s="215"/>
      <c r="D101" s="127"/>
      <c r="E101" s="150">
        <v>6011000</v>
      </c>
      <c r="F101" s="61">
        <f aca="true" t="shared" si="6" ref="F101:K101">+E101*(1+F102)</f>
        <v>6311550</v>
      </c>
      <c r="G101" s="61">
        <f t="shared" si="6"/>
        <v>6942705.000000001</v>
      </c>
      <c r="H101" s="61">
        <f t="shared" si="6"/>
        <v>7289840.250000001</v>
      </c>
      <c r="I101" s="61">
        <f t="shared" si="6"/>
        <v>7654332.262500001</v>
      </c>
      <c r="J101" s="62">
        <f>+I101*(1+J102)</f>
        <v>8037048.875625001</v>
      </c>
      <c r="K101" s="203">
        <f t="shared" si="6"/>
        <v>8438901.319406252</v>
      </c>
    </row>
    <row r="102" spans="1:11" ht="12.75">
      <c r="A102">
        <f t="shared" si="5"/>
        <v>11</v>
      </c>
      <c r="B102" t="s">
        <v>89</v>
      </c>
      <c r="C102" s="216"/>
      <c r="D102" s="128"/>
      <c r="E102" s="60"/>
      <c r="F102" s="162">
        <v>0.05</v>
      </c>
      <c r="G102" s="162">
        <v>0.1</v>
      </c>
      <c r="H102" s="162">
        <v>0.05</v>
      </c>
      <c r="I102" s="162">
        <f>+H102</f>
        <v>0.05</v>
      </c>
      <c r="J102" s="163">
        <f>+I102</f>
        <v>0.05</v>
      </c>
      <c r="K102" s="204">
        <f>+J102</f>
        <v>0.05</v>
      </c>
    </row>
    <row r="103" spans="1:11" ht="12" customHeight="1">
      <c r="A103">
        <f t="shared" si="5"/>
        <v>12</v>
      </c>
      <c r="C103" s="216"/>
      <c r="D103" s="128"/>
      <c r="E103" s="60"/>
      <c r="F103" s="63"/>
      <c r="G103" s="63"/>
      <c r="H103" s="63"/>
      <c r="I103" s="63"/>
      <c r="J103" s="64"/>
      <c r="K103" s="205"/>
    </row>
    <row r="104" spans="1:11" ht="12.75">
      <c r="A104">
        <f t="shared" si="5"/>
        <v>13</v>
      </c>
      <c r="B104" t="s">
        <v>90</v>
      </c>
      <c r="C104" s="216">
        <f>-E104/E101</f>
        <v>0.2964564964232241</v>
      </c>
      <c r="D104" s="128">
        <v>0.26</v>
      </c>
      <c r="E104" s="150">
        <f>-459000-455000-429000-439000</f>
        <v>-1782000</v>
      </c>
      <c r="F104" s="61">
        <f aca="true" t="shared" si="7" ref="F104:K104">-$D$104*F101</f>
        <v>-1641003</v>
      </c>
      <c r="G104" s="61">
        <f t="shared" si="7"/>
        <v>-1805103.3000000003</v>
      </c>
      <c r="H104" s="61">
        <f t="shared" si="7"/>
        <v>-1895358.4650000003</v>
      </c>
      <c r="I104" s="61">
        <f t="shared" si="7"/>
        <v>-1990126.3882500003</v>
      </c>
      <c r="J104" s="62">
        <f t="shared" si="7"/>
        <v>-2089632.7076625004</v>
      </c>
      <c r="K104" s="203">
        <f t="shared" si="7"/>
        <v>-2194114.343045626</v>
      </c>
    </row>
    <row r="105" spans="1:11" ht="12.75">
      <c r="A105">
        <f t="shared" si="5"/>
        <v>14</v>
      </c>
      <c r="B105" t="s">
        <v>166</v>
      </c>
      <c r="C105" s="216">
        <f>-E105/E101</f>
        <v>0.5581434037597738</v>
      </c>
      <c r="D105" s="128">
        <v>0.55</v>
      </c>
      <c r="E105" s="151">
        <v>-3355000</v>
      </c>
      <c r="F105" s="65">
        <f aca="true" t="shared" si="8" ref="F105:K105">-$D$105*F101</f>
        <v>-3471352.5000000005</v>
      </c>
      <c r="G105" s="65">
        <f t="shared" si="8"/>
        <v>-3818487.750000001</v>
      </c>
      <c r="H105" s="65">
        <f t="shared" si="8"/>
        <v>-4009412.1375000007</v>
      </c>
      <c r="I105" s="65">
        <f t="shared" si="8"/>
        <v>-4209882.744375001</v>
      </c>
      <c r="J105" s="66">
        <f t="shared" si="8"/>
        <v>-4420376.881593751</v>
      </c>
      <c r="K105" s="206">
        <f t="shared" si="8"/>
        <v>-4641395.725673439</v>
      </c>
    </row>
    <row r="106" spans="1:13" ht="12.75">
      <c r="A106">
        <f t="shared" si="5"/>
        <v>15</v>
      </c>
      <c r="B106" t="s">
        <v>91</v>
      </c>
      <c r="C106" s="217"/>
      <c r="D106" s="129"/>
      <c r="E106" s="60">
        <f>SUM(E101:E105)</f>
        <v>874000</v>
      </c>
      <c r="F106" s="61">
        <f aca="true" t="shared" si="9" ref="F106:K106">+F101+F104+F105</f>
        <v>1199194.4999999995</v>
      </c>
      <c r="G106" s="61">
        <f t="shared" si="9"/>
        <v>1319113.9500000002</v>
      </c>
      <c r="H106" s="61">
        <f t="shared" si="9"/>
        <v>1385069.6474999995</v>
      </c>
      <c r="I106" s="61">
        <f t="shared" si="9"/>
        <v>1454323.1298749996</v>
      </c>
      <c r="J106" s="62">
        <f t="shared" si="9"/>
        <v>1527039.28636875</v>
      </c>
      <c r="K106" s="203">
        <f t="shared" si="9"/>
        <v>1603391.2506871875</v>
      </c>
      <c r="M106" s="51">
        <f>+E101+E104+E105</f>
        <v>874000</v>
      </c>
    </row>
    <row r="107" spans="1:11" ht="12.75">
      <c r="A107">
        <f t="shared" si="5"/>
        <v>16</v>
      </c>
      <c r="B107" t="s">
        <v>175</v>
      </c>
      <c r="C107" s="216"/>
      <c r="D107" s="128">
        <v>0.36</v>
      </c>
      <c r="E107" s="60">
        <v>0</v>
      </c>
      <c r="F107" s="61">
        <f aca="true" t="shared" si="10" ref="F107:K107">-$D$107*F106</f>
        <v>-431710.01999999984</v>
      </c>
      <c r="G107" s="61">
        <f t="shared" si="10"/>
        <v>-474881.02200000006</v>
      </c>
      <c r="H107" s="61">
        <f t="shared" si="10"/>
        <v>-498625.0730999998</v>
      </c>
      <c r="I107" s="61">
        <f t="shared" si="10"/>
        <v>-523556.3267549999</v>
      </c>
      <c r="J107" s="62">
        <f t="shared" si="10"/>
        <v>-549734.14309275</v>
      </c>
      <c r="K107" s="203">
        <f t="shared" si="10"/>
        <v>-577220.8502473875</v>
      </c>
    </row>
    <row r="108" spans="1:11" ht="12.75">
      <c r="A108">
        <f t="shared" si="5"/>
        <v>17</v>
      </c>
      <c r="B108" t="s">
        <v>92</v>
      </c>
      <c r="C108" s="216">
        <f>+E108/E101</f>
        <v>0.03177507902179338</v>
      </c>
      <c r="D108" s="128">
        <v>0.04</v>
      </c>
      <c r="E108" s="60">
        <f>42000+54000+47000+48000</f>
        <v>191000</v>
      </c>
      <c r="F108" s="61">
        <f aca="true" t="shared" si="11" ref="F108:K108">+$D$108*F101</f>
        <v>252462</v>
      </c>
      <c r="G108" s="61">
        <f t="shared" si="11"/>
        <v>277708.20000000007</v>
      </c>
      <c r="H108" s="61">
        <f t="shared" si="11"/>
        <v>291593.61000000004</v>
      </c>
      <c r="I108" s="61">
        <f t="shared" si="11"/>
        <v>306173.29050000006</v>
      </c>
      <c r="J108" s="62">
        <f t="shared" si="11"/>
        <v>321481.95502500003</v>
      </c>
      <c r="K108" s="203">
        <f t="shared" si="11"/>
        <v>337556.0527762501</v>
      </c>
    </row>
    <row r="109" spans="1:11" ht="12.75">
      <c r="A109">
        <f t="shared" si="5"/>
        <v>18</v>
      </c>
      <c r="B109" t="s">
        <v>93</v>
      </c>
      <c r="C109" s="216">
        <f>-E109/E101</f>
        <v>0.06288471136250208</v>
      </c>
      <c r="D109" s="128">
        <v>0.05</v>
      </c>
      <c r="E109" s="150">
        <f>-94000-129000-84000-71000</f>
        <v>-378000</v>
      </c>
      <c r="F109" s="61">
        <f aca="true" t="shared" si="12" ref="F109:K109">-$D$109*F101</f>
        <v>-315577.5</v>
      </c>
      <c r="G109" s="61">
        <f t="shared" si="12"/>
        <v>-347135.25000000006</v>
      </c>
      <c r="H109" s="61">
        <f t="shared" si="12"/>
        <v>-364492.01250000007</v>
      </c>
      <c r="I109" s="61">
        <f t="shared" si="12"/>
        <v>-382716.6131250001</v>
      </c>
      <c r="J109" s="62">
        <f t="shared" si="12"/>
        <v>-401852.4437812501</v>
      </c>
      <c r="K109" s="203">
        <f t="shared" si="12"/>
        <v>-421945.06597031263</v>
      </c>
    </row>
    <row r="110" spans="1:11" ht="13.5" thickBot="1">
      <c r="A110">
        <f t="shared" si="5"/>
        <v>19</v>
      </c>
      <c r="B110" t="s">
        <v>94</v>
      </c>
      <c r="C110" s="218"/>
      <c r="E110" s="136">
        <f>SUM(E106:E109)</f>
        <v>687000</v>
      </c>
      <c r="F110" s="68">
        <f aca="true" t="shared" si="13" ref="F110:K110">SUM(F106:F109)</f>
        <v>704368.9799999997</v>
      </c>
      <c r="G110" s="68">
        <f t="shared" si="13"/>
        <v>774805.878</v>
      </c>
      <c r="H110" s="68">
        <f t="shared" si="13"/>
        <v>813546.1718999996</v>
      </c>
      <c r="I110" s="68">
        <f t="shared" si="13"/>
        <v>854223.4804949998</v>
      </c>
      <c r="J110" s="67">
        <f t="shared" si="13"/>
        <v>896934.6545197498</v>
      </c>
      <c r="K110" s="207">
        <f t="shared" si="13"/>
        <v>941781.3872457375</v>
      </c>
    </row>
    <row r="111" spans="1:11" ht="7.5" customHeight="1" thickTop="1">
      <c r="A111">
        <f t="shared" si="5"/>
        <v>20</v>
      </c>
      <c r="B111" s="154"/>
      <c r="C111" s="154"/>
      <c r="D111" s="154"/>
      <c r="E111" s="65"/>
      <c r="F111" s="65"/>
      <c r="G111" s="65"/>
      <c r="H111" s="65"/>
      <c r="I111" s="65"/>
      <c r="J111" s="66"/>
      <c r="K111" s="206"/>
    </row>
    <row r="112" spans="1:11" ht="12.75">
      <c r="A112">
        <f t="shared" si="5"/>
        <v>21</v>
      </c>
      <c r="B112" s="155" t="s">
        <v>95</v>
      </c>
      <c r="C112" s="155"/>
      <c r="D112" s="155"/>
      <c r="E112" s="156">
        <f aca="true" t="shared" si="14" ref="E112:K112">+E106+E108</f>
        <v>1065000</v>
      </c>
      <c r="F112" s="157">
        <f t="shared" si="14"/>
        <v>1451656.4999999995</v>
      </c>
      <c r="G112" s="157">
        <f t="shared" si="14"/>
        <v>1596822.1500000004</v>
      </c>
      <c r="H112" s="157">
        <f t="shared" si="14"/>
        <v>1676663.2574999996</v>
      </c>
      <c r="I112" s="157">
        <f t="shared" si="14"/>
        <v>1760496.4203749998</v>
      </c>
      <c r="J112" s="158">
        <f t="shared" si="14"/>
        <v>1848521.24139375</v>
      </c>
      <c r="K112" s="208">
        <f t="shared" si="14"/>
        <v>1940947.3034634376</v>
      </c>
    </row>
    <row r="113" spans="1:11" ht="12" customHeight="1">
      <c r="A113">
        <f t="shared" si="5"/>
        <v>22</v>
      </c>
      <c r="B113" s="159" t="s">
        <v>163</v>
      </c>
      <c r="C113" s="159"/>
      <c r="D113" s="159"/>
      <c r="E113" s="160">
        <f>+E137</f>
        <v>1730000</v>
      </c>
      <c r="F113" s="160">
        <f aca="true" t="shared" si="15" ref="F113:K113">+E113-(0.05*$E$113)</f>
        <v>1643500</v>
      </c>
      <c r="G113" s="160">
        <f t="shared" si="15"/>
        <v>1557000</v>
      </c>
      <c r="H113" s="160">
        <f t="shared" si="15"/>
        <v>1470500</v>
      </c>
      <c r="I113" s="160">
        <f t="shared" si="15"/>
        <v>1384000</v>
      </c>
      <c r="J113" s="161">
        <f t="shared" si="15"/>
        <v>1297500</v>
      </c>
      <c r="K113" s="209">
        <f t="shared" si="15"/>
        <v>1211000</v>
      </c>
    </row>
    <row r="114" spans="1:10" ht="9.75" customHeight="1">
      <c r="A114">
        <f t="shared" si="5"/>
        <v>23</v>
      </c>
      <c r="E114" s="4"/>
      <c r="F114" s="4"/>
      <c r="G114" s="4"/>
      <c r="H114" s="4"/>
      <c r="I114" s="4"/>
      <c r="J114" s="71"/>
    </row>
    <row r="115" spans="1:10" ht="13.5" thickBot="1">
      <c r="A115">
        <f t="shared" si="5"/>
        <v>24</v>
      </c>
      <c r="B115" s="72" t="s">
        <v>96</v>
      </c>
      <c r="C115" s="73" t="s">
        <v>87</v>
      </c>
      <c r="E115" s="168" t="s">
        <v>176</v>
      </c>
      <c r="F115" s="4"/>
      <c r="G115" s="4"/>
      <c r="H115" s="4"/>
      <c r="I115" s="4"/>
      <c r="J115" s="71"/>
    </row>
    <row r="116" spans="1:10" ht="12.75">
      <c r="A116">
        <f t="shared" si="5"/>
        <v>25</v>
      </c>
      <c r="B116" t="s">
        <v>97</v>
      </c>
      <c r="C116" s="52">
        <f>+D68</f>
        <v>15.344510731251079</v>
      </c>
      <c r="E116" s="74"/>
      <c r="F116" s="75" t="s">
        <v>98</v>
      </c>
      <c r="G116" s="4"/>
      <c r="H116" s="4"/>
      <c r="I116" s="4"/>
      <c r="J116" s="76">
        <f>+$C$116*J112</f>
        <v>28364654.025511965</v>
      </c>
    </row>
    <row r="117" spans="1:10" ht="12.75">
      <c r="A117">
        <f t="shared" si="5"/>
        <v>26</v>
      </c>
      <c r="B117" t="s">
        <v>99</v>
      </c>
      <c r="C117" s="77">
        <v>0.1</v>
      </c>
      <c r="E117" s="169">
        <f>+K102</f>
        <v>0.05</v>
      </c>
      <c r="F117" s="75" t="s">
        <v>180</v>
      </c>
      <c r="G117" s="4"/>
      <c r="H117" s="4"/>
      <c r="I117" s="4"/>
      <c r="J117" s="62">
        <f>+K110/(C117-E117)</f>
        <v>18835627.744914748</v>
      </c>
    </row>
    <row r="118" spans="1:10" ht="12.75">
      <c r="A118">
        <f t="shared" si="5"/>
        <v>27</v>
      </c>
      <c r="B118" t="s">
        <v>43</v>
      </c>
      <c r="E118" s="4"/>
      <c r="F118" s="4"/>
      <c r="G118" s="4"/>
      <c r="H118" s="4"/>
      <c r="I118" s="4"/>
      <c r="J118" s="78">
        <f>+(J116+J117)/2</f>
        <v>23600140.885213356</v>
      </c>
    </row>
    <row r="119" spans="1:10" ht="12.75">
      <c r="A119">
        <f t="shared" si="5"/>
        <v>28</v>
      </c>
      <c r="B119" t="s">
        <v>100</v>
      </c>
      <c r="E119" s="79"/>
      <c r="F119" s="4"/>
      <c r="G119" s="4"/>
      <c r="H119" s="4"/>
      <c r="I119" s="4"/>
      <c r="J119" s="76">
        <f>-J113</f>
        <v>-1297500</v>
      </c>
    </row>
    <row r="120" spans="1:10" ht="12.75">
      <c r="A120">
        <f t="shared" si="5"/>
        <v>29</v>
      </c>
      <c r="B120" t="s">
        <v>101</v>
      </c>
      <c r="E120" s="79"/>
      <c r="F120" s="4"/>
      <c r="G120" s="4"/>
      <c r="H120" s="4"/>
      <c r="I120" s="4"/>
      <c r="J120" s="80">
        <v>0</v>
      </c>
    </row>
    <row r="121" spans="1:10" ht="12.75">
      <c r="A121">
        <f t="shared" si="5"/>
        <v>30</v>
      </c>
      <c r="B121" t="s">
        <v>102</v>
      </c>
      <c r="E121" s="4"/>
      <c r="F121" s="4"/>
      <c r="G121" s="4"/>
      <c r="H121" s="4"/>
      <c r="I121" s="4"/>
      <c r="J121" s="76">
        <f>+J119+J118</f>
        <v>22302640.885213356</v>
      </c>
    </row>
    <row r="122" spans="1:10" ht="12.75">
      <c r="A122">
        <f t="shared" si="5"/>
        <v>31</v>
      </c>
      <c r="E122" s="4"/>
      <c r="F122" s="4"/>
      <c r="G122" s="4"/>
      <c r="H122" s="4"/>
      <c r="I122" s="4"/>
      <c r="J122" s="71"/>
    </row>
    <row r="123" spans="1:10" ht="12.75">
      <c r="A123">
        <f t="shared" si="5"/>
        <v>32</v>
      </c>
      <c r="B123" t="s">
        <v>103</v>
      </c>
      <c r="C123" s="172">
        <f>+K137</f>
        <v>0.20302499999999996</v>
      </c>
      <c r="E123" s="69"/>
      <c r="F123" s="69">
        <f>+F110</f>
        <v>704368.9799999997</v>
      </c>
      <c r="G123" s="69">
        <f>+G110</f>
        <v>774805.878</v>
      </c>
      <c r="H123" s="69">
        <f>+H110</f>
        <v>813546.1718999996</v>
      </c>
      <c r="I123" s="69">
        <f>+I110</f>
        <v>854223.4804949998</v>
      </c>
      <c r="J123" s="70">
        <f>+J121+J110</f>
        <v>23199575.539733104</v>
      </c>
    </row>
    <row r="124" spans="1:10" ht="12.75">
      <c r="A124">
        <f t="shared" si="5"/>
        <v>33</v>
      </c>
      <c r="E124" s="79"/>
      <c r="F124" s="81" t="s">
        <v>104</v>
      </c>
      <c r="G124" s="81" t="s">
        <v>104</v>
      </c>
      <c r="H124" s="81" t="s">
        <v>104</v>
      </c>
      <c r="I124" s="81" t="s">
        <v>104</v>
      </c>
      <c r="J124" s="82" t="s">
        <v>104</v>
      </c>
    </row>
    <row r="125" spans="1:10" ht="15.75" thickBot="1">
      <c r="A125">
        <f t="shared" si="5"/>
        <v>34</v>
      </c>
      <c r="C125" s="83" t="s">
        <v>194</v>
      </c>
      <c r="E125" s="79"/>
      <c r="F125" s="84">
        <f>1/((1+$K$137)^F98)</f>
        <v>0.8312379210739594</v>
      </c>
      <c r="G125" s="84">
        <f>1/((1+$K$137)^G98)</f>
        <v>0.690956481431358</v>
      </c>
      <c r="H125" s="84">
        <f>1/((1+$K$137)^H98)</f>
        <v>0.5743492291775798</v>
      </c>
      <c r="I125" s="84">
        <f>1/((1+$K$137)^I98)</f>
        <v>0.47742085923200256</v>
      </c>
      <c r="J125" s="85">
        <f>1/((1+$K$137)^J98)</f>
        <v>0.39685032250535324</v>
      </c>
    </row>
    <row r="126" spans="1:11" ht="12.75">
      <c r="A126">
        <f t="shared" si="5"/>
        <v>35</v>
      </c>
      <c r="C126" s="83"/>
      <c r="E126" s="79"/>
      <c r="F126" s="81" t="s">
        <v>105</v>
      </c>
      <c r="G126" s="81" t="s">
        <v>105</v>
      </c>
      <c r="H126" s="81" t="s">
        <v>105</v>
      </c>
      <c r="I126" s="81" t="s">
        <v>105</v>
      </c>
      <c r="J126" s="81" t="s">
        <v>105</v>
      </c>
      <c r="K126" s="81"/>
    </row>
    <row r="127" spans="1:3" ht="12.75">
      <c r="A127">
        <f t="shared" si="5"/>
        <v>36</v>
      </c>
      <c r="C127" s="83"/>
    </row>
    <row r="128" spans="1:6" ht="12.75">
      <c r="A128">
        <f t="shared" si="5"/>
        <v>37</v>
      </c>
      <c r="C128" s="83" t="s">
        <v>106</v>
      </c>
      <c r="E128" s="86">
        <f>+F125*F123</f>
        <v>585498.206604185</v>
      </c>
      <c r="F128" s="87"/>
    </row>
    <row r="129" spans="1:5" ht="12.75">
      <c r="A129">
        <f t="shared" si="5"/>
        <v>38</v>
      </c>
      <c r="C129" s="83" t="s">
        <v>107</v>
      </c>
      <c r="E129" s="86">
        <f>+G125*G123</f>
        <v>535357.1432552141</v>
      </c>
    </row>
    <row r="130" spans="1:5" ht="12.75">
      <c r="A130">
        <f t="shared" si="5"/>
        <v>39</v>
      </c>
      <c r="C130" s="83" t="s">
        <v>108</v>
      </c>
      <c r="E130" s="86">
        <f>+H125*H123</f>
        <v>467259.6167311356</v>
      </c>
    </row>
    <row r="131" spans="1:5" ht="12.75">
      <c r="A131">
        <f t="shared" si="5"/>
        <v>40</v>
      </c>
      <c r="C131" s="83" t="s">
        <v>109</v>
      </c>
      <c r="E131" s="86">
        <f>+I125*I123</f>
        <v>407824.1080340746</v>
      </c>
    </row>
    <row r="132" spans="1:5" ht="13.5" thickBot="1">
      <c r="A132">
        <f t="shared" si="5"/>
        <v>41</v>
      </c>
      <c r="C132" s="83" t="s">
        <v>110</v>
      </c>
      <c r="E132" s="86">
        <f>+J125*J123</f>
        <v>9206759.034930388</v>
      </c>
    </row>
    <row r="133" spans="1:11" ht="13.5" thickBot="1">
      <c r="A133">
        <f t="shared" si="5"/>
        <v>42</v>
      </c>
      <c r="C133" s="83" t="s">
        <v>111</v>
      </c>
      <c r="E133" s="88">
        <f>SUM(E128:E132)</f>
        <v>11202698.109554997</v>
      </c>
      <c r="F133" s="89"/>
      <c r="I133" s="95" t="s">
        <v>114</v>
      </c>
      <c r="J133" s="96"/>
      <c r="K133" s="97"/>
    </row>
    <row r="134" spans="1:11" ht="13.5" thickTop="1">
      <c r="A134">
        <f t="shared" si="5"/>
        <v>43</v>
      </c>
      <c r="C134" s="83"/>
      <c r="E134" s="90"/>
      <c r="F134" s="89"/>
      <c r="I134" s="100" t="s">
        <v>190</v>
      </c>
      <c r="J134" s="101"/>
      <c r="K134" s="102">
        <v>0.0175</v>
      </c>
    </row>
    <row r="135" spans="1:11" ht="12.75">
      <c r="A135">
        <f t="shared" si="5"/>
        <v>44</v>
      </c>
      <c r="C135" s="91" t="s">
        <v>182</v>
      </c>
      <c r="E135" s="92" t="s">
        <v>112</v>
      </c>
      <c r="F135" s="93"/>
      <c r="I135" s="100" t="s">
        <v>116</v>
      </c>
      <c r="J135" s="101"/>
      <c r="K135" s="211">
        <v>0.0905</v>
      </c>
    </row>
    <row r="136" spans="1:11" ht="13.5" thickBot="1">
      <c r="A136">
        <f t="shared" si="5"/>
        <v>45</v>
      </c>
      <c r="C136" s="94" t="s">
        <v>113</v>
      </c>
      <c r="E136" s="86">
        <f>+E133</f>
        <v>11202698.109554997</v>
      </c>
      <c r="I136" s="100" t="s">
        <v>117</v>
      </c>
      <c r="J136" s="101"/>
      <c r="K136" s="104">
        <f>+L66</f>
        <v>2.05</v>
      </c>
    </row>
    <row r="137" spans="1:11" ht="13.5" thickBot="1">
      <c r="A137">
        <f t="shared" si="5"/>
        <v>46</v>
      </c>
      <c r="C137" s="98" t="s">
        <v>115</v>
      </c>
      <c r="E137" s="99">
        <f>+G43</f>
        <v>1730000</v>
      </c>
      <c r="I137" s="105" t="s">
        <v>118</v>
      </c>
      <c r="J137" s="106"/>
      <c r="K137" s="107">
        <f>+K134+(K135*K136)</f>
        <v>0.20302499999999996</v>
      </c>
    </row>
    <row r="138" spans="1:5" ht="13.5" thickBot="1">
      <c r="A138">
        <f t="shared" si="5"/>
        <v>47</v>
      </c>
      <c r="C138" s="98" t="s">
        <v>131</v>
      </c>
      <c r="E138" s="99">
        <f>-H43</f>
        <v>-597000</v>
      </c>
    </row>
    <row r="139" spans="2:5" ht="15" thickBot="1">
      <c r="B139" s="38" t="s">
        <v>183</v>
      </c>
      <c r="C139" s="103"/>
      <c r="D139" s="103"/>
      <c r="E139" s="39">
        <f>+E137+E136+E138</f>
        <v>12335698.109554997</v>
      </c>
    </row>
    <row r="141" spans="1:3" ht="20.25">
      <c r="A141" s="4"/>
      <c r="B141" s="108" t="s">
        <v>181</v>
      </c>
      <c r="C141" s="4"/>
    </row>
    <row r="142" spans="1:3" ht="12.75">
      <c r="A142" s="4"/>
      <c r="B142" s="4"/>
      <c r="C142" s="4"/>
    </row>
    <row r="143" spans="1:3" ht="21" thickBot="1">
      <c r="A143" s="4"/>
      <c r="B143" s="109" t="s">
        <v>119</v>
      </c>
      <c r="C143" s="4"/>
    </row>
    <row r="144" spans="1:8" ht="21" thickBot="1">
      <c r="A144" s="4"/>
      <c r="B144" s="110"/>
      <c r="C144" s="111"/>
      <c r="D144" s="111"/>
      <c r="E144" s="111"/>
      <c r="F144" s="111"/>
      <c r="G144" s="111"/>
      <c r="H144" s="112"/>
    </row>
    <row r="145" spans="1:15" ht="13.5" thickBot="1">
      <c r="A145" s="4"/>
      <c r="B145" s="113"/>
      <c r="C145" s="59" t="s">
        <v>120</v>
      </c>
      <c r="D145" s="59" t="s">
        <v>121</v>
      </c>
      <c r="E145" s="59" t="s">
        <v>122</v>
      </c>
      <c r="F145" s="59" t="s">
        <v>123</v>
      </c>
      <c r="G145" s="59" t="s">
        <v>124</v>
      </c>
      <c r="H145" s="114" t="s">
        <v>125</v>
      </c>
      <c r="N145" t="s">
        <v>169</v>
      </c>
      <c r="O145" s="164">
        <f>+H146</f>
        <v>70.87</v>
      </c>
    </row>
    <row r="146" spans="1:15" ht="12.75">
      <c r="A146" s="4"/>
      <c r="B146" s="115" t="s">
        <v>126</v>
      </c>
      <c r="C146" s="116">
        <f>+C46</f>
        <v>14635152.4</v>
      </c>
      <c r="D146" s="116">
        <f>+G43</f>
        <v>1730000</v>
      </c>
      <c r="E146" s="116">
        <f>+$H$66</f>
        <v>597000</v>
      </c>
      <c r="F146" s="116">
        <f>+C146-D146+E146</f>
        <v>13502152.4</v>
      </c>
      <c r="G146" s="116">
        <f>+$E$43</f>
        <v>190520</v>
      </c>
      <c r="H146" s="117">
        <f>+F146/G146</f>
        <v>70.87</v>
      </c>
      <c r="N146" t="s">
        <v>170</v>
      </c>
      <c r="O146" s="164">
        <f>+H147</f>
        <v>63.47771076160212</v>
      </c>
    </row>
    <row r="147" spans="1:15" ht="12.75">
      <c r="A147" s="4"/>
      <c r="B147" s="115" t="s">
        <v>155</v>
      </c>
      <c r="C147" s="116"/>
      <c r="D147" s="116"/>
      <c r="E147" s="116"/>
      <c r="F147" s="116"/>
      <c r="G147" s="116"/>
      <c r="H147" s="117">
        <f>+I25</f>
        <v>63.47771076160212</v>
      </c>
      <c r="N147" t="s">
        <v>171</v>
      </c>
      <c r="O147" s="164">
        <f>+H149</f>
        <v>79.82838509753516</v>
      </c>
    </row>
    <row r="148" spans="1:15" ht="12.75">
      <c r="A148" s="4"/>
      <c r="B148" s="115"/>
      <c r="C148" s="116"/>
      <c r="D148" s="116"/>
      <c r="E148" s="116"/>
      <c r="F148" s="116"/>
      <c r="G148" s="116"/>
      <c r="H148" s="117"/>
      <c r="N148" t="s">
        <v>172</v>
      </c>
      <c r="O148" s="164">
        <f>+H150</f>
        <v>67.77244203567032</v>
      </c>
    </row>
    <row r="149" spans="1:15" ht="12.75">
      <c r="A149" s="4"/>
      <c r="B149" s="118" t="s">
        <v>127</v>
      </c>
      <c r="C149" s="119">
        <f>+C70</f>
        <v>16341903.9287824</v>
      </c>
      <c r="D149" s="116">
        <f>+D146</f>
        <v>1730000</v>
      </c>
      <c r="E149" s="116">
        <f>+$H$66</f>
        <v>597000</v>
      </c>
      <c r="F149" s="116">
        <f>+C149-D149+E149</f>
        <v>15208903.9287824</v>
      </c>
      <c r="G149" s="116">
        <f>+$E$43</f>
        <v>190520</v>
      </c>
      <c r="H149" s="117">
        <f>+F149/G149</f>
        <v>79.82838509753516</v>
      </c>
      <c r="N149" t="s">
        <v>173</v>
      </c>
      <c r="O149" s="164">
        <f>+H151</f>
        <v>58.80064092775035</v>
      </c>
    </row>
    <row r="150" spans="1:8" ht="12.75">
      <c r="A150" s="4"/>
      <c r="B150" s="118" t="s">
        <v>128</v>
      </c>
      <c r="C150" s="119">
        <f>+C94</f>
        <v>14045005.65663591</v>
      </c>
      <c r="D150" s="116">
        <f>+D146</f>
        <v>1730000</v>
      </c>
      <c r="E150" s="116">
        <f>+$H$66</f>
        <v>597000</v>
      </c>
      <c r="F150" s="116">
        <f>+C150-D150+E150</f>
        <v>12912005.65663591</v>
      </c>
      <c r="G150" s="116">
        <f>+$E$43</f>
        <v>190520</v>
      </c>
      <c r="H150" s="117">
        <f>+F150/G150</f>
        <v>67.77244203567032</v>
      </c>
    </row>
    <row r="151" spans="1:8" ht="12.75">
      <c r="A151" s="4"/>
      <c r="B151" s="130" t="s">
        <v>129</v>
      </c>
      <c r="C151" s="131">
        <f>+E139</f>
        <v>12335698.109554997</v>
      </c>
      <c r="D151" s="131">
        <f>+D146</f>
        <v>1730000</v>
      </c>
      <c r="E151" s="131">
        <f>+$H$66</f>
        <v>597000</v>
      </c>
      <c r="F151" s="131">
        <f>+C151-D151+E151</f>
        <v>11202698.109554997</v>
      </c>
      <c r="G151" s="131">
        <f>+$E$43</f>
        <v>190520</v>
      </c>
      <c r="H151" s="132">
        <f>+F151/G151</f>
        <v>58.80064092775035</v>
      </c>
    </row>
    <row r="152" spans="1:8" ht="12.75">
      <c r="A152" s="4"/>
      <c r="B152" s="113"/>
      <c r="C152" s="79"/>
      <c r="D152" s="79"/>
      <c r="E152" s="79"/>
      <c r="F152" s="79"/>
      <c r="G152" s="79"/>
      <c r="H152" s="120"/>
    </row>
    <row r="153" spans="1:8" ht="13.5" thickBot="1">
      <c r="A153" s="4"/>
      <c r="B153" s="121" t="s">
        <v>130</v>
      </c>
      <c r="C153" s="122">
        <f>AVERAGE(C146:C151)</f>
        <v>14339440.023743328</v>
      </c>
      <c r="D153" s="122">
        <f>AVERAGE(D146:D151)</f>
        <v>1730000</v>
      </c>
      <c r="E153" s="122">
        <f>AVERAGE(E146:E151)</f>
        <v>597000</v>
      </c>
      <c r="F153" s="122">
        <f>AVERAGE(F146:F151)</f>
        <v>13206440.023743328</v>
      </c>
      <c r="G153" s="122"/>
      <c r="H153" s="123">
        <f>AVERAGE(H145:H151)</f>
        <v>68.1498357645116</v>
      </c>
    </row>
    <row r="154" spans="1:8" ht="14.25" thickBot="1" thickTop="1">
      <c r="A154" s="4"/>
      <c r="B154" s="124"/>
      <c r="C154" s="125"/>
      <c r="D154" s="125"/>
      <c r="E154" s="125"/>
      <c r="F154" s="125"/>
      <c r="G154" s="125"/>
      <c r="H154" s="126"/>
    </row>
    <row r="155" ht="12.75">
      <c r="A155" s="4"/>
    </row>
    <row r="159" spans="4:10" ht="12.75">
      <c r="D159" s="37"/>
      <c r="F159" s="37"/>
      <c r="G159" s="37"/>
      <c r="H159" s="37"/>
      <c r="I159" s="37"/>
      <c r="J159" s="37"/>
    </row>
    <row r="160" spans="4:10" ht="12.75">
      <c r="D160" s="37"/>
      <c r="F160" s="37"/>
      <c r="G160" s="37"/>
      <c r="H160" s="37"/>
      <c r="I160" s="37"/>
      <c r="J160" s="37"/>
    </row>
    <row r="161" spans="4:10" ht="12.75">
      <c r="D161" s="37"/>
      <c r="F161" s="37"/>
      <c r="G161" s="37"/>
      <c r="H161" s="37"/>
      <c r="I161" s="37"/>
      <c r="J161" s="37"/>
    </row>
    <row r="162" spans="4:10" ht="12.75">
      <c r="D162" s="37"/>
      <c r="F162" s="37"/>
      <c r="G162" s="37"/>
      <c r="H162" s="37"/>
      <c r="I162" s="37"/>
      <c r="J162" s="37"/>
    </row>
    <row r="163" spans="4:10" ht="12.75">
      <c r="D163" s="37"/>
      <c r="F163" s="37"/>
      <c r="G163" s="37"/>
      <c r="H163" s="37"/>
      <c r="I163" s="37"/>
      <c r="J163" s="37"/>
    </row>
    <row r="164" spans="4:6" ht="12.75">
      <c r="D164" s="37"/>
      <c r="F164" s="37"/>
    </row>
    <row r="165" ht="12.75">
      <c r="D165" s="37"/>
    </row>
    <row r="166" ht="12.75">
      <c r="D166" s="37"/>
    </row>
    <row r="167" ht="12.75">
      <c r="D167" s="37"/>
    </row>
    <row r="168" ht="12.75">
      <c r="D168" s="37"/>
    </row>
    <row r="169" ht="12.75">
      <c r="D169" s="37"/>
    </row>
    <row r="170" ht="12.75">
      <c r="D170" s="37"/>
    </row>
    <row r="171" ht="12.75">
      <c r="D171" s="37"/>
    </row>
    <row r="172" ht="12.75">
      <c r="D172" s="37"/>
    </row>
    <row r="173" ht="12.75">
      <c r="D173" s="37"/>
    </row>
    <row r="174" ht="12.75">
      <c r="D174" s="37"/>
    </row>
    <row r="175" ht="12.75">
      <c r="D175" s="37"/>
    </row>
    <row r="176" ht="12.75">
      <c r="D176" s="37"/>
    </row>
    <row r="177" ht="12.75">
      <c r="D177" s="37"/>
    </row>
    <row r="178" ht="12.75">
      <c r="D178" s="37"/>
    </row>
    <row r="179" ht="12.75">
      <c r="D179" s="37"/>
    </row>
    <row r="180" ht="12.75">
      <c r="D180" s="37"/>
    </row>
    <row r="181" ht="12.75">
      <c r="D181" s="37"/>
    </row>
    <row r="182" ht="12.75">
      <c r="D182" s="37"/>
    </row>
    <row r="183" ht="12.75">
      <c r="D183" s="37"/>
    </row>
    <row r="184" ht="12.75">
      <c r="D184" s="37"/>
    </row>
    <row r="185" ht="12.75">
      <c r="D185" s="37"/>
    </row>
    <row r="186" ht="12.75">
      <c r="D186" s="37"/>
    </row>
    <row r="187" ht="12.75">
      <c r="D187" s="37"/>
    </row>
    <row r="188" ht="12.75">
      <c r="D188" s="37"/>
    </row>
    <row r="189" ht="12.75">
      <c r="D189" s="37"/>
    </row>
    <row r="190" ht="12.75">
      <c r="D190" s="37"/>
    </row>
    <row r="191" ht="12.75">
      <c r="D191" s="37"/>
    </row>
    <row r="192" ht="12.75">
      <c r="D192" s="37"/>
    </row>
    <row r="193" ht="12.75">
      <c r="D193" s="37"/>
    </row>
    <row r="194" ht="12.75">
      <c r="D194" s="37"/>
    </row>
  </sheetData>
  <sheetProtection/>
  <printOptions/>
  <pageMargins left="0.39" right="0.2" top="0.67" bottom="0.71" header="0.5" footer="0.5"/>
  <pageSetup fitToHeight="0" fitToWidth="1" horizontalDpi="600" verticalDpi="600" orientation="landscape" scale="78" r:id="rId2"/>
  <headerFooter alignWithMargins="0">
    <oddFooter>&amp;CPage &amp;P</oddFooter>
  </headerFooter>
  <rowBreaks count="3" manualBreakCount="3">
    <brk id="48" max="255" man="1"/>
    <brk id="94" max="255" man="1"/>
    <brk id="1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cp:lastPrinted>2014-10-16T13:32:46Z</cp:lastPrinted>
  <dcterms:created xsi:type="dcterms:W3CDTF">2009-11-17T22:11:00Z</dcterms:created>
  <dcterms:modified xsi:type="dcterms:W3CDTF">2014-10-16T13:37:14Z</dcterms:modified>
  <cp:category/>
  <cp:version/>
  <cp:contentType/>
  <cp:contentStatus/>
</cp:coreProperties>
</file>