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Onedrive\Documents\Text Book project\Excel Spreadsheets\Chapter Spreadsheets\"/>
    </mc:Choice>
  </mc:AlternateContent>
  <xr:revisionPtr revIDLastSave="682" documentId="8_{D66FE01C-F5CE-42A6-9026-E362B88222E4}" xr6:coauthVersionLast="44" xr6:coauthVersionMax="44" xr10:uidLastSave="{41D72128-4017-4E39-8C89-D0129F2B3C0A}"/>
  <bookViews>
    <workbookView xWindow="-48990" yWindow="-1305" windowWidth="23910" windowHeight="11310" activeTab="2" xr2:uid="{FFB8DFC7-67D3-4506-827F-EF747A509431}"/>
  </bookViews>
  <sheets>
    <sheet name="IRR" sheetId="2" r:id="rId1"/>
    <sheet name="Time Value of Money" sheetId="10" r:id="rId2"/>
    <sheet name="Historical Return" sheetId="1" r:id="rId3"/>
    <sheet name="Scenario Return" sheetId="4" r:id="rId4"/>
    <sheet name="Portfolio Management" sheetId="9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B17" i="1"/>
  <c r="G15" i="1"/>
  <c r="G18" i="1" s="1"/>
  <c r="B15" i="1"/>
  <c r="B18" i="1" s="1"/>
  <c r="C14" i="1" l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I15" i="1" s="1"/>
  <c r="G19" i="1" s="1"/>
  <c r="G20" i="1" s="1"/>
  <c r="H47" i="10"/>
  <c r="I48" i="10"/>
  <c r="J49" i="10"/>
  <c r="K50" i="10"/>
  <c r="J21" i="10"/>
  <c r="I20" i="10"/>
  <c r="H19" i="10"/>
  <c r="D48" i="10"/>
  <c r="E49" i="10" s="1"/>
  <c r="P59" i="10"/>
  <c r="Q27" i="10"/>
  <c r="D15" i="1" l="1"/>
  <c r="B19" i="1" s="1"/>
  <c r="B20" i="1" s="1"/>
  <c r="P57" i="10"/>
  <c r="P56" i="10"/>
  <c r="P53" i="10"/>
  <c r="P52" i="10"/>
  <c r="R47" i="10"/>
  <c r="R45" i="10"/>
  <c r="R44" i="10"/>
  <c r="Q43" i="10"/>
  <c r="P42" i="10"/>
  <c r="Q15" i="10"/>
  <c r="Q28" i="10"/>
  <c r="Q14" i="10" l="1"/>
  <c r="G37" i="10"/>
  <c r="A37" i="10"/>
  <c r="H56" i="10"/>
  <c r="H53" i="10"/>
  <c r="E56" i="10"/>
  <c r="E53" i="10"/>
  <c r="E41" i="10"/>
  <c r="D41" i="10"/>
  <c r="C41" i="10"/>
  <c r="C47" i="10" s="1"/>
  <c r="E50" i="10" s="1"/>
  <c r="G10" i="10"/>
  <c r="A10" i="10"/>
  <c r="K14" i="10"/>
  <c r="H28" i="10" s="1"/>
  <c r="E28" i="10"/>
  <c r="E25" i="10"/>
  <c r="B14" i="10"/>
  <c r="B19" i="10" s="1"/>
  <c r="C20" i="10" s="1"/>
  <c r="D21" i="10" s="1"/>
  <c r="E22" i="10" s="1"/>
  <c r="K22" i="10" l="1"/>
  <c r="I41" i="10"/>
  <c r="J41" i="10" s="1"/>
  <c r="K41" i="10" s="1"/>
  <c r="H25" i="10"/>
  <c r="H46" i="10"/>
  <c r="D74" i="9"/>
  <c r="K68" i="9"/>
  <c r="J68" i="9"/>
  <c r="I68" i="9"/>
  <c r="H68" i="9"/>
  <c r="G68" i="9"/>
  <c r="F68" i="9"/>
  <c r="E68" i="9"/>
  <c r="K65" i="9" l="1"/>
  <c r="J65" i="9"/>
  <c r="I65" i="9"/>
  <c r="H65" i="9"/>
  <c r="G65" i="9"/>
  <c r="F65" i="9"/>
  <c r="K64" i="9"/>
  <c r="J64" i="9"/>
  <c r="I64" i="9"/>
  <c r="H64" i="9"/>
  <c r="G64" i="9"/>
  <c r="F64" i="9"/>
  <c r="K63" i="9"/>
  <c r="J63" i="9"/>
  <c r="I63" i="9"/>
  <c r="H63" i="9"/>
  <c r="G63" i="9"/>
  <c r="F63" i="9"/>
  <c r="K62" i="9"/>
  <c r="J62" i="9"/>
  <c r="I62" i="9"/>
  <c r="H62" i="9"/>
  <c r="G62" i="9"/>
  <c r="F62" i="9"/>
  <c r="K61" i="9"/>
  <c r="J61" i="9"/>
  <c r="I61" i="9"/>
  <c r="H61" i="9"/>
  <c r="G61" i="9"/>
  <c r="F61" i="9"/>
  <c r="E65" i="9"/>
  <c r="E64" i="9"/>
  <c r="E63" i="9"/>
  <c r="E62" i="9"/>
  <c r="E61" i="9"/>
  <c r="J84" i="9"/>
  <c r="H84" i="9"/>
  <c r="F84" i="9"/>
  <c r="E84" i="9"/>
  <c r="K359" i="9"/>
  <c r="K360" i="9"/>
  <c r="K361" i="9"/>
  <c r="K362" i="9"/>
  <c r="K363" i="9"/>
  <c r="K364" i="9"/>
  <c r="D365" i="9"/>
  <c r="K365" i="9"/>
  <c r="H365" i="9" s="1"/>
  <c r="E368" i="9"/>
  <c r="E380" i="9" s="1"/>
  <c r="E389" i="9" s="1"/>
  <c r="F368" i="9"/>
  <c r="F380" i="9" s="1"/>
  <c r="F389" i="9" s="1"/>
  <c r="G368" i="9"/>
  <c r="G380" i="9" s="1"/>
  <c r="G389" i="9" s="1"/>
  <c r="H368" i="9"/>
  <c r="H380" i="9" s="1"/>
  <c r="H389" i="9" s="1"/>
  <c r="H398" i="9" s="1"/>
  <c r="I368" i="9"/>
  <c r="I380" i="9" s="1"/>
  <c r="I389" i="9" s="1"/>
  <c r="J368" i="9"/>
  <c r="K368" i="9"/>
  <c r="K380" i="9" s="1"/>
  <c r="K389" i="9" s="1"/>
  <c r="L368" i="9"/>
  <c r="L380" i="9" s="1"/>
  <c r="L389" i="9" s="1"/>
  <c r="L398" i="9" s="1"/>
  <c r="A369" i="9"/>
  <c r="B369" i="9"/>
  <c r="C369" i="9"/>
  <c r="A370" i="9"/>
  <c r="A382" i="9" s="1"/>
  <c r="A391" i="9" s="1"/>
  <c r="A400" i="9" s="1"/>
  <c r="A410" i="9" s="1"/>
  <c r="B370" i="9"/>
  <c r="C370" i="9"/>
  <c r="A371" i="9"/>
  <c r="B371" i="9"/>
  <c r="C371" i="9"/>
  <c r="A372" i="9"/>
  <c r="B372" i="9"/>
  <c r="B384" i="9" s="1"/>
  <c r="B393" i="9" s="1"/>
  <c r="B402" i="9" s="1"/>
  <c r="B412" i="9" s="1"/>
  <c r="C372" i="9"/>
  <c r="C384" i="9" s="1"/>
  <c r="C393" i="9" s="1"/>
  <c r="C402" i="9" s="1"/>
  <c r="C412" i="9" s="1"/>
  <c r="A373" i="9"/>
  <c r="B373" i="9"/>
  <c r="C373" i="9"/>
  <c r="C385" i="9" s="1"/>
  <c r="C394" i="9" s="1"/>
  <c r="C403" i="9" s="1"/>
  <c r="C413" i="9" s="1"/>
  <c r="A374" i="9"/>
  <c r="A386" i="9" s="1"/>
  <c r="A395" i="9" s="1"/>
  <c r="A404" i="9" s="1"/>
  <c r="A414" i="9" s="1"/>
  <c r="B374" i="9"/>
  <c r="C374" i="9"/>
  <c r="D375" i="9"/>
  <c r="F376" i="9" s="1"/>
  <c r="E375" i="9"/>
  <c r="F375" i="9"/>
  <c r="G375" i="9"/>
  <c r="H375" i="9"/>
  <c r="I375" i="9"/>
  <c r="J375" i="9"/>
  <c r="K375" i="9"/>
  <c r="L375" i="9"/>
  <c r="E376" i="9"/>
  <c r="H376" i="9"/>
  <c r="I376" i="9"/>
  <c r="L376" i="9"/>
  <c r="J380" i="9"/>
  <c r="J389" i="9" s="1"/>
  <c r="A381" i="9"/>
  <c r="B381" i="9"/>
  <c r="C381" i="9"/>
  <c r="F381" i="9"/>
  <c r="G381" i="9" s="1"/>
  <c r="H381" i="9" s="1"/>
  <c r="B382" i="9"/>
  <c r="B391" i="9" s="1"/>
  <c r="B400" i="9" s="1"/>
  <c r="B410" i="9" s="1"/>
  <c r="C382" i="9"/>
  <c r="F382" i="9"/>
  <c r="G382" i="9" s="1"/>
  <c r="A383" i="9"/>
  <c r="A392" i="9" s="1"/>
  <c r="A401" i="9" s="1"/>
  <c r="A411" i="9" s="1"/>
  <c r="B383" i="9"/>
  <c r="B392" i="9" s="1"/>
  <c r="B401" i="9" s="1"/>
  <c r="B411" i="9" s="1"/>
  <c r="C383" i="9"/>
  <c r="F383" i="9"/>
  <c r="G383" i="9" s="1"/>
  <c r="F295" i="9" s="1"/>
  <c r="H383" i="9"/>
  <c r="A384" i="9"/>
  <c r="A393" i="9" s="1"/>
  <c r="A402" i="9" s="1"/>
  <c r="A412" i="9" s="1"/>
  <c r="F384" i="9"/>
  <c r="A385" i="9"/>
  <c r="A394" i="9" s="1"/>
  <c r="A403" i="9" s="1"/>
  <c r="A413" i="9" s="1"/>
  <c r="B385" i="9"/>
  <c r="F385" i="9"/>
  <c r="G385" i="9" s="1"/>
  <c r="H385" i="9"/>
  <c r="B386" i="9"/>
  <c r="C386" i="9"/>
  <c r="F386" i="9"/>
  <c r="G386" i="9" s="1"/>
  <c r="F298" i="9" s="1"/>
  <c r="A390" i="9"/>
  <c r="A399" i="9" s="1"/>
  <c r="A409" i="9" s="1"/>
  <c r="B390" i="9"/>
  <c r="B399" i="9" s="1"/>
  <c r="B409" i="9" s="1"/>
  <c r="C390" i="9"/>
  <c r="C399" i="9" s="1"/>
  <c r="C409" i="9" s="1"/>
  <c r="E390" i="9"/>
  <c r="C391" i="9"/>
  <c r="C400" i="9" s="1"/>
  <c r="C410" i="9" s="1"/>
  <c r="E391" i="9"/>
  <c r="C392" i="9"/>
  <c r="C401" i="9" s="1"/>
  <c r="C411" i="9" s="1"/>
  <c r="E392" i="9"/>
  <c r="E393" i="9"/>
  <c r="B394" i="9"/>
  <c r="B403" i="9" s="1"/>
  <c r="B413" i="9" s="1"/>
  <c r="E394" i="9"/>
  <c r="B395" i="9"/>
  <c r="B404" i="9" s="1"/>
  <c r="B414" i="9" s="1"/>
  <c r="C395" i="9"/>
  <c r="C404" i="9" s="1"/>
  <c r="C414" i="9" s="1"/>
  <c r="E395" i="9"/>
  <c r="F399" i="9"/>
  <c r="G399" i="9"/>
  <c r="G405" i="9" s="1"/>
  <c r="H399" i="9"/>
  <c r="I399" i="9"/>
  <c r="J399" i="9"/>
  <c r="K399" i="9"/>
  <c r="F400" i="9"/>
  <c r="G400" i="9"/>
  <c r="H400" i="9"/>
  <c r="I400" i="9"/>
  <c r="J400" i="9"/>
  <c r="K400" i="9"/>
  <c r="F401" i="9"/>
  <c r="G401" i="9"/>
  <c r="H401" i="9"/>
  <c r="I401" i="9"/>
  <c r="J401" i="9"/>
  <c r="K401" i="9"/>
  <c r="F402" i="9"/>
  <c r="G402" i="9"/>
  <c r="H402" i="9"/>
  <c r="I402" i="9"/>
  <c r="J402" i="9"/>
  <c r="K402" i="9"/>
  <c r="F403" i="9"/>
  <c r="G403" i="9"/>
  <c r="H403" i="9"/>
  <c r="I403" i="9"/>
  <c r="J403" i="9"/>
  <c r="K403" i="9"/>
  <c r="F404" i="9"/>
  <c r="G404" i="9"/>
  <c r="H404" i="9"/>
  <c r="H405" i="9" s="1"/>
  <c r="I404" i="9"/>
  <c r="J404" i="9"/>
  <c r="K404" i="9"/>
  <c r="E405" i="9"/>
  <c r="I405" i="9"/>
  <c r="K405" i="9"/>
  <c r="E409" i="9"/>
  <c r="F409" i="9"/>
  <c r="E410" i="9"/>
  <c r="F410" i="9"/>
  <c r="E411" i="9"/>
  <c r="F411" i="9"/>
  <c r="G411" i="9"/>
  <c r="E412" i="9"/>
  <c r="E413" i="9"/>
  <c r="F413" i="9"/>
  <c r="E414" i="9"/>
  <c r="F414" i="9"/>
  <c r="L417" i="9"/>
  <c r="D67" i="9"/>
  <c r="K67" i="9" s="1"/>
  <c r="K83" i="9" s="1"/>
  <c r="D59" i="9"/>
  <c r="B283" i="9"/>
  <c r="C283" i="9"/>
  <c r="G283" i="9"/>
  <c r="B284" i="9"/>
  <c r="B294" i="9" s="1"/>
  <c r="B313" i="9" s="1"/>
  <c r="B322" i="9" s="1"/>
  <c r="C284" i="9"/>
  <c r="C294" i="9" s="1"/>
  <c r="C313" i="9" s="1"/>
  <c r="C322" i="9" s="1"/>
  <c r="F284" i="9"/>
  <c r="B285" i="9"/>
  <c r="B295" i="9" s="1"/>
  <c r="B314" i="9" s="1"/>
  <c r="B323" i="9" s="1"/>
  <c r="C285" i="9"/>
  <c r="C305" i="9" s="1"/>
  <c r="H285" i="9"/>
  <c r="B286" i="9"/>
  <c r="B296" i="9" s="1"/>
  <c r="B315" i="9" s="1"/>
  <c r="B324" i="9" s="1"/>
  <c r="C286" i="9"/>
  <c r="F286" i="9"/>
  <c r="B287" i="9"/>
  <c r="C287" i="9"/>
  <c r="H287" i="9"/>
  <c r="B288" i="9"/>
  <c r="B298" i="9" s="1"/>
  <c r="B317" i="9" s="1"/>
  <c r="B326" i="9" s="1"/>
  <c r="C288" i="9"/>
  <c r="G288" i="9"/>
  <c r="D289" i="9"/>
  <c r="E289" i="9"/>
  <c r="F289" i="9"/>
  <c r="I289" i="9"/>
  <c r="J289" i="9"/>
  <c r="K289" i="9"/>
  <c r="B293" i="9"/>
  <c r="E293" i="9"/>
  <c r="E294" i="9"/>
  <c r="E295" i="9"/>
  <c r="C297" i="9"/>
  <c r="C316" i="9" s="1"/>
  <c r="C325" i="9" s="1"/>
  <c r="E297" i="9"/>
  <c r="G302" i="9"/>
  <c r="B303" i="9"/>
  <c r="D303" i="9"/>
  <c r="E303" i="9" s="1"/>
  <c r="F303" i="9" s="1"/>
  <c r="F312" i="9" s="1"/>
  <c r="F321" i="9" s="1"/>
  <c r="H303" i="9"/>
  <c r="I303" i="9" s="1"/>
  <c r="D304" i="9"/>
  <c r="D313" i="9" s="1"/>
  <c r="D322" i="9" s="1"/>
  <c r="F304" i="9"/>
  <c r="G304" i="9" s="1"/>
  <c r="D305" i="9"/>
  <c r="E305" i="9" s="1"/>
  <c r="F305" i="9" s="1"/>
  <c r="F314" i="9" s="1"/>
  <c r="F323" i="9" s="1"/>
  <c r="I305" i="9"/>
  <c r="J305" i="9" s="1"/>
  <c r="D306" i="9"/>
  <c r="D315" i="9" s="1"/>
  <c r="D324" i="9" s="1"/>
  <c r="E306" i="9"/>
  <c r="E315" i="9" s="1"/>
  <c r="E324" i="9" s="1"/>
  <c r="G306" i="9"/>
  <c r="H306" i="9" s="1"/>
  <c r="C307" i="9"/>
  <c r="D307" i="9"/>
  <c r="E307" i="9" s="1"/>
  <c r="I307" i="9"/>
  <c r="J307" i="9" s="1"/>
  <c r="D308" i="9"/>
  <c r="D317" i="9" s="1"/>
  <c r="D326" i="9" s="1"/>
  <c r="E308" i="9"/>
  <c r="H308" i="9"/>
  <c r="I308" i="9" s="1"/>
  <c r="I317" i="9" s="1"/>
  <c r="I326" i="9" s="1"/>
  <c r="B312" i="9"/>
  <c r="E312" i="9"/>
  <c r="G312" i="9"/>
  <c r="G321" i="9" s="1"/>
  <c r="H312" i="9"/>
  <c r="H321" i="9" s="1"/>
  <c r="E313" i="9"/>
  <c r="E322" i="9" s="1"/>
  <c r="F313" i="9"/>
  <c r="F322" i="9" s="1"/>
  <c r="K313" i="9"/>
  <c r="E314" i="9"/>
  <c r="E323" i="9" s="1"/>
  <c r="H314" i="9"/>
  <c r="H323" i="9" s="1"/>
  <c r="F315" i="9"/>
  <c r="F324" i="9" s="1"/>
  <c r="G315" i="9"/>
  <c r="G324" i="9" s="1"/>
  <c r="H316" i="9"/>
  <c r="H325" i="9" s="1"/>
  <c r="I316" i="9"/>
  <c r="I325" i="9" s="1"/>
  <c r="G317" i="9"/>
  <c r="H317" i="9"/>
  <c r="H326" i="9" s="1"/>
  <c r="B321" i="9"/>
  <c r="E321" i="9"/>
  <c r="G326" i="9"/>
  <c r="B331" i="9"/>
  <c r="F331" i="9" s="1"/>
  <c r="H331" i="9"/>
  <c r="I331" i="9"/>
  <c r="B332" i="9"/>
  <c r="D332" i="9" s="1"/>
  <c r="K332" i="9"/>
  <c r="B333" i="9"/>
  <c r="H333" i="9" s="1"/>
  <c r="B334" i="9"/>
  <c r="D334" i="9" s="1"/>
  <c r="F334" i="9"/>
  <c r="K334" i="9"/>
  <c r="B335" i="9"/>
  <c r="B336" i="9"/>
  <c r="K336" i="9"/>
  <c r="B340" i="9"/>
  <c r="B341" i="9"/>
  <c r="B342" i="9"/>
  <c r="B343" i="9"/>
  <c r="B344" i="9"/>
  <c r="B353" i="9" s="1"/>
  <c r="B345" i="9"/>
  <c r="B351" i="9"/>
  <c r="B354" i="9"/>
  <c r="D240" i="9"/>
  <c r="E240" i="9"/>
  <c r="F240" i="9"/>
  <c r="G240" i="9"/>
  <c r="H240" i="9"/>
  <c r="I240" i="9"/>
  <c r="J240" i="9"/>
  <c r="K240" i="9"/>
  <c r="D243" i="9"/>
  <c r="E243" i="9"/>
  <c r="F243" i="9"/>
  <c r="F252" i="9" s="1"/>
  <c r="F261" i="9" s="1"/>
  <c r="F272" i="9" s="1"/>
  <c r="G243" i="9"/>
  <c r="G252" i="9" s="1"/>
  <c r="G261" i="9" s="1"/>
  <c r="G272" i="9" s="1"/>
  <c r="H243" i="9"/>
  <c r="I243" i="9"/>
  <c r="J243" i="9"/>
  <c r="J252" i="9" s="1"/>
  <c r="J261" i="9" s="1"/>
  <c r="J272" i="9" s="1"/>
  <c r="K243" i="9"/>
  <c r="K252" i="9" s="1"/>
  <c r="K261" i="9" s="1"/>
  <c r="K272" i="9" s="1"/>
  <c r="A244" i="9"/>
  <c r="B244" i="9"/>
  <c r="C244" i="9"/>
  <c r="C253" i="9" s="1"/>
  <c r="C262" i="9" s="1"/>
  <c r="C273" i="9" s="1"/>
  <c r="E244" i="9"/>
  <c r="F244" i="9" s="1"/>
  <c r="A245" i="9"/>
  <c r="B245" i="9"/>
  <c r="B254" i="9" s="1"/>
  <c r="B263" i="9" s="1"/>
  <c r="B274" i="9" s="1"/>
  <c r="C245" i="9"/>
  <c r="C254" i="9" s="1"/>
  <c r="C263" i="9" s="1"/>
  <c r="C274" i="9" s="1"/>
  <c r="E245" i="9"/>
  <c r="A246" i="9"/>
  <c r="A255" i="9" s="1"/>
  <c r="A264" i="9" s="1"/>
  <c r="A275" i="9" s="1"/>
  <c r="B246" i="9"/>
  <c r="B255" i="9" s="1"/>
  <c r="B264" i="9" s="1"/>
  <c r="B275" i="9" s="1"/>
  <c r="C246" i="9"/>
  <c r="C255" i="9" s="1"/>
  <c r="C264" i="9" s="1"/>
  <c r="C275" i="9" s="1"/>
  <c r="E246" i="9"/>
  <c r="F246" i="9" s="1"/>
  <c r="A247" i="9"/>
  <c r="A256" i="9" s="1"/>
  <c r="A265" i="9" s="1"/>
  <c r="A276" i="9" s="1"/>
  <c r="B247" i="9"/>
  <c r="B256" i="9" s="1"/>
  <c r="B265" i="9" s="1"/>
  <c r="B276" i="9" s="1"/>
  <c r="C247" i="9"/>
  <c r="E247" i="9"/>
  <c r="A248" i="9"/>
  <c r="A257" i="9" s="1"/>
  <c r="A266" i="9" s="1"/>
  <c r="A277" i="9" s="1"/>
  <c r="B248" i="9"/>
  <c r="B257" i="9" s="1"/>
  <c r="B266" i="9" s="1"/>
  <c r="B277" i="9" s="1"/>
  <c r="C248" i="9"/>
  <c r="C257" i="9" s="1"/>
  <c r="C266" i="9" s="1"/>
  <c r="C277" i="9" s="1"/>
  <c r="E248" i="9"/>
  <c r="F248" i="9" s="1"/>
  <c r="A249" i="9"/>
  <c r="A258" i="9" s="1"/>
  <c r="A267" i="9" s="1"/>
  <c r="A278" i="9" s="1"/>
  <c r="B249" i="9"/>
  <c r="B258" i="9" s="1"/>
  <c r="B267" i="9" s="1"/>
  <c r="B278" i="9" s="1"/>
  <c r="C249" i="9"/>
  <c r="C258" i="9" s="1"/>
  <c r="C267" i="9" s="1"/>
  <c r="C278" i="9" s="1"/>
  <c r="E249" i="9"/>
  <c r="F249" i="9" s="1"/>
  <c r="D252" i="9"/>
  <c r="E252" i="9"/>
  <c r="E261" i="9" s="1"/>
  <c r="E272" i="9" s="1"/>
  <c r="H252" i="9"/>
  <c r="H261" i="9" s="1"/>
  <c r="H272" i="9" s="1"/>
  <c r="I252" i="9"/>
  <c r="I261" i="9" s="1"/>
  <c r="I272" i="9" s="1"/>
  <c r="A253" i="9"/>
  <c r="A262" i="9" s="1"/>
  <c r="A273" i="9" s="1"/>
  <c r="B253" i="9"/>
  <c r="B262" i="9" s="1"/>
  <c r="B273" i="9" s="1"/>
  <c r="D253" i="9"/>
  <c r="A254" i="9"/>
  <c r="A263" i="9" s="1"/>
  <c r="A274" i="9" s="1"/>
  <c r="D254" i="9"/>
  <c r="D255" i="9"/>
  <c r="C256" i="9"/>
  <c r="C265" i="9" s="1"/>
  <c r="C276" i="9" s="1"/>
  <c r="D256" i="9"/>
  <c r="D257" i="9"/>
  <c r="D258" i="9"/>
  <c r="D261" i="9"/>
  <c r="E262" i="9"/>
  <c r="F262" i="9"/>
  <c r="G262" i="9"/>
  <c r="H262" i="9"/>
  <c r="I262" i="9"/>
  <c r="J262" i="9"/>
  <c r="E263" i="9"/>
  <c r="F263" i="9"/>
  <c r="G263" i="9"/>
  <c r="H263" i="9"/>
  <c r="I263" i="9"/>
  <c r="J263" i="9"/>
  <c r="E264" i="9"/>
  <c r="F264" i="9"/>
  <c r="G264" i="9"/>
  <c r="H264" i="9"/>
  <c r="I264" i="9"/>
  <c r="J264" i="9"/>
  <c r="E265" i="9"/>
  <c r="F265" i="9"/>
  <c r="G265" i="9"/>
  <c r="H265" i="9"/>
  <c r="I265" i="9"/>
  <c r="J265" i="9"/>
  <c r="E266" i="9"/>
  <c r="F266" i="9"/>
  <c r="G266" i="9"/>
  <c r="H266" i="9"/>
  <c r="I266" i="9"/>
  <c r="J266" i="9"/>
  <c r="E267" i="9"/>
  <c r="F267" i="9"/>
  <c r="G267" i="9"/>
  <c r="H267" i="9"/>
  <c r="I267" i="9"/>
  <c r="J267" i="9"/>
  <c r="D268" i="9"/>
  <c r="D272" i="9"/>
  <c r="D273" i="9"/>
  <c r="D274" i="9"/>
  <c r="D275" i="9"/>
  <c r="D276" i="9"/>
  <c r="D277" i="9"/>
  <c r="D278" i="9"/>
  <c r="E278" i="9"/>
  <c r="J107" i="9"/>
  <c r="J161" i="9" s="1"/>
  <c r="D111" i="9"/>
  <c r="D129" i="9" s="1"/>
  <c r="D147" i="9" s="1"/>
  <c r="D166" i="9" s="1"/>
  <c r="D185" i="9" s="1"/>
  <c r="D203" i="9" s="1"/>
  <c r="E111" i="9"/>
  <c r="E129" i="9" s="1"/>
  <c r="E147" i="9" s="1"/>
  <c r="E166" i="9" s="1"/>
  <c r="E185" i="9" s="1"/>
  <c r="E203" i="9" s="1"/>
  <c r="F111" i="9"/>
  <c r="F129" i="9" s="1"/>
  <c r="F147" i="9" s="1"/>
  <c r="F166" i="9" s="1"/>
  <c r="F185" i="9" s="1"/>
  <c r="F203" i="9" s="1"/>
  <c r="G111" i="9"/>
  <c r="G129" i="9" s="1"/>
  <c r="G147" i="9" s="1"/>
  <c r="G166" i="9" s="1"/>
  <c r="G185" i="9" s="1"/>
  <c r="G203" i="9" s="1"/>
  <c r="H111" i="9"/>
  <c r="H129" i="9" s="1"/>
  <c r="H147" i="9" s="1"/>
  <c r="H166" i="9" s="1"/>
  <c r="H185" i="9" s="1"/>
  <c r="H203" i="9" s="1"/>
  <c r="I111" i="9"/>
  <c r="I129" i="9" s="1"/>
  <c r="I147" i="9" s="1"/>
  <c r="I166" i="9" s="1"/>
  <c r="I185" i="9" s="1"/>
  <c r="I203" i="9" s="1"/>
  <c r="J111" i="9"/>
  <c r="J129" i="9" s="1"/>
  <c r="J147" i="9" s="1"/>
  <c r="J166" i="9" s="1"/>
  <c r="J185" i="9" s="1"/>
  <c r="J203" i="9" s="1"/>
  <c r="K111" i="9"/>
  <c r="K129" i="9" s="1"/>
  <c r="K147" i="9" s="1"/>
  <c r="K166" i="9" s="1"/>
  <c r="K185" i="9" s="1"/>
  <c r="K203" i="9" s="1"/>
  <c r="A112" i="9"/>
  <c r="B112" i="9"/>
  <c r="B130" i="9" s="1"/>
  <c r="B148" i="9" s="1"/>
  <c r="B167" i="9" s="1"/>
  <c r="B186" i="9" s="1"/>
  <c r="B204" i="9" s="1"/>
  <c r="C112" i="9"/>
  <c r="C130" i="9" s="1"/>
  <c r="C148" i="9" s="1"/>
  <c r="C167" i="9" s="1"/>
  <c r="C186" i="9" s="1"/>
  <c r="C204" i="9" s="1"/>
  <c r="E112" i="9"/>
  <c r="A113" i="9"/>
  <c r="A131" i="9" s="1"/>
  <c r="A149" i="9" s="1"/>
  <c r="A168" i="9" s="1"/>
  <c r="A187" i="9" s="1"/>
  <c r="A205" i="9" s="1"/>
  <c r="B113" i="9"/>
  <c r="B131" i="9" s="1"/>
  <c r="B149" i="9" s="1"/>
  <c r="B168" i="9" s="1"/>
  <c r="B187" i="9" s="1"/>
  <c r="B205" i="9" s="1"/>
  <c r="C113" i="9"/>
  <c r="E113" i="9"/>
  <c r="A114" i="9"/>
  <c r="A132" i="9" s="1"/>
  <c r="A150" i="9" s="1"/>
  <c r="A169" i="9" s="1"/>
  <c r="A188" i="9" s="1"/>
  <c r="A206" i="9" s="1"/>
  <c r="B114" i="9"/>
  <c r="B132" i="9" s="1"/>
  <c r="B150" i="9" s="1"/>
  <c r="B169" i="9" s="1"/>
  <c r="B188" i="9" s="1"/>
  <c r="B206" i="9" s="1"/>
  <c r="C114" i="9"/>
  <c r="C132" i="9" s="1"/>
  <c r="C150" i="9" s="1"/>
  <c r="C169" i="9" s="1"/>
  <c r="C188" i="9" s="1"/>
  <c r="C206" i="9" s="1"/>
  <c r="E114" i="9"/>
  <c r="E206" i="9" s="1"/>
  <c r="A115" i="9"/>
  <c r="A133" i="9" s="1"/>
  <c r="A151" i="9" s="1"/>
  <c r="A170" i="9" s="1"/>
  <c r="A189" i="9" s="1"/>
  <c r="A207" i="9" s="1"/>
  <c r="B115" i="9"/>
  <c r="B133" i="9" s="1"/>
  <c r="B151" i="9" s="1"/>
  <c r="B170" i="9" s="1"/>
  <c r="B189" i="9" s="1"/>
  <c r="B207" i="9" s="1"/>
  <c r="C115" i="9"/>
  <c r="C133" i="9" s="1"/>
  <c r="C151" i="9" s="1"/>
  <c r="C170" i="9" s="1"/>
  <c r="C189" i="9" s="1"/>
  <c r="C207" i="9" s="1"/>
  <c r="E115" i="9"/>
  <c r="E207" i="9" s="1"/>
  <c r="A116" i="9"/>
  <c r="A134" i="9" s="1"/>
  <c r="A152" i="9" s="1"/>
  <c r="A171" i="9" s="1"/>
  <c r="A190" i="9" s="1"/>
  <c r="A208" i="9" s="1"/>
  <c r="B116" i="9"/>
  <c r="B134" i="9" s="1"/>
  <c r="B152" i="9" s="1"/>
  <c r="B171" i="9" s="1"/>
  <c r="B190" i="9" s="1"/>
  <c r="B208" i="9" s="1"/>
  <c r="C116" i="9"/>
  <c r="C134" i="9" s="1"/>
  <c r="C152" i="9" s="1"/>
  <c r="C171" i="9" s="1"/>
  <c r="C190" i="9" s="1"/>
  <c r="C208" i="9" s="1"/>
  <c r="E116" i="9"/>
  <c r="A117" i="9"/>
  <c r="A135" i="9" s="1"/>
  <c r="A153" i="9" s="1"/>
  <c r="A172" i="9" s="1"/>
  <c r="A191" i="9" s="1"/>
  <c r="A209" i="9" s="1"/>
  <c r="B117" i="9"/>
  <c r="B135" i="9" s="1"/>
  <c r="B153" i="9" s="1"/>
  <c r="B172" i="9" s="1"/>
  <c r="B191" i="9" s="1"/>
  <c r="B209" i="9" s="1"/>
  <c r="C117" i="9"/>
  <c r="C135" i="9" s="1"/>
  <c r="C153" i="9" s="1"/>
  <c r="C172" i="9" s="1"/>
  <c r="C191" i="9" s="1"/>
  <c r="C209" i="9" s="1"/>
  <c r="E117" i="9"/>
  <c r="A118" i="9"/>
  <c r="A136" i="9" s="1"/>
  <c r="A154" i="9" s="1"/>
  <c r="A173" i="9" s="1"/>
  <c r="A192" i="9" s="1"/>
  <c r="A210" i="9" s="1"/>
  <c r="B118" i="9"/>
  <c r="B136" i="9" s="1"/>
  <c r="B154" i="9" s="1"/>
  <c r="B173" i="9" s="1"/>
  <c r="B192" i="9" s="1"/>
  <c r="B210" i="9" s="1"/>
  <c r="C118" i="9"/>
  <c r="C136" i="9" s="1"/>
  <c r="C154" i="9" s="1"/>
  <c r="C173" i="9" s="1"/>
  <c r="C192" i="9" s="1"/>
  <c r="C210" i="9" s="1"/>
  <c r="E118" i="9"/>
  <c r="E210" i="9" s="1"/>
  <c r="A119" i="9"/>
  <c r="A137" i="9" s="1"/>
  <c r="A155" i="9" s="1"/>
  <c r="A174" i="9" s="1"/>
  <c r="A193" i="9" s="1"/>
  <c r="A211" i="9" s="1"/>
  <c r="B119" i="9"/>
  <c r="B137" i="9" s="1"/>
  <c r="B155" i="9" s="1"/>
  <c r="B174" i="9" s="1"/>
  <c r="B193" i="9" s="1"/>
  <c r="B211" i="9" s="1"/>
  <c r="C119" i="9"/>
  <c r="C137" i="9" s="1"/>
  <c r="C155" i="9" s="1"/>
  <c r="C174" i="9" s="1"/>
  <c r="C193" i="9" s="1"/>
  <c r="C211" i="9" s="1"/>
  <c r="E119" i="9"/>
  <c r="F119" i="9" s="1"/>
  <c r="F211" i="9" s="1"/>
  <c r="A120" i="9"/>
  <c r="A138" i="9" s="1"/>
  <c r="A156" i="9" s="1"/>
  <c r="A175" i="9" s="1"/>
  <c r="A194" i="9" s="1"/>
  <c r="A212" i="9" s="1"/>
  <c r="B120" i="9"/>
  <c r="B138" i="9" s="1"/>
  <c r="B156" i="9" s="1"/>
  <c r="B175" i="9" s="1"/>
  <c r="B194" i="9" s="1"/>
  <c r="B212" i="9" s="1"/>
  <c r="C120" i="9"/>
  <c r="C138" i="9" s="1"/>
  <c r="C156" i="9" s="1"/>
  <c r="C175" i="9" s="1"/>
  <c r="C194" i="9" s="1"/>
  <c r="C212" i="9" s="1"/>
  <c r="E120" i="9"/>
  <c r="E212" i="9" s="1"/>
  <c r="A121" i="9"/>
  <c r="A139" i="9" s="1"/>
  <c r="A157" i="9" s="1"/>
  <c r="A176" i="9" s="1"/>
  <c r="A195" i="9" s="1"/>
  <c r="A213" i="9" s="1"/>
  <c r="B121" i="9"/>
  <c r="B139" i="9" s="1"/>
  <c r="B157" i="9" s="1"/>
  <c r="B176" i="9" s="1"/>
  <c r="B195" i="9" s="1"/>
  <c r="B213" i="9" s="1"/>
  <c r="C121" i="9"/>
  <c r="C139" i="9" s="1"/>
  <c r="C157" i="9" s="1"/>
  <c r="C176" i="9" s="1"/>
  <c r="C195" i="9" s="1"/>
  <c r="C213" i="9" s="1"/>
  <c r="E121" i="9"/>
  <c r="F121" i="9" s="1"/>
  <c r="F213" i="9" s="1"/>
  <c r="A122" i="9"/>
  <c r="A140" i="9" s="1"/>
  <c r="A158" i="9" s="1"/>
  <c r="A177" i="9" s="1"/>
  <c r="A196" i="9" s="1"/>
  <c r="A214" i="9" s="1"/>
  <c r="B122" i="9"/>
  <c r="B140" i="9" s="1"/>
  <c r="B158" i="9" s="1"/>
  <c r="B177" i="9" s="1"/>
  <c r="B196" i="9" s="1"/>
  <c r="B214" i="9" s="1"/>
  <c r="C122" i="9"/>
  <c r="C140" i="9" s="1"/>
  <c r="C158" i="9" s="1"/>
  <c r="C177" i="9" s="1"/>
  <c r="C196" i="9" s="1"/>
  <c r="C214" i="9" s="1"/>
  <c r="E122" i="9"/>
  <c r="E214" i="9" s="1"/>
  <c r="F122" i="9"/>
  <c r="A123" i="9"/>
  <c r="A141" i="9" s="1"/>
  <c r="A159" i="9" s="1"/>
  <c r="A178" i="9" s="1"/>
  <c r="A197" i="9" s="1"/>
  <c r="A215" i="9" s="1"/>
  <c r="B123" i="9"/>
  <c r="B141" i="9" s="1"/>
  <c r="B159" i="9" s="1"/>
  <c r="B178" i="9" s="1"/>
  <c r="B197" i="9" s="1"/>
  <c r="B215" i="9" s="1"/>
  <c r="C123" i="9"/>
  <c r="E123" i="9"/>
  <c r="A124" i="9"/>
  <c r="A142" i="9" s="1"/>
  <c r="A160" i="9" s="1"/>
  <c r="A179" i="9" s="1"/>
  <c r="A198" i="9" s="1"/>
  <c r="A216" i="9" s="1"/>
  <c r="B124" i="9"/>
  <c r="B142" i="9" s="1"/>
  <c r="B160" i="9" s="1"/>
  <c r="B179" i="9" s="1"/>
  <c r="B198" i="9" s="1"/>
  <c r="B216" i="9" s="1"/>
  <c r="C124" i="9"/>
  <c r="C142" i="9" s="1"/>
  <c r="C160" i="9" s="1"/>
  <c r="C179" i="9" s="1"/>
  <c r="C198" i="9" s="1"/>
  <c r="C216" i="9" s="1"/>
  <c r="E124" i="9"/>
  <c r="A125" i="9"/>
  <c r="A143" i="9" s="1"/>
  <c r="A161" i="9" s="1"/>
  <c r="A180" i="9" s="1"/>
  <c r="A199" i="9" s="1"/>
  <c r="A217" i="9" s="1"/>
  <c r="B125" i="9"/>
  <c r="B143" i="9" s="1"/>
  <c r="B161" i="9" s="1"/>
  <c r="B180" i="9" s="1"/>
  <c r="B199" i="9" s="1"/>
  <c r="B217" i="9" s="1"/>
  <c r="C125" i="9"/>
  <c r="C143" i="9" s="1"/>
  <c r="C161" i="9" s="1"/>
  <c r="C180" i="9" s="1"/>
  <c r="C199" i="9" s="1"/>
  <c r="C217" i="9" s="1"/>
  <c r="E125" i="9"/>
  <c r="F125" i="9" s="1"/>
  <c r="F217" i="9" s="1"/>
  <c r="A126" i="9"/>
  <c r="A144" i="9" s="1"/>
  <c r="A162" i="9" s="1"/>
  <c r="A181" i="9" s="1"/>
  <c r="A200" i="9" s="1"/>
  <c r="A218" i="9" s="1"/>
  <c r="B126" i="9"/>
  <c r="B144" i="9" s="1"/>
  <c r="B162" i="9" s="1"/>
  <c r="B181" i="9" s="1"/>
  <c r="B200" i="9" s="1"/>
  <c r="B218" i="9" s="1"/>
  <c r="C126" i="9"/>
  <c r="C144" i="9" s="1"/>
  <c r="C162" i="9" s="1"/>
  <c r="C181" i="9" s="1"/>
  <c r="C200" i="9" s="1"/>
  <c r="C218" i="9" s="1"/>
  <c r="E126" i="9"/>
  <c r="A130" i="9"/>
  <c r="A148" i="9" s="1"/>
  <c r="A167" i="9" s="1"/>
  <c r="A186" i="9" s="1"/>
  <c r="A204" i="9" s="1"/>
  <c r="C131" i="9"/>
  <c r="C149" i="9" s="1"/>
  <c r="C168" i="9" s="1"/>
  <c r="C187" i="9" s="1"/>
  <c r="C205" i="9" s="1"/>
  <c r="C141" i="9"/>
  <c r="C159" i="9" s="1"/>
  <c r="C178" i="9" s="1"/>
  <c r="C197" i="9" s="1"/>
  <c r="C215" i="9" s="1"/>
  <c r="D148" i="9"/>
  <c r="E148" i="9"/>
  <c r="F148" i="9"/>
  <c r="G148" i="9"/>
  <c r="H148" i="9"/>
  <c r="I148" i="9"/>
  <c r="J148" i="9"/>
  <c r="D149" i="9"/>
  <c r="E149" i="9"/>
  <c r="F149" i="9"/>
  <c r="G149" i="9"/>
  <c r="H149" i="9"/>
  <c r="I149" i="9"/>
  <c r="J149" i="9"/>
  <c r="D150" i="9"/>
  <c r="E150" i="9"/>
  <c r="F150" i="9"/>
  <c r="G150" i="9"/>
  <c r="H150" i="9"/>
  <c r="I150" i="9"/>
  <c r="J150" i="9"/>
  <c r="D151" i="9"/>
  <c r="E151" i="9"/>
  <c r="F151" i="9"/>
  <c r="G151" i="9"/>
  <c r="H151" i="9"/>
  <c r="I151" i="9"/>
  <c r="J151" i="9"/>
  <c r="D152" i="9"/>
  <c r="E152" i="9"/>
  <c r="F152" i="9"/>
  <c r="G152" i="9"/>
  <c r="H152" i="9"/>
  <c r="I152" i="9"/>
  <c r="J152" i="9"/>
  <c r="D153" i="9"/>
  <c r="E153" i="9"/>
  <c r="F153" i="9"/>
  <c r="G153" i="9"/>
  <c r="H153" i="9"/>
  <c r="I153" i="9"/>
  <c r="J153" i="9"/>
  <c r="D154" i="9"/>
  <c r="E154" i="9"/>
  <c r="F154" i="9"/>
  <c r="G154" i="9"/>
  <c r="H154" i="9"/>
  <c r="I154" i="9"/>
  <c r="J154" i="9"/>
  <c r="D155" i="9"/>
  <c r="E155" i="9"/>
  <c r="F155" i="9"/>
  <c r="G155" i="9"/>
  <c r="H155" i="9"/>
  <c r="I155" i="9"/>
  <c r="J155" i="9"/>
  <c r="D156" i="9"/>
  <c r="E156" i="9"/>
  <c r="F156" i="9"/>
  <c r="G156" i="9"/>
  <c r="H156" i="9"/>
  <c r="I156" i="9"/>
  <c r="J156" i="9"/>
  <c r="D157" i="9"/>
  <c r="E157" i="9"/>
  <c r="F157" i="9"/>
  <c r="G157" i="9"/>
  <c r="H157" i="9"/>
  <c r="I157" i="9"/>
  <c r="J157" i="9"/>
  <c r="D158" i="9"/>
  <c r="E158" i="9"/>
  <c r="F158" i="9"/>
  <c r="G158" i="9"/>
  <c r="H158" i="9"/>
  <c r="I158" i="9"/>
  <c r="J158" i="9"/>
  <c r="D159" i="9"/>
  <c r="E159" i="9"/>
  <c r="F159" i="9"/>
  <c r="G159" i="9"/>
  <c r="H159" i="9"/>
  <c r="I159" i="9"/>
  <c r="J159" i="9"/>
  <c r="D160" i="9"/>
  <c r="E160" i="9"/>
  <c r="F160" i="9"/>
  <c r="G160" i="9"/>
  <c r="H160" i="9"/>
  <c r="I160" i="9"/>
  <c r="J160" i="9"/>
  <c r="D161" i="9"/>
  <c r="E161" i="9"/>
  <c r="F161" i="9"/>
  <c r="G161" i="9"/>
  <c r="H161" i="9"/>
  <c r="I161" i="9"/>
  <c r="D162" i="9"/>
  <c r="E162" i="9"/>
  <c r="F162" i="9"/>
  <c r="G162" i="9"/>
  <c r="H162" i="9"/>
  <c r="I162" i="9"/>
  <c r="J162" i="9"/>
  <c r="D167" i="9"/>
  <c r="D168" i="9"/>
  <c r="D169" i="9"/>
  <c r="D170" i="9"/>
  <c r="D171" i="9"/>
  <c r="D172" i="9"/>
  <c r="D173" i="9"/>
  <c r="D174" i="9"/>
  <c r="D175" i="9"/>
  <c r="D176" i="9"/>
  <c r="E176" i="9"/>
  <c r="D177" i="9"/>
  <c r="D178" i="9"/>
  <c r="D179" i="9"/>
  <c r="D180" i="9"/>
  <c r="D181" i="9"/>
  <c r="K225" i="9"/>
  <c r="K226" i="9"/>
  <c r="K227" i="9"/>
  <c r="K228" i="9"/>
  <c r="K229" i="9"/>
  <c r="K230" i="9"/>
  <c r="J15" i="9"/>
  <c r="J28" i="9" s="1"/>
  <c r="J41" i="9" s="1"/>
  <c r="E28" i="9"/>
  <c r="E41" i="9" s="1"/>
  <c r="A29" i="9"/>
  <c r="A42" i="9" s="1"/>
  <c r="B29" i="9"/>
  <c r="B42" i="9" s="1"/>
  <c r="D29" i="9"/>
  <c r="D42" i="9" s="1"/>
  <c r="G29" i="9"/>
  <c r="H29" i="9"/>
  <c r="H42" i="9" s="1"/>
  <c r="I29" i="9"/>
  <c r="I42" i="9" s="1"/>
  <c r="A30" i="9"/>
  <c r="A43" i="9" s="1"/>
  <c r="B30" i="9"/>
  <c r="B43" i="9" s="1"/>
  <c r="D30" i="9"/>
  <c r="D43" i="9" s="1"/>
  <c r="G30" i="9"/>
  <c r="G43" i="9" s="1"/>
  <c r="H30" i="9"/>
  <c r="I30" i="9"/>
  <c r="I43" i="9" s="1"/>
  <c r="A31" i="9"/>
  <c r="A44" i="9" s="1"/>
  <c r="B31" i="9"/>
  <c r="B44" i="9" s="1"/>
  <c r="D31" i="9"/>
  <c r="D44" i="9" s="1"/>
  <c r="G31" i="9"/>
  <c r="G44" i="9" s="1"/>
  <c r="H31" i="9"/>
  <c r="H44" i="9" s="1"/>
  <c r="I31" i="9"/>
  <c r="I44" i="9" s="1"/>
  <c r="A32" i="9"/>
  <c r="A45" i="9" s="1"/>
  <c r="B32" i="9"/>
  <c r="B45" i="9" s="1"/>
  <c r="D32" i="9"/>
  <c r="D45" i="9" s="1"/>
  <c r="G32" i="9"/>
  <c r="G45" i="9" s="1"/>
  <c r="H32" i="9"/>
  <c r="H45" i="9" s="1"/>
  <c r="I32" i="9"/>
  <c r="A33" i="9"/>
  <c r="A46" i="9" s="1"/>
  <c r="B33" i="9"/>
  <c r="B46" i="9" s="1"/>
  <c r="D33" i="9"/>
  <c r="D46" i="9" s="1"/>
  <c r="A34" i="9"/>
  <c r="A47" i="9" s="1"/>
  <c r="B34" i="9"/>
  <c r="B47" i="9" s="1"/>
  <c r="D34" i="9"/>
  <c r="D47" i="9" s="1"/>
  <c r="A35" i="9"/>
  <c r="A48" i="9" s="1"/>
  <c r="B35" i="9"/>
  <c r="B48" i="9" s="1"/>
  <c r="D35" i="9"/>
  <c r="D48" i="9" s="1"/>
  <c r="A36" i="9"/>
  <c r="A49" i="9" s="1"/>
  <c r="B36" i="9"/>
  <c r="B49" i="9" s="1"/>
  <c r="D36" i="9"/>
  <c r="D49" i="9" s="1"/>
  <c r="A37" i="9"/>
  <c r="A50" i="9" s="1"/>
  <c r="B37" i="9"/>
  <c r="B50" i="9" s="1"/>
  <c r="D37" i="9"/>
  <c r="D50" i="9" s="1"/>
  <c r="A38" i="9"/>
  <c r="A51" i="9" s="1"/>
  <c r="B38" i="9"/>
  <c r="B51" i="9" s="1"/>
  <c r="D38" i="9"/>
  <c r="D51" i="9" s="1"/>
  <c r="E42" i="9"/>
  <c r="G42" i="9"/>
  <c r="J42" i="9"/>
  <c r="E43" i="9"/>
  <c r="H43" i="9"/>
  <c r="J43" i="9"/>
  <c r="E44" i="9"/>
  <c r="J44" i="9"/>
  <c r="E45" i="9"/>
  <c r="I45" i="9"/>
  <c r="J45" i="9"/>
  <c r="E46" i="9"/>
  <c r="E47" i="9"/>
  <c r="E48" i="9"/>
  <c r="E49" i="9"/>
  <c r="E50" i="9"/>
  <c r="E51" i="9"/>
  <c r="D64" i="9"/>
  <c r="D71" i="9" s="1"/>
  <c r="D83" i="9"/>
  <c r="G84" i="9"/>
  <c r="I84" i="9"/>
  <c r="K84" i="9"/>
  <c r="E74" i="9"/>
  <c r="F74" i="9"/>
  <c r="G74" i="9"/>
  <c r="H74" i="9"/>
  <c r="I74" i="9"/>
  <c r="J74" i="9"/>
  <c r="A82" i="9"/>
  <c r="E83" i="9"/>
  <c r="F83" i="9"/>
  <c r="G83" i="9"/>
  <c r="H83" i="9"/>
  <c r="I83" i="9"/>
  <c r="J83" i="9"/>
  <c r="D84" i="9"/>
  <c r="L9" i="4"/>
  <c r="L8" i="4"/>
  <c r="L7" i="4"/>
  <c r="C19" i="4"/>
  <c r="C33" i="4" s="1"/>
  <c r="C18" i="4"/>
  <c r="F18" i="4" s="1"/>
  <c r="C17" i="4"/>
  <c r="C31" i="4" s="1"/>
  <c r="C27" i="4"/>
  <c r="E32" i="4" s="1"/>
  <c r="H302" i="9" l="1"/>
  <c r="I398" i="9"/>
  <c r="D75" i="9"/>
  <c r="D72" i="9"/>
  <c r="A286" i="9"/>
  <c r="A296" i="9" s="1"/>
  <c r="A306" i="9" s="1"/>
  <c r="A315" i="9" s="1"/>
  <c r="A324" i="9" s="1"/>
  <c r="A334" i="9" s="1"/>
  <c r="A343" i="9" s="1"/>
  <c r="A352" i="9" s="1"/>
  <c r="A424" i="9"/>
  <c r="E398" i="9"/>
  <c r="D302" i="9"/>
  <c r="A283" i="9"/>
  <c r="A293" i="9" s="1"/>
  <c r="A303" i="9" s="1"/>
  <c r="A312" i="9" s="1"/>
  <c r="A321" i="9" s="1"/>
  <c r="A331" i="9" s="1"/>
  <c r="A340" i="9" s="1"/>
  <c r="A349" i="9" s="1"/>
  <c r="A421" i="9"/>
  <c r="A423" i="9"/>
  <c r="A285" i="9"/>
  <c r="A295" i="9" s="1"/>
  <c r="A305" i="9" s="1"/>
  <c r="A314" i="9" s="1"/>
  <c r="A323" i="9" s="1"/>
  <c r="A333" i="9" s="1"/>
  <c r="A342" i="9" s="1"/>
  <c r="A351" i="9" s="1"/>
  <c r="J302" i="9"/>
  <c r="K398" i="9"/>
  <c r="G398" i="9"/>
  <c r="F302" i="9"/>
  <c r="A425" i="9"/>
  <c r="A287" i="9"/>
  <c r="A297" i="9" s="1"/>
  <c r="A307" i="9" s="1"/>
  <c r="A316" i="9" s="1"/>
  <c r="A325" i="9" s="1"/>
  <c r="A335" i="9" s="1"/>
  <c r="A344" i="9" s="1"/>
  <c r="A353" i="9" s="1"/>
  <c r="B304" i="9"/>
  <c r="J405" i="9"/>
  <c r="F332" i="9"/>
  <c r="D331" i="9"/>
  <c r="D316" i="9"/>
  <c r="D325" i="9" s="1"/>
  <c r="B308" i="9"/>
  <c r="B306" i="9"/>
  <c r="K376" i="9"/>
  <c r="G376" i="9"/>
  <c r="F405" i="9"/>
  <c r="I314" i="9"/>
  <c r="I323" i="9" s="1"/>
  <c r="J376" i="9"/>
  <c r="F335" i="9"/>
  <c r="D335" i="9"/>
  <c r="I335" i="9"/>
  <c r="E335" i="9"/>
  <c r="K335" i="9"/>
  <c r="G335" i="9"/>
  <c r="H408" i="9"/>
  <c r="G311" i="9"/>
  <c r="G320" i="9" s="1"/>
  <c r="G330" i="9" s="1"/>
  <c r="G339" i="9" s="1"/>
  <c r="G342" i="9" s="1"/>
  <c r="E205" i="9"/>
  <c r="F113" i="9"/>
  <c r="F205" i="9" s="1"/>
  <c r="F268" i="9"/>
  <c r="J268" i="9"/>
  <c r="F247" i="9"/>
  <c r="E276" i="9"/>
  <c r="F245" i="9"/>
  <c r="E274" i="9"/>
  <c r="D336" i="9"/>
  <c r="F336" i="9"/>
  <c r="G336" i="9"/>
  <c r="J336" i="9"/>
  <c r="A422" i="9"/>
  <c r="A284" i="9"/>
  <c r="A294" i="9" s="1"/>
  <c r="A304" i="9" s="1"/>
  <c r="A313" i="9" s="1"/>
  <c r="A322" i="9" s="1"/>
  <c r="A332" i="9" s="1"/>
  <c r="A341" i="9" s="1"/>
  <c r="A350" i="9" s="1"/>
  <c r="B349" i="9"/>
  <c r="K311" i="9"/>
  <c r="K320" i="9" s="1"/>
  <c r="K330" i="9" s="1"/>
  <c r="K339" i="9" s="1"/>
  <c r="K344" i="9" s="1"/>
  <c r="L408" i="9"/>
  <c r="F333" i="9"/>
  <c r="D333" i="9"/>
  <c r="I333" i="9"/>
  <c r="E333" i="9"/>
  <c r="K333" i="9"/>
  <c r="G333" i="9"/>
  <c r="H335" i="9"/>
  <c r="F398" i="9"/>
  <c r="E302" i="9"/>
  <c r="K302" i="9"/>
  <c r="C293" i="9"/>
  <c r="C312" i="9" s="1"/>
  <c r="C321" i="9" s="1"/>
  <c r="C303" i="9"/>
  <c r="E415" i="9"/>
  <c r="G414" i="9"/>
  <c r="H386" i="9"/>
  <c r="I383" i="9"/>
  <c r="H411" i="9"/>
  <c r="G295" i="9"/>
  <c r="F293" i="9"/>
  <c r="G409" i="9"/>
  <c r="B352" i="9"/>
  <c r="J334" i="9"/>
  <c r="J332" i="9"/>
  <c r="G331" i="9"/>
  <c r="C296" i="9"/>
  <c r="C315" i="9" s="1"/>
  <c r="C324" i="9" s="1"/>
  <c r="C306" i="9"/>
  <c r="I385" i="9"/>
  <c r="G297" i="9"/>
  <c r="H413" i="9"/>
  <c r="A426" i="9"/>
  <c r="A288" i="9"/>
  <c r="A298" i="9" s="1"/>
  <c r="A308" i="9" s="1"/>
  <c r="A317" i="9" s="1"/>
  <c r="A326" i="9" s="1"/>
  <c r="A336" i="9" s="1"/>
  <c r="A345" i="9" s="1"/>
  <c r="A354" i="9" s="1"/>
  <c r="G384" i="9"/>
  <c r="F412" i="9"/>
  <c r="E296" i="9"/>
  <c r="E299" i="9" s="1"/>
  <c r="I381" i="9"/>
  <c r="H409" i="9"/>
  <c r="I268" i="9"/>
  <c r="E268" i="9"/>
  <c r="H268" i="9"/>
  <c r="B350" i="9"/>
  <c r="G334" i="9"/>
  <c r="G332" i="9"/>
  <c r="K331" i="9"/>
  <c r="E331" i="9"/>
  <c r="D312" i="9"/>
  <c r="D321" i="9" s="1"/>
  <c r="D327" i="9" s="1"/>
  <c r="H8" i="9" s="1"/>
  <c r="D65" i="9" s="1"/>
  <c r="C295" i="9"/>
  <c r="C314" i="9" s="1"/>
  <c r="C323" i="9" s="1"/>
  <c r="B297" i="9"/>
  <c r="B316" i="9" s="1"/>
  <c r="B325" i="9" s="1"/>
  <c r="B307" i="9"/>
  <c r="J398" i="9"/>
  <c r="I302" i="9"/>
  <c r="F297" i="9"/>
  <c r="G413" i="9"/>
  <c r="G410" i="9"/>
  <c r="F294" i="9"/>
  <c r="H382" i="9"/>
  <c r="F278" i="9"/>
  <c r="G249" i="9"/>
  <c r="H249" i="9" s="1"/>
  <c r="H278" i="9" s="1"/>
  <c r="F274" i="9"/>
  <c r="G245" i="9"/>
  <c r="K307" i="9"/>
  <c r="K316" i="9" s="1"/>
  <c r="J316" i="9"/>
  <c r="J325" i="9" s="1"/>
  <c r="I312" i="9"/>
  <c r="I321" i="9" s="1"/>
  <c r="J303" i="9"/>
  <c r="E180" i="9"/>
  <c r="G268" i="9"/>
  <c r="J308" i="9"/>
  <c r="E316" i="9"/>
  <c r="E325" i="9" s="1"/>
  <c r="F307" i="9"/>
  <c r="G305" i="9"/>
  <c r="G314" i="9" s="1"/>
  <c r="G323" i="9" s="1"/>
  <c r="F308" i="9"/>
  <c r="F317" i="9" s="1"/>
  <c r="F326" i="9" s="1"/>
  <c r="E317" i="9"/>
  <c r="E326" i="9" s="1"/>
  <c r="E327" i="9" s="1"/>
  <c r="C298" i="9"/>
  <c r="C317" i="9" s="1"/>
  <c r="C326" i="9" s="1"/>
  <c r="C308" i="9"/>
  <c r="J314" i="9"/>
  <c r="J323" i="9" s="1"/>
  <c r="K305" i="9"/>
  <c r="K314" i="9" s="1"/>
  <c r="E177" i="9"/>
  <c r="D279" i="9"/>
  <c r="H315" i="9"/>
  <c r="H324" i="9" s="1"/>
  <c r="I306" i="9"/>
  <c r="H304" i="9"/>
  <c r="G313" i="9"/>
  <c r="G322" i="9" s="1"/>
  <c r="H289" i="9"/>
  <c r="K342" i="9"/>
  <c r="I336" i="9"/>
  <c r="E336" i="9"/>
  <c r="I334" i="9"/>
  <c r="E334" i="9"/>
  <c r="I332" i="9"/>
  <c r="E332" i="9"/>
  <c r="D314" i="9"/>
  <c r="D323" i="9" s="1"/>
  <c r="B305" i="9"/>
  <c r="C304" i="9"/>
  <c r="H336" i="9"/>
  <c r="J335" i="9"/>
  <c r="H334" i="9"/>
  <c r="J333" i="9"/>
  <c r="H332" i="9"/>
  <c r="J331" i="9"/>
  <c r="G293" i="9"/>
  <c r="G289" i="9"/>
  <c r="G248" i="9"/>
  <c r="F277" i="9"/>
  <c r="G244" i="9"/>
  <c r="F273" i="9"/>
  <c r="G246" i="9"/>
  <c r="F275" i="9"/>
  <c r="E277" i="9"/>
  <c r="E273" i="9"/>
  <c r="E275" i="9"/>
  <c r="E178" i="9"/>
  <c r="F123" i="9"/>
  <c r="F215" i="9" s="1"/>
  <c r="E173" i="9"/>
  <c r="E211" i="9"/>
  <c r="E174" i="9"/>
  <c r="E213" i="9"/>
  <c r="E218" i="9"/>
  <c r="F126" i="9"/>
  <c r="E181" i="9"/>
  <c r="E216" i="9"/>
  <c r="E179" i="9"/>
  <c r="E217" i="9"/>
  <c r="E168" i="9"/>
  <c r="G122" i="9"/>
  <c r="G214" i="9" s="1"/>
  <c r="F214" i="9"/>
  <c r="F177" i="9"/>
  <c r="F117" i="9"/>
  <c r="F172" i="9" s="1"/>
  <c r="E172" i="9"/>
  <c r="E209" i="9"/>
  <c r="F116" i="9"/>
  <c r="F208" i="9" s="1"/>
  <c r="E208" i="9"/>
  <c r="E171" i="9"/>
  <c r="F112" i="9"/>
  <c r="F204" i="9" s="1"/>
  <c r="E204" i="9"/>
  <c r="E167" i="9"/>
  <c r="G163" i="9"/>
  <c r="E215" i="9"/>
  <c r="G121" i="9"/>
  <c r="G213" i="9" s="1"/>
  <c r="F120" i="9"/>
  <c r="F212" i="9" s="1"/>
  <c r="E175" i="9"/>
  <c r="G119" i="9"/>
  <c r="G211" i="9" s="1"/>
  <c r="E163" i="9"/>
  <c r="G125" i="9"/>
  <c r="G217" i="9" s="1"/>
  <c r="F124" i="9"/>
  <c r="F216" i="9" s="1"/>
  <c r="F115" i="9"/>
  <c r="F207" i="9" s="1"/>
  <c r="E170" i="9"/>
  <c r="F114" i="9"/>
  <c r="F206" i="9" s="1"/>
  <c r="E169" i="9"/>
  <c r="G113" i="9"/>
  <c r="G205" i="9" s="1"/>
  <c r="I163" i="9"/>
  <c r="F118" i="9"/>
  <c r="F210" i="9" s="1"/>
  <c r="J163" i="9"/>
  <c r="F163" i="9"/>
  <c r="H163" i="9"/>
  <c r="D163" i="9"/>
  <c r="D182" i="9"/>
  <c r="F174" i="9"/>
  <c r="F180" i="9"/>
  <c r="F176" i="9"/>
  <c r="J52" i="9"/>
  <c r="H7" i="9" s="1"/>
  <c r="D62" i="9" s="1"/>
  <c r="E52" i="9"/>
  <c r="H6" i="9" s="1"/>
  <c r="D61" i="9" s="1"/>
  <c r="F17" i="4"/>
  <c r="C21" i="4"/>
  <c r="F19" i="4"/>
  <c r="F21" i="4" s="1"/>
  <c r="E31" i="4"/>
  <c r="F31" i="4" s="1"/>
  <c r="C32" i="4"/>
  <c r="L11" i="4" s="1"/>
  <c r="E33" i="4"/>
  <c r="F33" i="4" s="1"/>
  <c r="D8" i="2"/>
  <c r="E8" i="2"/>
  <c r="F8" i="2"/>
  <c r="G8" i="2"/>
  <c r="C8" i="2"/>
  <c r="G10" i="2"/>
  <c r="B10" i="2"/>
  <c r="D10" i="2"/>
  <c r="E10" i="2"/>
  <c r="F10" i="2"/>
  <c r="C10" i="2"/>
  <c r="G344" i="9" l="1"/>
  <c r="H311" i="9"/>
  <c r="H320" i="9" s="1"/>
  <c r="H330" i="9" s="1"/>
  <c r="H339" i="9" s="1"/>
  <c r="I408" i="9"/>
  <c r="G408" i="9"/>
  <c r="F311" i="9"/>
  <c r="F320" i="9" s="1"/>
  <c r="F330" i="9" s="1"/>
  <c r="F339" i="9" s="1"/>
  <c r="E408" i="9"/>
  <c r="D311" i="9"/>
  <c r="D320" i="9" s="1"/>
  <c r="D330" i="9" s="1"/>
  <c r="D339" i="9" s="1"/>
  <c r="H121" i="9"/>
  <c r="H213" i="9" s="1"/>
  <c r="G116" i="9"/>
  <c r="G208" i="9" s="1"/>
  <c r="J311" i="9"/>
  <c r="J320" i="9" s="1"/>
  <c r="J330" i="9" s="1"/>
  <c r="J339" i="9" s="1"/>
  <c r="K408" i="9"/>
  <c r="H9" i="9"/>
  <c r="I311" i="9"/>
  <c r="I320" i="9" s="1"/>
  <c r="I330" i="9" s="1"/>
  <c r="I339" i="9" s="1"/>
  <c r="J408" i="9"/>
  <c r="J381" i="9"/>
  <c r="H293" i="9"/>
  <c r="I409" i="9"/>
  <c r="K282" i="9"/>
  <c r="K292" i="9" s="1"/>
  <c r="L420" i="9"/>
  <c r="F276" i="9"/>
  <c r="G247" i="9"/>
  <c r="I249" i="9"/>
  <c r="I278" i="9" s="1"/>
  <c r="K340" i="9"/>
  <c r="K348" i="9"/>
  <c r="K345" i="9"/>
  <c r="K341" i="9"/>
  <c r="H384" i="9"/>
  <c r="G412" i="9"/>
  <c r="F296" i="9"/>
  <c r="F299" i="9" s="1"/>
  <c r="G298" i="9"/>
  <c r="H414" i="9"/>
  <c r="I386" i="9"/>
  <c r="G282" i="9"/>
  <c r="G292" i="9" s="1"/>
  <c r="H420" i="9"/>
  <c r="F168" i="9"/>
  <c r="J385" i="9"/>
  <c r="I413" i="9"/>
  <c r="E422" i="9"/>
  <c r="E426" i="9"/>
  <c r="E423" i="9"/>
  <c r="E424" i="9"/>
  <c r="G168" i="9"/>
  <c r="G278" i="9"/>
  <c r="H297" i="9"/>
  <c r="H410" i="9"/>
  <c r="G294" i="9"/>
  <c r="I382" i="9"/>
  <c r="E425" i="9"/>
  <c r="F415" i="9"/>
  <c r="F424" i="9" s="1"/>
  <c r="G415" i="9"/>
  <c r="G423" i="9" s="1"/>
  <c r="J383" i="9"/>
  <c r="I411" i="9"/>
  <c r="H295" i="9"/>
  <c r="E421" i="9"/>
  <c r="E311" i="9"/>
  <c r="E320" i="9" s="1"/>
  <c r="E330" i="9" s="1"/>
  <c r="E339" i="9" s="1"/>
  <c r="F408" i="9"/>
  <c r="G340" i="9"/>
  <c r="G348" i="9"/>
  <c r="G341" i="9"/>
  <c r="G345" i="9"/>
  <c r="G343" i="9"/>
  <c r="K343" i="9"/>
  <c r="K308" i="9"/>
  <c r="K317" i="9" s="1"/>
  <c r="J317" i="9"/>
  <c r="J326" i="9" s="1"/>
  <c r="I315" i="9"/>
  <c r="I324" i="9" s="1"/>
  <c r="J306" i="9"/>
  <c r="F170" i="9"/>
  <c r="H113" i="9"/>
  <c r="H205" i="9" s="1"/>
  <c r="F171" i="9"/>
  <c r="G123" i="9"/>
  <c r="G215" i="9" s="1"/>
  <c r="F316" i="9"/>
  <c r="F325" i="9" s="1"/>
  <c r="F327" i="9" s="1"/>
  <c r="G307" i="9"/>
  <c r="G316" i="9" s="1"/>
  <c r="G325" i="9" s="1"/>
  <c r="G327" i="9" s="1"/>
  <c r="I304" i="9"/>
  <c r="H313" i="9"/>
  <c r="H322" i="9" s="1"/>
  <c r="H327" i="9" s="1"/>
  <c r="G176" i="9"/>
  <c r="J312" i="9"/>
  <c r="J321" i="9" s="1"/>
  <c r="K303" i="9"/>
  <c r="K312" i="9" s="1"/>
  <c r="H245" i="9"/>
  <c r="G274" i="9"/>
  <c r="G112" i="9"/>
  <c r="G204" i="9" s="1"/>
  <c r="E279" i="9"/>
  <c r="F279" i="9"/>
  <c r="H246" i="9"/>
  <c r="G275" i="9"/>
  <c r="G273" i="9"/>
  <c r="H244" i="9"/>
  <c r="G277" i="9"/>
  <c r="H248" i="9"/>
  <c r="F167" i="9"/>
  <c r="F178" i="9"/>
  <c r="G117" i="9"/>
  <c r="F209" i="9"/>
  <c r="G177" i="9"/>
  <c r="G180" i="9"/>
  <c r="E219" i="9"/>
  <c r="G126" i="9"/>
  <c r="F218" i="9"/>
  <c r="F219" i="9" s="1"/>
  <c r="F181" i="9"/>
  <c r="H122" i="9"/>
  <c r="H214" i="9" s="1"/>
  <c r="H125" i="9"/>
  <c r="H217" i="9" s="1"/>
  <c r="E182" i="9"/>
  <c r="G115" i="9"/>
  <c r="G207" i="9" s="1"/>
  <c r="G124" i="9"/>
  <c r="G216" i="9" s="1"/>
  <c r="F179" i="9"/>
  <c r="G120" i="9"/>
  <c r="G212" i="9" s="1"/>
  <c r="F175" i="9"/>
  <c r="G114" i="9"/>
  <c r="G206" i="9" s="1"/>
  <c r="F169" i="9"/>
  <c r="H119" i="9"/>
  <c r="H211" i="9" s="1"/>
  <c r="G174" i="9"/>
  <c r="G118" i="9"/>
  <c r="G210" i="9" s="1"/>
  <c r="F173" i="9"/>
  <c r="H123" i="9"/>
  <c r="H215" i="9" s="1"/>
  <c r="G178" i="9"/>
  <c r="I122" i="9"/>
  <c r="I214" i="9" s="1"/>
  <c r="I121" i="9"/>
  <c r="I213" i="9" s="1"/>
  <c r="H176" i="9"/>
  <c r="H116" i="9"/>
  <c r="H208" i="9" s="1"/>
  <c r="G171" i="9"/>
  <c r="G17" i="4"/>
  <c r="O7" i="4" s="1"/>
  <c r="G18" i="4"/>
  <c r="O8" i="4" s="1"/>
  <c r="G19" i="4"/>
  <c r="O9" i="4" s="1"/>
  <c r="C35" i="4"/>
  <c r="F32" i="4"/>
  <c r="H18" i="4"/>
  <c r="I18" i="4" s="1"/>
  <c r="H19" i="4"/>
  <c r="I19" i="4" s="1"/>
  <c r="F35" i="4"/>
  <c r="G31" i="4" s="1"/>
  <c r="H31" i="4" s="1"/>
  <c r="I31" i="4" s="1"/>
  <c r="B10" i="9"/>
  <c r="H282" i="9" l="1"/>
  <c r="H292" i="9" s="1"/>
  <c r="I420" i="9"/>
  <c r="H348" i="9"/>
  <c r="H341" i="9"/>
  <c r="H345" i="9"/>
  <c r="H344" i="9"/>
  <c r="H340" i="9"/>
  <c r="H342" i="9"/>
  <c r="H343" i="9"/>
  <c r="E70" i="9"/>
  <c r="E72" i="9" s="1"/>
  <c r="J345" i="9"/>
  <c r="J342" i="9"/>
  <c r="J348" i="9"/>
  <c r="J343" i="9"/>
  <c r="J344" i="9"/>
  <c r="J340" i="9"/>
  <c r="J341" i="9"/>
  <c r="E420" i="9"/>
  <c r="D282" i="9"/>
  <c r="D292" i="9" s="1"/>
  <c r="D342" i="9"/>
  <c r="D343" i="9"/>
  <c r="D348" i="9"/>
  <c r="D345" i="9"/>
  <c r="D344" i="9"/>
  <c r="D340" i="9"/>
  <c r="D341" i="9"/>
  <c r="J249" i="9"/>
  <c r="F341" i="9"/>
  <c r="F348" i="9"/>
  <c r="F340" i="9"/>
  <c r="F342" i="9"/>
  <c r="F344" i="9"/>
  <c r="F345" i="9"/>
  <c r="F343" i="9"/>
  <c r="K420" i="9"/>
  <c r="J282" i="9"/>
  <c r="J292" i="9" s="1"/>
  <c r="H112" i="9"/>
  <c r="H204" i="9" s="1"/>
  <c r="H168" i="9"/>
  <c r="F282" i="9"/>
  <c r="F292" i="9" s="1"/>
  <c r="G420" i="9"/>
  <c r="F420" i="9"/>
  <c r="E282" i="9"/>
  <c r="E292" i="9" s="1"/>
  <c r="E340" i="9"/>
  <c r="E342" i="9"/>
  <c r="E348" i="9"/>
  <c r="E344" i="9"/>
  <c r="E345" i="9"/>
  <c r="E343" i="9"/>
  <c r="E341" i="9"/>
  <c r="I295" i="9"/>
  <c r="K383" i="9"/>
  <c r="J411" i="9"/>
  <c r="K351" i="9"/>
  <c r="K353" i="9"/>
  <c r="K349" i="9"/>
  <c r="K350" i="9"/>
  <c r="K354" i="9"/>
  <c r="K352" i="9"/>
  <c r="H247" i="9"/>
  <c r="G276" i="9"/>
  <c r="G279" i="9" s="1"/>
  <c r="I410" i="9"/>
  <c r="H294" i="9"/>
  <c r="J382" i="9"/>
  <c r="J413" i="9"/>
  <c r="K385" i="9"/>
  <c r="I297" i="9"/>
  <c r="G426" i="9"/>
  <c r="I384" i="9"/>
  <c r="H412" i="9"/>
  <c r="H415" i="9" s="1"/>
  <c r="G296" i="9"/>
  <c r="G299" i="9" s="1"/>
  <c r="J420" i="9"/>
  <c r="I282" i="9"/>
  <c r="I292" i="9" s="1"/>
  <c r="F421" i="9"/>
  <c r="F425" i="9"/>
  <c r="F423" i="9"/>
  <c r="F426" i="9"/>
  <c r="F422" i="9"/>
  <c r="G425" i="9"/>
  <c r="G422" i="9"/>
  <c r="H298" i="9"/>
  <c r="I414" i="9"/>
  <c r="J386" i="9"/>
  <c r="I344" i="9"/>
  <c r="I348" i="9"/>
  <c r="I342" i="9"/>
  <c r="I345" i="9"/>
  <c r="I343" i="9"/>
  <c r="I341" i="9"/>
  <c r="I340" i="9"/>
  <c r="D82" i="9"/>
  <c r="D85" i="9" s="1"/>
  <c r="G349" i="9"/>
  <c r="G350" i="9"/>
  <c r="G354" i="9"/>
  <c r="G351" i="9"/>
  <c r="G352" i="9"/>
  <c r="G353" i="9"/>
  <c r="E427" i="9"/>
  <c r="G421" i="9"/>
  <c r="G424" i="9"/>
  <c r="J409" i="9"/>
  <c r="K381" i="9"/>
  <c r="I293" i="9"/>
  <c r="J304" i="9"/>
  <c r="J313" i="9" s="1"/>
  <c r="J322" i="9" s="1"/>
  <c r="I313" i="9"/>
  <c r="I322" i="9" s="1"/>
  <c r="I327" i="9" s="1"/>
  <c r="I113" i="9"/>
  <c r="I205" i="9" s="1"/>
  <c r="H274" i="9"/>
  <c r="I245" i="9"/>
  <c r="G167" i="9"/>
  <c r="K306" i="9"/>
  <c r="K315" i="9" s="1"/>
  <c r="J315" i="9"/>
  <c r="J324" i="9" s="1"/>
  <c r="H277" i="9"/>
  <c r="I248" i="9"/>
  <c r="K258" i="9"/>
  <c r="K267" i="9" s="1"/>
  <c r="K249" i="9"/>
  <c r="K278" i="9" s="1"/>
  <c r="J278" i="9"/>
  <c r="H275" i="9"/>
  <c r="I246" i="9"/>
  <c r="H273" i="9"/>
  <c r="I244" i="9"/>
  <c r="H177" i="9"/>
  <c r="F182" i="9"/>
  <c r="H180" i="9"/>
  <c r="G218" i="9"/>
  <c r="H126" i="9"/>
  <c r="G181" i="9"/>
  <c r="I125" i="9"/>
  <c r="I217" i="9" s="1"/>
  <c r="G209" i="9"/>
  <c r="G219" i="9" s="1"/>
  <c r="H117" i="9"/>
  <c r="G172" i="9"/>
  <c r="H178" i="9"/>
  <c r="I123" i="9"/>
  <c r="I215" i="9" s="1"/>
  <c r="H124" i="9"/>
  <c r="H216" i="9" s="1"/>
  <c r="G179" i="9"/>
  <c r="G169" i="9"/>
  <c r="H114" i="9"/>
  <c r="H206" i="9" s="1"/>
  <c r="G175" i="9"/>
  <c r="H120" i="9"/>
  <c r="H212" i="9" s="1"/>
  <c r="G173" i="9"/>
  <c r="H118" i="9"/>
  <c r="H210" i="9" s="1"/>
  <c r="I119" i="9"/>
  <c r="I211" i="9" s="1"/>
  <c r="H174" i="9"/>
  <c r="H115" i="9"/>
  <c r="H207" i="9" s="1"/>
  <c r="G170" i="9"/>
  <c r="I112" i="9"/>
  <c r="I204" i="9" s="1"/>
  <c r="H167" i="9"/>
  <c r="J125" i="9"/>
  <c r="J217" i="9" s="1"/>
  <c r="I180" i="9"/>
  <c r="I116" i="9"/>
  <c r="I208" i="9" s="1"/>
  <c r="H171" i="9"/>
  <c r="J121" i="9"/>
  <c r="J213" i="9" s="1"/>
  <c r="K139" i="9"/>
  <c r="K157" i="9" s="1"/>
  <c r="I176" i="9"/>
  <c r="J122" i="9"/>
  <c r="J214" i="9" s="1"/>
  <c r="K140" i="9"/>
  <c r="K158" i="9" s="1"/>
  <c r="I177" i="9"/>
  <c r="C7" i="9"/>
  <c r="I9" i="9"/>
  <c r="G33" i="4"/>
  <c r="H33" i="4" s="1"/>
  <c r="I33" i="4" s="1"/>
  <c r="G32" i="4"/>
  <c r="H32" i="4" s="1"/>
  <c r="I32" i="4" s="1"/>
  <c r="I35" i="4" s="1"/>
  <c r="I36" i="4" s="1"/>
  <c r="H17" i="4"/>
  <c r="I17" i="4" s="1"/>
  <c r="I21" i="4"/>
  <c r="I22" i="4" s="1"/>
  <c r="C6" i="9"/>
  <c r="F7" i="4"/>
  <c r="F8" i="4"/>
  <c r="F9" i="4"/>
  <c r="C11" i="4"/>
  <c r="H351" i="9" l="1"/>
  <c r="H349" i="9"/>
  <c r="H352" i="9"/>
  <c r="H350" i="9"/>
  <c r="H354" i="9"/>
  <c r="H353" i="9"/>
  <c r="E59" i="9"/>
  <c r="E75" i="9" s="1"/>
  <c r="D76" i="9"/>
  <c r="E82" i="9"/>
  <c r="E85" i="9" s="1"/>
  <c r="D352" i="9"/>
  <c r="D354" i="9"/>
  <c r="D350" i="9"/>
  <c r="D353" i="9"/>
  <c r="D351" i="9"/>
  <c r="D349" i="9"/>
  <c r="J350" i="9"/>
  <c r="J352" i="9"/>
  <c r="J351" i="9"/>
  <c r="J349" i="9"/>
  <c r="J354" i="9"/>
  <c r="J353" i="9"/>
  <c r="F354" i="9"/>
  <c r="F350" i="9"/>
  <c r="F353" i="9"/>
  <c r="F351" i="9"/>
  <c r="F352" i="9"/>
  <c r="F349" i="9"/>
  <c r="I412" i="9"/>
  <c r="H296" i="9"/>
  <c r="H299" i="9" s="1"/>
  <c r="J384" i="9"/>
  <c r="J327" i="9"/>
  <c r="I350" i="9"/>
  <c r="I353" i="9"/>
  <c r="I351" i="9"/>
  <c r="I349" i="9"/>
  <c r="I352" i="9"/>
  <c r="I354" i="9"/>
  <c r="K386" i="9"/>
  <c r="I298" i="9"/>
  <c r="J414" i="9"/>
  <c r="H421" i="9"/>
  <c r="L349" i="9" s="1"/>
  <c r="H425" i="9"/>
  <c r="H423" i="9"/>
  <c r="L351" i="9" s="1"/>
  <c r="F427" i="9"/>
  <c r="K382" i="9"/>
  <c r="J410" i="9"/>
  <c r="I294" i="9"/>
  <c r="I247" i="9"/>
  <c r="H276" i="9"/>
  <c r="H279" i="9" s="1"/>
  <c r="L350" i="9"/>
  <c r="L392" i="9"/>
  <c r="J295" i="9"/>
  <c r="K411" i="9"/>
  <c r="L383" i="9"/>
  <c r="H426" i="9"/>
  <c r="K409" i="9"/>
  <c r="L390" i="9"/>
  <c r="L381" i="9" s="1"/>
  <c r="J293" i="9"/>
  <c r="G427" i="9"/>
  <c r="I415" i="9"/>
  <c r="H424" i="9"/>
  <c r="K413" i="9"/>
  <c r="L394" i="9"/>
  <c r="L385" i="9" s="1"/>
  <c r="J297" i="9"/>
  <c r="L352" i="9"/>
  <c r="H422" i="9"/>
  <c r="E353" i="9"/>
  <c r="E354" i="9"/>
  <c r="E351" i="9"/>
  <c r="E352" i="9"/>
  <c r="E350" i="9"/>
  <c r="E349" i="9"/>
  <c r="I168" i="9"/>
  <c r="J113" i="9"/>
  <c r="J205" i="9" s="1"/>
  <c r="J245" i="9"/>
  <c r="I274" i="9"/>
  <c r="K131" i="9"/>
  <c r="K149" i="9" s="1"/>
  <c r="J244" i="9"/>
  <c r="I273" i="9"/>
  <c r="J246" i="9"/>
  <c r="I275" i="9"/>
  <c r="J248" i="9"/>
  <c r="I277" i="9"/>
  <c r="I8" i="9"/>
  <c r="K143" i="9"/>
  <c r="K161" i="9" s="1"/>
  <c r="G182" i="9"/>
  <c r="H209" i="9"/>
  <c r="I117" i="9"/>
  <c r="H172" i="9"/>
  <c r="H218" i="9"/>
  <c r="I126" i="9"/>
  <c r="H181" i="9"/>
  <c r="J177" i="9"/>
  <c r="C10" i="9"/>
  <c r="J168" i="9"/>
  <c r="J176" i="9"/>
  <c r="J180" i="9"/>
  <c r="J119" i="9"/>
  <c r="J211" i="9" s="1"/>
  <c r="I174" i="9"/>
  <c r="K137" i="9"/>
  <c r="K155" i="9" s="1"/>
  <c r="I114" i="9"/>
  <c r="I206" i="9" s="1"/>
  <c r="H169" i="9"/>
  <c r="J123" i="9"/>
  <c r="J215" i="9" s="1"/>
  <c r="I178" i="9"/>
  <c r="K141" i="9"/>
  <c r="H175" i="9"/>
  <c r="I120" i="9"/>
  <c r="I212" i="9" s="1"/>
  <c r="I124" i="9"/>
  <c r="I216" i="9" s="1"/>
  <c r="H179" i="9"/>
  <c r="I115" i="9"/>
  <c r="I207" i="9" s="1"/>
  <c r="H170" i="9"/>
  <c r="H173" i="9"/>
  <c r="I118" i="9"/>
  <c r="I210" i="9" s="1"/>
  <c r="K122" i="9"/>
  <c r="K214" i="9" s="1"/>
  <c r="I171" i="9"/>
  <c r="J116" i="9"/>
  <c r="J208" i="9" s="1"/>
  <c r="K134" i="9"/>
  <c r="K152" i="9" s="1"/>
  <c r="H10" i="9"/>
  <c r="K113" i="9"/>
  <c r="K205" i="9" s="1"/>
  <c r="K121" i="9"/>
  <c r="K213" i="9" s="1"/>
  <c r="I7" i="9"/>
  <c r="I167" i="9"/>
  <c r="J112" i="9"/>
  <c r="J204" i="9" s="1"/>
  <c r="K130" i="9"/>
  <c r="K148" i="9" s="1"/>
  <c r="I6" i="9"/>
  <c r="F11" i="4"/>
  <c r="G7" i="4" s="1"/>
  <c r="H7" i="4" s="1"/>
  <c r="I7" i="4" s="1"/>
  <c r="G9" i="4"/>
  <c r="G8" i="4"/>
  <c r="B22" i="2"/>
  <c r="D22" i="2"/>
  <c r="E22" i="2"/>
  <c r="F22" i="2"/>
  <c r="G22" i="2"/>
  <c r="C22" i="2"/>
  <c r="F70" i="9" l="1"/>
  <c r="F72" i="9" s="1"/>
  <c r="E76" i="9"/>
  <c r="F59" i="9"/>
  <c r="M374" i="9"/>
  <c r="L288" i="9"/>
  <c r="L411" i="9"/>
  <c r="K295" i="9"/>
  <c r="K410" i="9"/>
  <c r="J294" i="9"/>
  <c r="L391" i="9"/>
  <c r="M373" i="9"/>
  <c r="L287" i="9"/>
  <c r="K414" i="9"/>
  <c r="L386" i="9"/>
  <c r="J298" i="9"/>
  <c r="L395" i="9"/>
  <c r="K384" i="9"/>
  <c r="J412" i="9"/>
  <c r="J415" i="9" s="1"/>
  <c r="I296" i="9"/>
  <c r="I299" i="9" s="1"/>
  <c r="M370" i="9"/>
  <c r="L284" i="9"/>
  <c r="I423" i="9"/>
  <c r="I425" i="9"/>
  <c r="I421" i="9"/>
  <c r="L399" i="9"/>
  <c r="K321" i="9"/>
  <c r="I426" i="9"/>
  <c r="K297" i="9"/>
  <c r="L413" i="9"/>
  <c r="L424" i="9"/>
  <c r="M372" i="9"/>
  <c r="L286" i="9"/>
  <c r="K293" i="9"/>
  <c r="L409" i="9"/>
  <c r="L354" i="9"/>
  <c r="J247" i="9"/>
  <c r="I276" i="9"/>
  <c r="H427" i="9"/>
  <c r="M369" i="9"/>
  <c r="L283" i="9"/>
  <c r="L353" i="9"/>
  <c r="L403" i="9"/>
  <c r="K325" i="9"/>
  <c r="L401" i="9"/>
  <c r="K323" i="9"/>
  <c r="M371" i="9"/>
  <c r="L285" i="9"/>
  <c r="I422" i="9"/>
  <c r="I424" i="9"/>
  <c r="K254" i="9"/>
  <c r="J274" i="9"/>
  <c r="H219" i="9"/>
  <c r="K257" i="9"/>
  <c r="K266" i="9" s="1"/>
  <c r="J277" i="9"/>
  <c r="J275" i="9"/>
  <c r="K255" i="9"/>
  <c r="K264" i="9" s="1"/>
  <c r="I279" i="9"/>
  <c r="K253" i="9"/>
  <c r="K262" i="9" s="1"/>
  <c r="J273" i="9"/>
  <c r="H182" i="9"/>
  <c r="I209" i="9"/>
  <c r="J117" i="9"/>
  <c r="K135" i="9"/>
  <c r="K153" i="9" s="1"/>
  <c r="I172" i="9"/>
  <c r="K112" i="9"/>
  <c r="K204" i="9" s="1"/>
  <c r="K125" i="9"/>
  <c r="K217" i="9" s="1"/>
  <c r="I218" i="9"/>
  <c r="I181" i="9"/>
  <c r="J126" i="9"/>
  <c r="K144" i="9"/>
  <c r="K162" i="9" s="1"/>
  <c r="K119" i="9"/>
  <c r="K211" i="9" s="1"/>
  <c r="I170" i="9"/>
  <c r="J115" i="9"/>
  <c r="J207" i="9" s="1"/>
  <c r="K133" i="9"/>
  <c r="K151" i="9" s="1"/>
  <c r="J167" i="9"/>
  <c r="K159" i="9"/>
  <c r="K123" i="9"/>
  <c r="K215" i="9" s="1"/>
  <c r="K176" i="9"/>
  <c r="K177" i="9"/>
  <c r="K138" i="9"/>
  <c r="K156" i="9" s="1"/>
  <c r="I175" i="9"/>
  <c r="J120" i="9"/>
  <c r="J212" i="9" s="1"/>
  <c r="J114" i="9"/>
  <c r="J206" i="9" s="1"/>
  <c r="K132" i="9"/>
  <c r="K150" i="9" s="1"/>
  <c r="I169" i="9"/>
  <c r="J118" i="9"/>
  <c r="J210" i="9" s="1"/>
  <c r="K136" i="9"/>
  <c r="K154" i="9" s="1"/>
  <c r="I173" i="9"/>
  <c r="I179" i="9"/>
  <c r="J124" i="9"/>
  <c r="J216" i="9" s="1"/>
  <c r="K142" i="9"/>
  <c r="K160" i="9" s="1"/>
  <c r="K168" i="9"/>
  <c r="J171" i="9"/>
  <c r="J178" i="9"/>
  <c r="J174" i="9"/>
  <c r="I10" i="9"/>
  <c r="K116" i="9"/>
  <c r="K208" i="9" s="1"/>
  <c r="P9" i="4"/>
  <c r="Q9" i="4" s="1"/>
  <c r="N9" i="4"/>
  <c r="N8" i="4"/>
  <c r="P8" i="4" s="1"/>
  <c r="Q8" i="4" s="1"/>
  <c r="Q11" i="4" s="1"/>
  <c r="P7" i="4"/>
  <c r="Q7" i="4" s="1"/>
  <c r="N7" i="4"/>
  <c r="H9" i="4"/>
  <c r="I9" i="4" s="1"/>
  <c r="H8" i="4"/>
  <c r="I8" i="4" s="1"/>
  <c r="L355" i="9" l="1"/>
  <c r="F75" i="9"/>
  <c r="F76" i="9" s="1"/>
  <c r="F82" i="9"/>
  <c r="F85" i="9" s="1"/>
  <c r="K115" i="9"/>
  <c r="K207" i="9" s="1"/>
  <c r="K246" i="9"/>
  <c r="K275" i="9" s="1"/>
  <c r="M376" i="9"/>
  <c r="J421" i="9"/>
  <c r="J423" i="9"/>
  <c r="J425" i="9"/>
  <c r="J422" i="9"/>
  <c r="J426" i="9"/>
  <c r="K298" i="9"/>
  <c r="L414" i="9"/>
  <c r="L425" i="9"/>
  <c r="L400" i="9"/>
  <c r="K322" i="9"/>
  <c r="L393" i="9"/>
  <c r="L384" i="9" s="1"/>
  <c r="K412" i="9"/>
  <c r="J296" i="9"/>
  <c r="J299" i="9" s="1"/>
  <c r="L382" i="9"/>
  <c r="I427" i="9"/>
  <c r="L422" i="9"/>
  <c r="L404" i="9"/>
  <c r="K326" i="9"/>
  <c r="L289" i="9"/>
  <c r="L290" i="9" s="1"/>
  <c r="J276" i="9"/>
  <c r="J279" i="9" s="1"/>
  <c r="K256" i="9"/>
  <c r="K265" i="9" s="1"/>
  <c r="J424" i="9"/>
  <c r="L426" i="9"/>
  <c r="K180" i="9"/>
  <c r="K120" i="9"/>
  <c r="K212" i="9" s="1"/>
  <c r="K248" i="9"/>
  <c r="K277" i="9" s="1"/>
  <c r="K263" i="9"/>
  <c r="K268" i="9" s="1"/>
  <c r="K245" i="9"/>
  <c r="K274" i="9" s="1"/>
  <c r="K244" i="9"/>
  <c r="K273" i="9" s="1"/>
  <c r="K167" i="9"/>
  <c r="K163" i="9"/>
  <c r="I219" i="9"/>
  <c r="K126" i="9"/>
  <c r="K218" i="9" s="1"/>
  <c r="K114" i="9"/>
  <c r="K206" i="9" s="1"/>
  <c r="J218" i="9"/>
  <c r="J181" i="9"/>
  <c r="J209" i="9"/>
  <c r="J172" i="9"/>
  <c r="K124" i="9"/>
  <c r="K216" i="9" s="1"/>
  <c r="I182" i="9"/>
  <c r="K174" i="9"/>
  <c r="K117" i="9"/>
  <c r="J169" i="9"/>
  <c r="K170" i="9"/>
  <c r="K178" i="9"/>
  <c r="J179" i="9"/>
  <c r="J175" i="9"/>
  <c r="J170" i="9"/>
  <c r="K171" i="9"/>
  <c r="J173" i="9"/>
  <c r="K175" i="9"/>
  <c r="K118" i="9"/>
  <c r="K210" i="9" s="1"/>
  <c r="I11" i="4"/>
  <c r="I12" i="4" s="1"/>
  <c r="Q12" i="4" s="1"/>
  <c r="G59" i="9" l="1"/>
  <c r="G70" i="9"/>
  <c r="G72" i="9" s="1"/>
  <c r="G75" i="9" s="1"/>
  <c r="G76" i="9" s="1"/>
  <c r="K415" i="9"/>
  <c r="K247" i="9"/>
  <c r="K276" i="9" s="1"/>
  <c r="K279" i="9" s="1"/>
  <c r="L410" i="9"/>
  <c r="L415" i="9" s="1"/>
  <c r="K294" i="9"/>
  <c r="L421" i="9"/>
  <c r="L402" i="9"/>
  <c r="L405" i="9" s="1"/>
  <c r="K324" i="9"/>
  <c r="K327" i="9" s="1"/>
  <c r="L423" i="9"/>
  <c r="L412" i="9"/>
  <c r="K296" i="9"/>
  <c r="J427" i="9"/>
  <c r="K181" i="9"/>
  <c r="K169" i="9"/>
  <c r="J219" i="9"/>
  <c r="K179" i="9"/>
  <c r="K209" i="9"/>
  <c r="K219" i="9" s="1"/>
  <c r="K172" i="9"/>
  <c r="K173" i="9"/>
  <c r="J182" i="9"/>
  <c r="G82" i="9" l="1"/>
  <c r="G85" i="9" s="1"/>
  <c r="H59" i="9"/>
  <c r="H70" i="9"/>
  <c r="H72" i="9" s="1"/>
  <c r="H82" i="9" s="1"/>
  <c r="H85" i="9" s="1"/>
  <c r="K299" i="9"/>
  <c r="K423" i="9"/>
  <c r="L361" i="9" s="1"/>
  <c r="K421" i="9"/>
  <c r="K425" i="9"/>
  <c r="L363" i="9" s="1"/>
  <c r="K426" i="9"/>
  <c r="L364" i="9" s="1"/>
  <c r="K422" i="9"/>
  <c r="L360" i="9" s="1"/>
  <c r="K424" i="9"/>
  <c r="L362" i="9" s="1"/>
  <c r="L427" i="9"/>
  <c r="K182" i="9"/>
  <c r="H75" i="9" l="1"/>
  <c r="I70" i="9" s="1"/>
  <c r="I72" i="9" s="1"/>
  <c r="I82" i="9" s="1"/>
  <c r="I85" i="9" s="1"/>
  <c r="L359" i="9"/>
  <c r="L365" i="9" s="1"/>
  <c r="K427" i="9"/>
  <c r="I59" i="9" l="1"/>
  <c r="I75" i="9" s="1"/>
  <c r="I76" i="9" s="1"/>
  <c r="H76" i="9"/>
  <c r="J59" i="9" l="1"/>
  <c r="J70" i="9"/>
  <c r="J72" i="9" s="1"/>
  <c r="J82" i="9" s="1"/>
  <c r="J85" i="9" s="1"/>
  <c r="J75" i="9" l="1"/>
  <c r="K59" i="9" l="1"/>
  <c r="K71" i="9"/>
  <c r="K70" i="9"/>
  <c r="K72" i="9" s="1"/>
  <c r="E78" i="9" s="1"/>
  <c r="J76" i="9"/>
  <c r="K74" i="9" l="1"/>
  <c r="K75" i="9"/>
  <c r="K82" i="9"/>
  <c r="K85" i="9" s="1"/>
  <c r="E87" i="9" s="1"/>
</calcChain>
</file>

<file path=xl/sharedStrings.xml><?xml version="1.0" encoding="utf-8"?>
<sst xmlns="http://schemas.openxmlformats.org/spreadsheetml/2006/main" count="684" uniqueCount="306">
  <si>
    <t>Year</t>
  </si>
  <si>
    <t>ROR</t>
  </si>
  <si>
    <t xml:space="preserve">  Total</t>
  </si>
  <si>
    <t>Observations=</t>
  </si>
  <si>
    <t>n</t>
  </si>
  <si>
    <t>Average =</t>
  </si>
  <si>
    <t>Total ROR / n</t>
  </si>
  <si>
    <t>Variance =</t>
  </si>
  <si>
    <t>Standard Dev.=</t>
  </si>
  <si>
    <t>Deviation to return
(X-Avg(X))</t>
  </si>
  <si>
    <t>Net CF ($)</t>
  </si>
  <si>
    <t>1 = + (-0.1 / (1+IRR) + (-0.5 / (1+ IRR) ^2 + (0.8 / (1+ IRR)^3) + (1.0 / (1+IRR)^4</t>
  </si>
  <si>
    <t>Excel</t>
  </si>
  <si>
    <t>IRR</t>
  </si>
  <si>
    <t>Internal Rate of Return (IRR)</t>
  </si>
  <si>
    <t>HISTORICAL RETURN ANALYSIS</t>
  </si>
  <si>
    <t>PORTOLIO A</t>
  </si>
  <si>
    <t>PORTOLIO B</t>
  </si>
  <si>
    <t>=IRR(B11:F11)</t>
  </si>
  <si>
    <t>B</t>
  </si>
  <si>
    <t>C</t>
  </si>
  <si>
    <t>D</t>
  </si>
  <si>
    <t>E</t>
  </si>
  <si>
    <t>F</t>
  </si>
  <si>
    <t>Stocks (s)</t>
  </si>
  <si>
    <t>Bonds (b)</t>
  </si>
  <si>
    <r>
      <t xml:space="preserve">Scenario 
</t>
    </r>
    <r>
      <rPr>
        <b/>
        <sz val="14"/>
        <rFont val="Arial"/>
        <family val="2"/>
      </rPr>
      <t>(S)</t>
    </r>
  </si>
  <si>
    <r>
      <t xml:space="preserve">Probability
</t>
    </r>
    <r>
      <rPr>
        <b/>
        <sz val="14"/>
        <rFont val="Arial"/>
        <family val="2"/>
      </rPr>
      <t>(p)</t>
    </r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</si>
  <si>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s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</si>
  <si>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s
%</t>
    </r>
  </si>
  <si>
    <t>Deviation for Exp. Ret.
(Dev.)</t>
  </si>
  <si>
    <t>Square Deviation
(SD)
Dev^2</t>
  </si>
  <si>
    <t>p * SD</t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</si>
  <si>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b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</si>
  <si>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b
%</t>
    </r>
  </si>
  <si>
    <t>Recession (Sr)</t>
  </si>
  <si>
    <t>Normal (Sn)</t>
  </si>
  <si>
    <t>Boom (Sb)</t>
  </si>
  <si>
    <t>%</t>
  </si>
  <si>
    <t>Variance=</t>
  </si>
  <si>
    <t>PORTFOLIO ANALYSIS (Asset Allocation)</t>
  </si>
  <si>
    <t>Asset Allocation</t>
  </si>
  <si>
    <t>Stocks (Deviation from the mean)</t>
  </si>
  <si>
    <t>Bonds (Deviation from the mean)</t>
  </si>
  <si>
    <t>Ds * Db</t>
  </si>
  <si>
    <t>Covariance
 [p * (Ds*Db)</t>
  </si>
  <si>
    <t>Covariance=</t>
  </si>
  <si>
    <t>Correlation Coefficient =</t>
  </si>
  <si>
    <t>SCENARIO PERFROMANCE ANALYSIS</t>
  </si>
  <si>
    <t>Recession</t>
  </si>
  <si>
    <t>Normal</t>
  </si>
  <si>
    <t>Boom</t>
  </si>
  <si>
    <r>
      <t xml:space="preserve">Economic
Scenario 
</t>
    </r>
    <r>
      <rPr>
        <b/>
        <sz val="14"/>
        <rFont val="Arial"/>
        <family val="2"/>
      </rPr>
      <t>(S)</t>
    </r>
  </si>
  <si>
    <t>Stocks (Ws) =</t>
  </si>
  <si>
    <t>Bonds (Wb) =</t>
  </si>
  <si>
    <r>
      <t>(Ws * r</t>
    </r>
    <r>
      <rPr>
        <b/>
        <sz val="10"/>
        <rFont val="Arial"/>
        <family val="2"/>
      </rPr>
      <t>s</t>
    </r>
    <r>
      <rPr>
        <b/>
        <sz val="14"/>
        <rFont val="Arial"/>
        <family val="2"/>
      </rPr>
      <t>) + (Wb * r</t>
    </r>
    <r>
      <rPr>
        <b/>
        <sz val="10"/>
        <rFont val="Arial"/>
        <family val="2"/>
      </rPr>
      <t>b</t>
    </r>
    <r>
      <rPr>
        <b/>
        <sz val="14"/>
        <rFont val="Arial"/>
        <family val="2"/>
      </rPr>
      <t>)</t>
    </r>
  </si>
  <si>
    <t>Weights (W%)</t>
  </si>
  <si>
    <t>STOCK PORTFOLIO</t>
  </si>
  <si>
    <t>Stock Prices</t>
  </si>
  <si>
    <t>Symbol</t>
  </si>
  <si>
    <t>Company Name</t>
  </si>
  <si>
    <t>Industry</t>
  </si>
  <si>
    <t>ABC</t>
  </si>
  <si>
    <t>ABC Chem Inc</t>
  </si>
  <si>
    <t>Chemicals</t>
  </si>
  <si>
    <t>BCD</t>
  </si>
  <si>
    <t>BCD  Precision Inc</t>
  </si>
  <si>
    <t>Industrial</t>
  </si>
  <si>
    <t>CDE</t>
  </si>
  <si>
    <t>CDE Inc</t>
  </si>
  <si>
    <t>Publishing</t>
  </si>
  <si>
    <t>DEF</t>
  </si>
  <si>
    <t>DEF Inc</t>
  </si>
  <si>
    <t>Hospitality</t>
  </si>
  <si>
    <t>EFG</t>
  </si>
  <si>
    <t>Effective Inc</t>
  </si>
  <si>
    <t>TV/Cable</t>
  </si>
  <si>
    <t>FGH</t>
  </si>
  <si>
    <t>FGH Inc</t>
  </si>
  <si>
    <t>Techonlogy</t>
  </si>
  <si>
    <t>GHI</t>
  </si>
  <si>
    <t>General HI</t>
  </si>
  <si>
    <t>Service</t>
  </si>
  <si>
    <t>HIK</t>
  </si>
  <si>
    <t>Hicks Kental Inc</t>
  </si>
  <si>
    <t>Retail</t>
  </si>
  <si>
    <t>IKL</t>
  </si>
  <si>
    <t>IKL Inc</t>
  </si>
  <si>
    <t>Pharmaceutical</t>
  </si>
  <si>
    <t>KLM</t>
  </si>
  <si>
    <t>KLM Health</t>
  </si>
  <si>
    <t>Healthcare</t>
  </si>
  <si>
    <t>LMN</t>
  </si>
  <si>
    <t>LMN Hotel &amp; Resorts</t>
  </si>
  <si>
    <t>MNO</t>
  </si>
  <si>
    <t>MNO Cable Inc</t>
  </si>
  <si>
    <t>NOP</t>
  </si>
  <si>
    <t>Norton Optimum</t>
  </si>
  <si>
    <t>OPQ</t>
  </si>
  <si>
    <t>Odyssea PQ Inc</t>
  </si>
  <si>
    <t>PQR</t>
  </si>
  <si>
    <t>PQR Chemicals</t>
  </si>
  <si>
    <t>Buy/Sell Stock</t>
  </si>
  <si>
    <t>Buy/Sell</t>
  </si>
  <si>
    <t>Total Value</t>
  </si>
  <si>
    <t>Dividends</t>
  </si>
  <si>
    <t>Total Dividends</t>
  </si>
  <si>
    <t>PORTFOLIO OF STOCKS AND BONDS</t>
  </si>
  <si>
    <t>Amount</t>
  </si>
  <si>
    <t>% Cap</t>
  </si>
  <si>
    <t>Stock Purchase</t>
  </si>
  <si>
    <t>Investor's Cash</t>
  </si>
  <si>
    <t>Bond Purchase</t>
  </si>
  <si>
    <t>Accrued Interest</t>
  </si>
  <si>
    <t>Cash</t>
  </si>
  <si>
    <t>Total Sources</t>
  </si>
  <si>
    <t>Total Uses</t>
  </si>
  <si>
    <t>Portfolio Loan</t>
  </si>
  <si>
    <t>Interest
Rate</t>
  </si>
  <si>
    <t xml:space="preserve"> Interest
Rate</t>
  </si>
  <si>
    <t>ZEUS Fund I</t>
  </si>
  <si>
    <t xml:space="preserve"> % Cap</t>
  </si>
  <si>
    <t>USES ($ 000's)</t>
  </si>
  <si>
    <t>SOURCES ($ 000's)</t>
  </si>
  <si>
    <t>TOTAL SOURCES &amp; USES (June 1, 20xx)</t>
  </si>
  <si>
    <t>June 1
20x1</t>
  </si>
  <si>
    <t>July 1
20x1</t>
  </si>
  <si>
    <t>Aug 1
20x1</t>
  </si>
  <si>
    <t>Sep 1
20x1</t>
  </si>
  <si>
    <t>Oct 1
20x1</t>
  </si>
  <si>
    <t>Nov 1
20x1</t>
  </si>
  <si>
    <t>Dec 1
20x1</t>
  </si>
  <si>
    <t>Jan 2
20x2</t>
  </si>
  <si>
    <t>Number of Shares own (000's)</t>
  </si>
  <si>
    <t>Buy/Sell Stock (000's)</t>
  </si>
  <si>
    <t>Buy/Sell ($000's)</t>
  </si>
  <si>
    <t xml:space="preserve">Total Sale/Purchases Cash Flow </t>
  </si>
  <si>
    <t>Total Value ($000's)</t>
  </si>
  <si>
    <t>Dividends ($ 000's)</t>
  </si>
  <si>
    <t>BOND PORTFOLIO</t>
  </si>
  <si>
    <t>INFORMATION</t>
  </si>
  <si>
    <t>Moody's Rating</t>
  </si>
  <si>
    <t>Coupon Rate</t>
  </si>
  <si>
    <t>First Coupon  Payment</t>
  </si>
  <si>
    <t>Second Coupon Payment</t>
  </si>
  <si>
    <t>Annual Coupon Payment</t>
  </si>
  <si>
    <t>Weighted Average Coupon Pmt</t>
  </si>
  <si>
    <t>AAA</t>
  </si>
  <si>
    <t>Alpha Inc.</t>
  </si>
  <si>
    <t>BB-</t>
  </si>
  <si>
    <t>Ba2</t>
  </si>
  <si>
    <t>BBB</t>
  </si>
  <si>
    <t>Beta Inc.</t>
  </si>
  <si>
    <t>BB+</t>
  </si>
  <si>
    <t>Ba1</t>
  </si>
  <si>
    <t>CCC</t>
  </si>
  <si>
    <t>CC Corporation</t>
  </si>
  <si>
    <t>B2</t>
  </si>
  <si>
    <t>DDD</t>
  </si>
  <si>
    <t>Delta D Inc.</t>
  </si>
  <si>
    <t>Baa2</t>
  </si>
  <si>
    <t>EEE</t>
  </si>
  <si>
    <t>Epsilon Inc</t>
  </si>
  <si>
    <t>Technology</t>
  </si>
  <si>
    <t>BB</t>
  </si>
  <si>
    <t>Ba3</t>
  </si>
  <si>
    <t>FFF</t>
  </si>
  <si>
    <t>Fusbol For Friends</t>
  </si>
  <si>
    <t>CCC+</t>
  </si>
  <si>
    <t>Caa1</t>
  </si>
  <si>
    <t>Total =</t>
  </si>
  <si>
    <t xml:space="preserve">  Average CR=</t>
  </si>
  <si>
    <t>Annual Coupon Pmts=</t>
  </si>
  <si>
    <t>Bond Prices</t>
  </si>
  <si>
    <t>WA 9/17</t>
  </si>
  <si>
    <t>Portfolio Pricing</t>
  </si>
  <si>
    <t>Coupon Payments</t>
  </si>
  <si>
    <t>Bonds Own</t>
  </si>
  <si>
    <t>Total Buy/Sale Proceeds</t>
  </si>
  <si>
    <t>Value of Bonds</t>
  </si>
  <si>
    <t>Bloomberg Barclays US Aggregate Bond Index (A/K Lehman)</t>
  </si>
  <si>
    <t>Weighted Average Value</t>
  </si>
  <si>
    <t xml:space="preserve"> Total Weight</t>
  </si>
  <si>
    <t>Coupon Payment</t>
  </si>
  <si>
    <t>Coupon Dates</t>
  </si>
  <si>
    <t>Annual</t>
  </si>
  <si>
    <t>Days Since Coupon Paid</t>
  </si>
  <si>
    <t>Acrued Interest calculated</t>
  </si>
  <si>
    <t>Acrued Interest</t>
  </si>
  <si>
    <t>Total Accrued Interest</t>
  </si>
  <si>
    <t>Bonds Own (000's)</t>
  </si>
  <si>
    <t>Total Stock Value ($000's)</t>
  </si>
  <si>
    <t>Total Bond Value ($000's)</t>
  </si>
  <si>
    <t>Current Yields</t>
  </si>
  <si>
    <t>Coupon Annual Payments</t>
  </si>
  <si>
    <t>Remaining Years to Maturity</t>
  </si>
  <si>
    <t>Maturity</t>
  </si>
  <si>
    <t>Duration</t>
  </si>
  <si>
    <t>WA Duration 9/17</t>
  </si>
  <si>
    <t>Maturity 
Date</t>
  </si>
  <si>
    <t>Face 
Value</t>
  </si>
  <si>
    <t>S&amp;P 
Rating</t>
  </si>
  <si>
    <t>BOND INFORMATION</t>
  </si>
  <si>
    <t>ENTRY</t>
  </si>
  <si>
    <t>EXIT</t>
  </si>
  <si>
    <t>CASH FLOWS</t>
  </si>
  <si>
    <t>MONTHLY IRR</t>
  </si>
  <si>
    <t>Beginning Cash</t>
  </si>
  <si>
    <t>Buy/Sell Bonds</t>
  </si>
  <si>
    <t>Stock Dividends</t>
  </si>
  <si>
    <t>Bond Coupon Received</t>
  </si>
  <si>
    <t>Acrued Interest (paid)/Received</t>
  </si>
  <si>
    <t>Loan Principal Increase/Decrease</t>
  </si>
  <si>
    <t>Loan Interest Payment</t>
  </si>
  <si>
    <t>Cash Balance Interest Income</t>
  </si>
  <si>
    <t>Total Cash Flows</t>
  </si>
  <si>
    <t>Use of cash</t>
  </si>
  <si>
    <t>% of Cash to total Value</t>
  </si>
  <si>
    <t xml:space="preserve">HPR (Levered) = </t>
  </si>
  <si>
    <t>Unlevered Return Calculation:</t>
  </si>
  <si>
    <t xml:space="preserve"> Addback Loan Principal</t>
  </si>
  <si>
    <t xml:space="preserve"> Addback Loan Interest</t>
  </si>
  <si>
    <t>Unlevered Cash Flow</t>
  </si>
  <si>
    <t xml:space="preserve">HPR (UnLevered) = </t>
  </si>
  <si>
    <t>Total Cash Flows (Levered)</t>
  </si>
  <si>
    <t>Dollar Weighted Return (Even Annual Payments)</t>
  </si>
  <si>
    <t>Dollar Weighted Return (Uneven Annual Payments</t>
  </si>
  <si>
    <r>
      <t>SD (</t>
    </r>
    <r>
      <rPr>
        <b/>
        <sz val="10"/>
        <rFont val="Calibri"/>
        <family val="2"/>
      </rPr>
      <t>σ</t>
    </r>
    <r>
      <rPr>
        <b/>
        <sz val="10"/>
        <rFont val="Arial"/>
        <family val="2"/>
      </rPr>
      <t>)=</t>
    </r>
  </si>
  <si>
    <t>Exp. Ret =</t>
  </si>
  <si>
    <t>COVARIANCE &amp; CORRELATION BETWEEN STOCKS AND BONDS</t>
  </si>
  <si>
    <t>INITIAL PURCHASE</t>
  </si>
  <si>
    <t>SUMMARY CASH FLOW</t>
  </si>
  <si>
    <t>INPUT</t>
  </si>
  <si>
    <t>Time Value of Money Concepts</t>
  </si>
  <si>
    <r>
      <t>Initial Investment (CF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)=</t>
    </r>
  </si>
  <si>
    <t>Interest Rate (i) =</t>
  </si>
  <si>
    <t>OUTPUT</t>
  </si>
  <si>
    <t>YR 0</t>
  </si>
  <si>
    <t>YR 1</t>
  </si>
  <si>
    <t>YR 2</t>
  </si>
  <si>
    <t>YR 3</t>
  </si>
  <si>
    <t>Cash Flow Time Line:</t>
  </si>
  <si>
    <t>PV</t>
  </si>
  <si>
    <t>FV</t>
  </si>
  <si>
    <t>?</t>
  </si>
  <si>
    <t>Step-by-Step Approach</t>
  </si>
  <si>
    <t xml:space="preserve"> Growth 1st Year</t>
  </si>
  <si>
    <t xml:space="preserve"> Growth 2nd Year</t>
  </si>
  <si>
    <t xml:space="preserve"> Growth 3rd Year</t>
  </si>
  <si>
    <t>Initial Investment 0 Year</t>
  </si>
  <si>
    <t>Formual Approach:</t>
  </si>
  <si>
    <r>
      <t>FV = PV (1+i)</t>
    </r>
    <r>
      <rPr>
        <b/>
        <vertAlign val="superscript"/>
        <sz val="11"/>
        <color theme="1"/>
        <rFont val="Calibri"/>
        <family val="2"/>
        <scheme val="minor"/>
      </rPr>
      <t>n</t>
    </r>
  </si>
  <si>
    <t>Excel Approach</t>
  </si>
  <si>
    <t>=FV(rate, nper, pmt, pv, type)</t>
  </si>
  <si>
    <r>
      <t>Future Investment (CF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)=</t>
    </r>
  </si>
  <si>
    <r>
      <t>PV = FV / (1+i)</t>
    </r>
    <r>
      <rPr>
        <b/>
        <vertAlign val="superscript"/>
        <sz val="11"/>
        <color theme="1"/>
        <rFont val="Calibri"/>
        <family val="2"/>
        <scheme val="minor"/>
      </rPr>
      <t>n</t>
    </r>
  </si>
  <si>
    <t>=PV(rate, nper, pmt, fv, type)</t>
  </si>
  <si>
    <t>FUTURE VALUE CALCULATIONS (One -time lump sum)</t>
  </si>
  <si>
    <t>PRESENT VALUE CALCULATIONS (one-time lump sum)</t>
  </si>
  <si>
    <t>FUTURE VALUE CALCULATIONS (Annuity)</t>
  </si>
  <si>
    <t>Payment  (PMT)=</t>
  </si>
  <si>
    <t>PRESENT VALUE CALCULATIONS (Annuity)</t>
  </si>
  <si>
    <t xml:space="preserve">  Total </t>
  </si>
  <si>
    <t>FV ?</t>
  </si>
  <si>
    <t>FV =</t>
  </si>
  <si>
    <t>PV =</t>
  </si>
  <si>
    <t>years</t>
  </si>
  <si>
    <t>Calculate the Interest Rate (i)</t>
  </si>
  <si>
    <t>No. of Periods (t) =</t>
  </si>
  <si>
    <t>t =</t>
  </si>
  <si>
    <r>
      <t>(1+i)</t>
    </r>
    <r>
      <rPr>
        <b/>
        <vertAlign val="super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FV / PV</t>
    </r>
  </si>
  <si>
    <r>
      <t>FV = PV (1+i)</t>
    </r>
    <r>
      <rPr>
        <b/>
        <vertAlign val="superscript"/>
        <sz val="11"/>
        <color theme="1"/>
        <rFont val="Calibri"/>
        <family val="2"/>
        <scheme val="minor"/>
      </rPr>
      <t>t</t>
    </r>
  </si>
  <si>
    <r>
      <t>FVA = PMT   x [(1+i)</t>
    </r>
    <r>
      <rPr>
        <b/>
        <vertAlign val="super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- 1] / i</t>
    </r>
  </si>
  <si>
    <r>
      <t>PVA = PMT x [1 - (1/(1+i)</t>
    </r>
    <r>
      <rPr>
        <b/>
        <vertAlign val="super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] / i</t>
    </r>
  </si>
  <si>
    <t>i =</t>
  </si>
  <si>
    <t>t = [ln(FV/PV)] / [ln (1+i)]</t>
  </si>
  <si>
    <t>yrs</t>
  </si>
  <si>
    <r>
      <t>i=(FV/PV)</t>
    </r>
    <r>
      <rPr>
        <b/>
        <vertAlign val="superscript"/>
        <sz val="11"/>
        <color theme="1"/>
        <rFont val="Calibri"/>
        <family val="2"/>
        <scheme val="minor"/>
      </rPr>
      <t>1/t</t>
    </r>
    <r>
      <rPr>
        <b/>
        <sz val="11"/>
        <color theme="1"/>
        <rFont val="Calibri"/>
        <family val="2"/>
        <scheme val="minor"/>
      </rPr>
      <t xml:space="preserve"> - 1</t>
    </r>
  </si>
  <si>
    <t>Calculate the (t)</t>
  </si>
  <si>
    <t>=RATE (nper, pmt, - pv, fv, type)</t>
  </si>
  <si>
    <t>6%, 3%, 5%</t>
  </si>
  <si>
    <t>FV1 =</t>
  </si>
  <si>
    <t>Total</t>
  </si>
  <si>
    <t xml:space="preserve">   or</t>
  </si>
  <si>
    <t>Geometric : Cummulative</t>
  </si>
  <si>
    <r>
      <t xml:space="preserve">Calculate </t>
    </r>
    <r>
      <rPr>
        <b/>
        <u/>
        <sz val="14"/>
        <color rgb="FFFF0000"/>
        <rFont val="Calibri"/>
        <family val="2"/>
        <scheme val="minor"/>
      </rPr>
      <t>uneven</t>
    </r>
    <r>
      <rPr>
        <b/>
        <sz val="14"/>
        <color rgb="FFFF0000"/>
        <rFont val="Calibri"/>
        <family val="2"/>
        <scheme val="minor"/>
      </rPr>
      <t xml:space="preserve"> Interest Rate (i)</t>
    </r>
  </si>
  <si>
    <t xml:space="preserve">HPR = </t>
  </si>
  <si>
    <t>Average=</t>
  </si>
  <si>
    <t xml:space="preserve"> over 3 years</t>
  </si>
  <si>
    <t>Geometric=</t>
  </si>
  <si>
    <t>FV=</t>
  </si>
  <si>
    <t>Arithmetic=</t>
  </si>
  <si>
    <t>Other Average</t>
  </si>
  <si>
    <t>(FV/PV)^(1/i)</t>
  </si>
  <si>
    <r>
      <t>(i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+i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+i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)/t</t>
    </r>
  </si>
  <si>
    <r>
      <t>[(1+i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)(1+i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)(1+i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)…(1+r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)]^(1/t) - 1</t>
    </r>
  </si>
  <si>
    <r>
      <t xml:space="preserve"> PV (1+ i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 (1+ i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+ (1+ i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</si>
  <si>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Arithmetic : Average Annual Return of I investinmg PV</t>
  </si>
  <si>
    <t>Future Value (FV) =</t>
  </si>
  <si>
    <t>Present Value (initial Invest)=</t>
  </si>
  <si>
    <t>Question: What is my return if invest PV today and expect to get FV in t years</t>
  </si>
  <si>
    <t>=nper(rate,pmt,-pv,fv,type)</t>
  </si>
  <si>
    <t xml:space="preserve"> Using Excel =Rate(nper,pmt,-pv,fv)</t>
  </si>
  <si>
    <t>Rate of Ret=</t>
  </si>
  <si>
    <t>SQR Deviation</t>
  </si>
  <si>
    <t>Sqr Dev/ (n - 1)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</si>
</sst>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_(* #,##0_);_(* \(#,##0\);_(* &quot;-&quot;??_);_(@_)"/>
    <numFmt numFmtId="167" formatCode="0.0000%"/>
    <numFmt numFmtId="168" formatCode="0.000"/>
    <numFmt numFmtId="169" formatCode="_(&quot;$&quot;* #,##0_);_(&quot;$&quot;* \(#,##0\);_(&quot;$&quot;* &quot;-&quot;??_);_(@_)"/>
    <numFmt numFmtId="170" formatCode="[$-409]d\-mmm\-yy;@"/>
    <numFmt numFmtId="171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B0F0"/>
      <name val="Arial"/>
      <family val="2"/>
    </font>
    <font>
      <b/>
      <sz val="12"/>
      <name val="Times New Roman"/>
      <family val="1"/>
    </font>
    <font>
      <b/>
      <sz val="12"/>
      <color rgb="FF00B0F0"/>
      <name val="Times New Roman"/>
      <family val="1"/>
    </font>
    <font>
      <b/>
      <i/>
      <sz val="12"/>
      <name val="Times New Roman"/>
      <family val="1"/>
    </font>
    <font>
      <b/>
      <sz val="10"/>
      <color rgb="FF00B0F0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color theme="4"/>
      <name val="Arial"/>
      <family val="2"/>
    </font>
    <font>
      <b/>
      <sz val="18"/>
      <color theme="1"/>
      <name val="Calibri"/>
      <family val="2"/>
      <scheme val="minor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5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166" fontId="0" fillId="0" borderId="0" xfId="1" applyNumberFormat="1" applyFont="1"/>
    <xf numFmtId="0" fontId="3" fillId="0" borderId="0" xfId="0" applyFont="1"/>
    <xf numFmtId="165" fontId="3" fillId="0" borderId="0" xfId="2" applyNumberFormat="1" applyFont="1"/>
    <xf numFmtId="165" fontId="0" fillId="0" borderId="0" xfId="2" applyNumberFormat="1" applyFont="1"/>
    <xf numFmtId="0" fontId="0" fillId="0" borderId="0" xfId="0" quotePrefix="1"/>
    <xf numFmtId="10" fontId="3" fillId="0" borderId="0" xfId="2" applyNumberFormat="1" applyFont="1"/>
    <xf numFmtId="0" fontId="0" fillId="0" borderId="2" xfId="0" applyBorder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/>
    <xf numFmtId="0" fontId="3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 applyBorder="1" applyAlignment="1">
      <alignment horizontal="center"/>
    </xf>
    <xf numFmtId="10" fontId="0" fillId="0" borderId="0" xfId="0" quotePrefix="1" applyNumberFormat="1" applyBorder="1" applyAlignment="1">
      <alignment horizontal="center"/>
    </xf>
    <xf numFmtId="10" fontId="13" fillId="0" borderId="0" xfId="0" quotePrefix="1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7" xfId="0" applyFill="1" applyBorder="1"/>
    <xf numFmtId="0" fontId="3" fillId="2" borderId="8" xfId="0" applyFont="1" applyFill="1" applyBorder="1" applyAlignment="1">
      <alignment horizontal="center"/>
    </xf>
    <xf numFmtId="10" fontId="0" fillId="0" borderId="8" xfId="0" quotePrefix="1" applyNumberFormat="1" applyBorder="1" applyAlignment="1">
      <alignment horizontal="center"/>
    </xf>
    <xf numFmtId="0" fontId="3" fillId="0" borderId="0" xfId="0" applyFont="1" applyFill="1"/>
    <xf numFmtId="0" fontId="14" fillId="4" borderId="0" xfId="0" applyFont="1" applyFill="1"/>
    <xf numFmtId="0" fontId="15" fillId="0" borderId="0" xfId="0" applyFont="1"/>
    <xf numFmtId="0" fontId="16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8" fillId="0" borderId="0" xfId="2" applyNumberFormat="1" applyFont="1" applyAlignment="1">
      <alignment horizontal="center"/>
    </xf>
    <xf numFmtId="0" fontId="8" fillId="0" borderId="0" xfId="0" applyFont="1"/>
    <xf numFmtId="2" fontId="8" fillId="0" borderId="0" xfId="0" applyNumberFormat="1" applyFont="1"/>
    <xf numFmtId="2" fontId="0" fillId="0" borderId="0" xfId="0" applyNumberFormat="1"/>
    <xf numFmtId="164" fontId="0" fillId="0" borderId="1" xfId="2" applyNumberFormat="1" applyFont="1" applyBorder="1" applyAlignment="1">
      <alignment horizontal="center"/>
    </xf>
    <xf numFmtId="2" fontId="3" fillId="2" borderId="1" xfId="0" applyNumberFormat="1" applyFont="1" applyFill="1" applyBorder="1"/>
    <xf numFmtId="0" fontId="3" fillId="0" borderId="0" xfId="0" applyFont="1" applyAlignment="1">
      <alignment horizontal="right"/>
    </xf>
    <xf numFmtId="2" fontId="3" fillId="0" borderId="10" xfId="0" applyNumberFormat="1" applyFont="1" applyBorder="1"/>
    <xf numFmtId="2" fontId="3" fillId="2" borderId="3" xfId="0" applyNumberFormat="1" applyFont="1" applyFill="1" applyBorder="1"/>
    <xf numFmtId="0" fontId="3" fillId="0" borderId="0" xfId="0" quotePrefix="1" applyFont="1"/>
    <xf numFmtId="0" fontId="0" fillId="0" borderId="11" xfId="0" applyBorder="1"/>
    <xf numFmtId="9" fontId="8" fillId="0" borderId="12" xfId="0" applyNumberFormat="1" applyFont="1" applyBorder="1" applyAlignment="1">
      <alignment horizontal="center"/>
    </xf>
    <xf numFmtId="9" fontId="0" fillId="0" borderId="0" xfId="0" applyNumberFormat="1"/>
    <xf numFmtId="0" fontId="0" fillId="0" borderId="13" xfId="0" applyBorder="1"/>
    <xf numFmtId="9" fontId="3" fillId="0" borderId="14" xfId="0" applyNumberFormat="1" applyFont="1" applyBorder="1" applyAlignment="1">
      <alignment horizontal="center"/>
    </xf>
    <xf numFmtId="0" fontId="17" fillId="5" borderId="15" xfId="0" applyFont="1" applyFill="1" applyBorder="1" applyAlignment="1">
      <alignment horizontal="centerContinuous"/>
    </xf>
    <xf numFmtId="0" fontId="3" fillId="5" borderId="16" xfId="0" applyFont="1" applyFill="1" applyBorder="1" applyAlignment="1">
      <alignment horizontal="centerContinuous"/>
    </xf>
    <xf numFmtId="0" fontId="0" fillId="5" borderId="4" xfId="0" applyFill="1" applyBorder="1" applyAlignment="1">
      <alignment horizontal="centerContinuous"/>
    </xf>
    <xf numFmtId="0" fontId="0" fillId="0" borderId="0" xfId="0" applyFill="1"/>
    <xf numFmtId="0" fontId="0" fillId="0" borderId="16" xfId="0" applyBorder="1"/>
    <xf numFmtId="164" fontId="0" fillId="0" borderId="0" xfId="2" applyNumberFormat="1" applyFont="1" applyAlignment="1">
      <alignment horizontal="center"/>
    </xf>
    <xf numFmtId="0" fontId="3" fillId="2" borderId="2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0" fontId="18" fillId="0" borderId="0" xfId="0" applyFont="1"/>
    <xf numFmtId="0" fontId="19" fillId="4" borderId="0" xfId="0" applyFont="1" applyFill="1"/>
    <xf numFmtId="0" fontId="19" fillId="4" borderId="0" xfId="0" applyFont="1" applyFill="1" applyAlignment="1">
      <alignment horizontal="left"/>
    </xf>
    <xf numFmtId="10" fontId="19" fillId="4" borderId="0" xfId="2" applyNumberFormat="1" applyFont="1" applyFill="1"/>
    <xf numFmtId="0" fontId="0" fillId="0" borderId="0" xfId="0" applyAlignment="1">
      <alignment horizontal="left"/>
    </xf>
    <xf numFmtId="10" fontId="0" fillId="0" borderId="0" xfId="2" applyNumberFormat="1" applyFont="1"/>
    <xf numFmtId="0" fontId="20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5" fontId="3" fillId="2" borderId="1" xfId="0" applyNumberFormat="1" applyFont="1" applyFill="1" applyBorder="1"/>
    <xf numFmtId="2" fontId="21" fillId="0" borderId="0" xfId="0" applyNumberFormat="1" applyFont="1"/>
    <xf numFmtId="43" fontId="0" fillId="0" borderId="0" xfId="1" applyFont="1"/>
    <xf numFmtId="0" fontId="3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21" fillId="0" borderId="0" xfId="0" applyFont="1"/>
    <xf numFmtId="0" fontId="0" fillId="0" borderId="0" xfId="0" applyAlignment="1"/>
    <xf numFmtId="2" fontId="18" fillId="0" borderId="0" xfId="0" applyNumberFormat="1" applyFont="1" applyAlignment="1">
      <alignment horizontal="left"/>
    </xf>
    <xf numFmtId="37" fontId="0" fillId="0" borderId="0" xfId="3" applyNumberFormat="1" applyFont="1"/>
    <xf numFmtId="0" fontId="0" fillId="0" borderId="1" xfId="0" applyBorder="1" applyAlignment="1">
      <alignment horizontal="left"/>
    </xf>
    <xf numFmtId="37" fontId="0" fillId="0" borderId="1" xfId="3" applyNumberFormat="1" applyFont="1" applyBorder="1"/>
    <xf numFmtId="37" fontId="0" fillId="0" borderId="0" xfId="3" applyNumberFormat="1" applyFont="1" applyFill="1"/>
    <xf numFmtId="37" fontId="0" fillId="0" borderId="1" xfId="0" applyNumberFormat="1" applyBorder="1"/>
    <xf numFmtId="44" fontId="22" fillId="0" borderId="0" xfId="3" applyNumberFormat="1" applyFont="1"/>
    <xf numFmtId="169" fontId="0" fillId="0" borderId="0" xfId="3" applyNumberFormat="1" applyFont="1"/>
    <xf numFmtId="169" fontId="0" fillId="0" borderId="1" xfId="3" applyNumberFormat="1" applyFont="1" applyBorder="1"/>
    <xf numFmtId="0" fontId="23" fillId="0" borderId="0" xfId="0" applyFont="1"/>
    <xf numFmtId="0" fontId="19" fillId="4" borderId="0" xfId="0" applyFont="1" applyFill="1" applyAlignment="1">
      <alignment vertical="top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right"/>
    </xf>
    <xf numFmtId="164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0" fillId="0" borderId="0" xfId="0" applyNumberFormat="1"/>
    <xf numFmtId="164" fontId="3" fillId="0" borderId="1" xfId="2" applyNumberFormat="1" applyFont="1" applyBorder="1"/>
    <xf numFmtId="169" fontId="3" fillId="0" borderId="1" xfId="0" applyNumberFormat="1" applyFont="1" applyBorder="1"/>
    <xf numFmtId="0" fontId="3" fillId="2" borderId="8" xfId="0" applyFont="1" applyFill="1" applyBorder="1" applyAlignment="1">
      <alignment horizontal="center" wrapText="1"/>
    </xf>
    <xf numFmtId="0" fontId="19" fillId="4" borderId="0" xfId="0" applyFont="1" applyFill="1" applyAlignment="1">
      <alignment horizontal="center"/>
    </xf>
    <xf numFmtId="10" fontId="0" fillId="0" borderId="0" xfId="0" applyNumberFormat="1" applyAlignment="1">
      <alignment horizontal="center"/>
    </xf>
    <xf numFmtId="0" fontId="17" fillId="0" borderId="0" xfId="0" applyFont="1" applyAlignment="1">
      <alignment horizontal="center"/>
    </xf>
    <xf numFmtId="166" fontId="0" fillId="0" borderId="0" xfId="1" applyNumberFormat="1" applyFont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left"/>
    </xf>
    <xf numFmtId="15" fontId="24" fillId="2" borderId="1" xfId="0" applyNumberFormat="1" applyFont="1" applyFill="1" applyBorder="1" applyAlignment="1">
      <alignment horizontal="center" wrapText="1"/>
    </xf>
    <xf numFmtId="15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5" fontId="3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10" fontId="3" fillId="0" borderId="0" xfId="2" applyNumberFormat="1" applyFont="1" applyFill="1"/>
    <xf numFmtId="10" fontId="3" fillId="0" borderId="0" xfId="2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0" fontId="18" fillId="0" borderId="0" xfId="2" applyNumberFormat="1" applyFont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167" fontId="3" fillId="0" borderId="0" xfId="2" applyNumberFormat="1" applyFont="1" applyFill="1"/>
    <xf numFmtId="43" fontId="3" fillId="0" borderId="0" xfId="0" applyNumberFormat="1" applyFont="1" applyFill="1"/>
    <xf numFmtId="165" fontId="3" fillId="7" borderId="0" xfId="0" applyNumberFormat="1" applyFont="1" applyFill="1"/>
    <xf numFmtId="2" fontId="25" fillId="0" borderId="0" xfId="0" applyNumberFormat="1" applyFont="1" applyFill="1"/>
    <xf numFmtId="1" fontId="25" fillId="0" borderId="0" xfId="0" applyNumberFormat="1" applyFont="1" applyFill="1" applyAlignment="1">
      <alignment horizontal="center"/>
    </xf>
    <xf numFmtId="170" fontId="25" fillId="0" borderId="0" xfId="0" applyNumberFormat="1" applyFont="1" applyFill="1"/>
    <xf numFmtId="2" fontId="25" fillId="0" borderId="0" xfId="0" applyNumberFormat="1" applyFont="1" applyFill="1" applyAlignment="1">
      <alignment horizontal="center"/>
    </xf>
    <xf numFmtId="167" fontId="25" fillId="0" borderId="0" xfId="2" applyNumberFormat="1" applyFont="1" applyFill="1"/>
    <xf numFmtId="43" fontId="25" fillId="0" borderId="0" xfId="0" applyNumberFormat="1" applyFont="1" applyFill="1"/>
    <xf numFmtId="165" fontId="25" fillId="0" borderId="0" xfId="2" applyNumberFormat="1" applyFont="1" applyFill="1"/>
    <xf numFmtId="10" fontId="18" fillId="0" borderId="0" xfId="2" applyNumberFormat="1" applyFont="1" applyAlignment="1">
      <alignment horizontal="center"/>
    </xf>
    <xf numFmtId="2" fontId="18" fillId="0" borderId="0" xfId="0" applyNumberFormat="1" applyFont="1" applyFill="1"/>
    <xf numFmtId="1" fontId="0" fillId="0" borderId="0" xfId="0" applyNumberFormat="1" applyAlignment="1">
      <alignment horizontal="center"/>
    </xf>
    <xf numFmtId="0" fontId="18" fillId="0" borderId="0" xfId="0" applyFont="1" applyAlignment="1">
      <alignment horizontal="right"/>
    </xf>
    <xf numFmtId="168" fontId="0" fillId="0" borderId="0" xfId="0" applyNumberFormat="1"/>
    <xf numFmtId="1" fontId="3" fillId="7" borderId="1" xfId="0" applyNumberFormat="1" applyFont="1" applyFill="1" applyBorder="1"/>
    <xf numFmtId="0" fontId="25" fillId="0" borderId="0" xfId="0" applyFont="1"/>
    <xf numFmtId="10" fontId="20" fillId="0" borderId="0" xfId="2" applyNumberFormat="1" applyFont="1" applyAlignment="1">
      <alignment horizontal="center"/>
    </xf>
    <xf numFmtId="166" fontId="0" fillId="0" borderId="1" xfId="0" applyNumberFormat="1" applyBorder="1"/>
    <xf numFmtId="166" fontId="0" fillId="0" borderId="0" xfId="0" applyNumberFormat="1" applyBorder="1"/>
    <xf numFmtId="0" fontId="3" fillId="6" borderId="0" xfId="0" applyFont="1" applyFill="1"/>
    <xf numFmtId="10" fontId="3" fillId="6" borderId="0" xfId="2" applyNumberFormat="1" applyFont="1" applyFill="1"/>
    <xf numFmtId="43" fontId="25" fillId="6" borderId="0" xfId="1" applyFont="1" applyFill="1"/>
    <xf numFmtId="164" fontId="0" fillId="0" borderId="1" xfId="2" applyNumberFormat="1" applyFont="1" applyBorder="1"/>
    <xf numFmtId="0" fontId="3" fillId="7" borderId="3" xfId="0" applyFont="1" applyFill="1" applyBorder="1"/>
    <xf numFmtId="170" fontId="0" fillId="0" borderId="0" xfId="0" applyNumberFormat="1"/>
    <xf numFmtId="168" fontId="0" fillId="0" borderId="17" xfId="0" applyNumberFormat="1" applyBorder="1"/>
    <xf numFmtId="16" fontId="0" fillId="0" borderId="0" xfId="0" applyNumberFormat="1"/>
    <xf numFmtId="44" fontId="0" fillId="0" borderId="0" xfId="0" applyNumberFormat="1"/>
    <xf numFmtId="44" fontId="18" fillId="0" borderId="0" xfId="0" applyNumberFormat="1" applyFont="1"/>
    <xf numFmtId="44" fontId="0" fillId="0" borderId="18" xfId="0" applyNumberFormat="1" applyBorder="1"/>
    <xf numFmtId="0" fontId="25" fillId="0" borderId="0" xfId="0" applyFont="1" applyAlignment="1">
      <alignment horizontal="center"/>
    </xf>
    <xf numFmtId="43" fontId="0" fillId="0" borderId="18" xfId="1" applyFont="1" applyBorder="1"/>
    <xf numFmtId="0" fontId="2" fillId="0" borderId="1" xfId="0" applyFont="1" applyBorder="1" applyAlignment="1">
      <alignment horizontal="left"/>
    </xf>
    <xf numFmtId="37" fontId="2" fillId="0" borderId="1" xfId="3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37" fontId="2" fillId="0" borderId="1" xfId="0" applyNumberFormat="1" applyFont="1" applyBorder="1"/>
    <xf numFmtId="0" fontId="3" fillId="2" borderId="1" xfId="0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44" fontId="0" fillId="0" borderId="0" xfId="3" applyFont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7" borderId="19" xfId="0" applyFont="1" applyFill="1" applyBorder="1" applyAlignment="1">
      <alignment horizontal="center" wrapText="1"/>
    </xf>
    <xf numFmtId="2" fontId="0" fillId="0" borderId="17" xfId="0" applyNumberFormat="1" applyBorder="1"/>
    <xf numFmtId="2" fontId="3" fillId="7" borderId="3" xfId="0" applyNumberFormat="1" applyFont="1" applyFill="1" applyBorder="1"/>
    <xf numFmtId="168" fontId="0" fillId="7" borderId="5" xfId="0" applyNumberFormat="1" applyFill="1" applyBorder="1"/>
    <xf numFmtId="16" fontId="0" fillId="0" borderId="1" xfId="0" applyNumberFormat="1" applyBorder="1"/>
    <xf numFmtId="10" fontId="0" fillId="0" borderId="1" xfId="2" applyNumberFormat="1" applyFont="1" applyBorder="1"/>
    <xf numFmtId="2" fontId="0" fillId="0" borderId="1" xfId="0" applyNumberFormat="1" applyBorder="1"/>
    <xf numFmtId="168" fontId="3" fillId="7" borderId="20" xfId="0" applyNumberFormat="1" applyFont="1" applyFill="1" applyBorder="1"/>
    <xf numFmtId="0" fontId="18" fillId="0" borderId="1" xfId="0" applyFont="1" applyBorder="1"/>
    <xf numFmtId="170" fontId="0" fillId="0" borderId="1" xfId="0" applyNumberFormat="1" applyBorder="1"/>
    <xf numFmtId="44" fontId="0" fillId="0" borderId="1" xfId="0" applyNumberFormat="1" applyBorder="1"/>
    <xf numFmtId="0" fontId="3" fillId="7" borderId="3" xfId="0" applyFont="1" applyFill="1" applyBorder="1" applyAlignment="1">
      <alignment horizontal="center"/>
    </xf>
    <xf numFmtId="0" fontId="26" fillId="8" borderId="0" xfId="0" applyFont="1" applyFill="1" applyAlignment="1">
      <alignment vertical="top"/>
    </xf>
    <xf numFmtId="0" fontId="27" fillId="8" borderId="0" xfId="0" applyFont="1" applyFill="1" applyAlignment="1">
      <alignment horizontal="left"/>
    </xf>
    <xf numFmtId="0" fontId="28" fillId="8" borderId="21" xfId="0" applyFont="1" applyFill="1" applyBorder="1" applyAlignment="1">
      <alignment horizontal="center"/>
    </xf>
    <xf numFmtId="0" fontId="28" fillId="8" borderId="0" xfId="0" applyFont="1" applyFill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66" fontId="0" fillId="0" borderId="23" xfId="0" applyNumberFormat="1" applyBorder="1"/>
    <xf numFmtId="166" fontId="0" fillId="0" borderId="24" xfId="0" applyNumberFormat="1" applyBorder="1"/>
    <xf numFmtId="166" fontId="0" fillId="0" borderId="21" xfId="0" applyNumberFormat="1" applyBorder="1"/>
    <xf numFmtId="169" fontId="0" fillId="0" borderId="21" xfId="0" applyNumberFormat="1" applyBorder="1"/>
    <xf numFmtId="169" fontId="0" fillId="0" borderId="0" xfId="0" applyNumberFormat="1" applyBorder="1"/>
    <xf numFmtId="0" fontId="0" fillId="0" borderId="21" xfId="0" applyBorder="1"/>
    <xf numFmtId="169" fontId="0" fillId="0" borderId="25" xfId="0" applyNumberFormat="1" applyBorder="1"/>
    <xf numFmtId="169" fontId="0" fillId="0" borderId="9" xfId="0" applyNumberFormat="1" applyBorder="1"/>
    <xf numFmtId="169" fontId="0" fillId="0" borderId="21" xfId="3" applyNumberFormat="1" applyFont="1" applyBorder="1"/>
    <xf numFmtId="166" fontId="0" fillId="0" borderId="22" xfId="0" applyNumberFormat="1" applyBorder="1"/>
    <xf numFmtId="164" fontId="0" fillId="0" borderId="0" xfId="2" applyNumberFormat="1" applyFont="1" applyAlignment="1">
      <alignment horizontal="right"/>
    </xf>
    <xf numFmtId="164" fontId="0" fillId="0" borderId="3" xfId="2" applyNumberFormat="1" applyFont="1" applyBorder="1"/>
    <xf numFmtId="0" fontId="3" fillId="2" borderId="1" xfId="0" quotePrefix="1" applyFont="1" applyFill="1" applyBorder="1" applyAlignment="1">
      <alignment horizontal="right"/>
    </xf>
    <xf numFmtId="0" fontId="29" fillId="0" borderId="0" xfId="0" applyFont="1"/>
    <xf numFmtId="169" fontId="0" fillId="0" borderId="1" xfId="0" applyNumberFormat="1" applyBorder="1"/>
    <xf numFmtId="2" fontId="2" fillId="0" borderId="0" xfId="0" applyNumberFormat="1" applyFont="1"/>
    <xf numFmtId="164" fontId="3" fillId="0" borderId="0" xfId="2" applyNumberFormat="1" applyFont="1" applyAlignment="1">
      <alignment horizontal="center"/>
    </xf>
    <xf numFmtId="0" fontId="2" fillId="0" borderId="0" xfId="0" applyFont="1"/>
    <xf numFmtId="0" fontId="31" fillId="4" borderId="0" xfId="0" applyFont="1" applyFill="1"/>
    <xf numFmtId="0" fontId="31" fillId="4" borderId="0" xfId="0" applyFont="1" applyFill="1" applyAlignment="1">
      <alignment horizontal="center"/>
    </xf>
    <xf numFmtId="166" fontId="21" fillId="0" borderId="0" xfId="1" applyNumberFormat="1" applyFont="1"/>
    <xf numFmtId="165" fontId="21" fillId="0" borderId="0" xfId="2" applyNumberFormat="1" applyFont="1"/>
    <xf numFmtId="43" fontId="0" fillId="0" borderId="0" xfId="0" applyNumberFormat="1"/>
    <xf numFmtId="43" fontId="0" fillId="0" borderId="0" xfId="0" applyNumberFormat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0" borderId="0" xfId="0" quotePrefix="1" applyFont="1"/>
    <xf numFmtId="8" fontId="2" fillId="7" borderId="3" xfId="0" applyNumberFormat="1" applyFont="1" applyFill="1" applyBorder="1"/>
    <xf numFmtId="0" fontId="37" fillId="0" borderId="0" xfId="0" applyFont="1"/>
    <xf numFmtId="0" fontId="33" fillId="4" borderId="0" xfId="0" applyFont="1" applyFill="1"/>
    <xf numFmtId="0" fontId="32" fillId="4" borderId="0" xfId="0" applyFont="1" applyFill="1"/>
    <xf numFmtId="0" fontId="2" fillId="0" borderId="9" xfId="0" applyFont="1" applyBorder="1" applyAlignment="1">
      <alignment horizontal="center"/>
    </xf>
    <xf numFmtId="0" fontId="0" fillId="0" borderId="9" xfId="0" applyBorder="1"/>
    <xf numFmtId="0" fontId="38" fillId="0" borderId="0" xfId="0" applyFont="1"/>
    <xf numFmtId="43" fontId="39" fillId="0" borderId="0" xfId="1" applyFont="1"/>
    <xf numFmtId="10" fontId="39" fillId="0" borderId="0" xfId="0" applyNumberFormat="1" applyFont="1"/>
    <xf numFmtId="0" fontId="39" fillId="0" borderId="0" xfId="0" applyFont="1"/>
    <xf numFmtId="44" fontId="2" fillId="7" borderId="3" xfId="3" applyFont="1" applyFill="1" applyBorder="1"/>
    <xf numFmtId="0" fontId="37" fillId="0" borderId="10" xfId="0" applyFont="1" applyBorder="1"/>
    <xf numFmtId="0" fontId="38" fillId="0" borderId="10" xfId="0" applyFont="1" applyBorder="1"/>
    <xf numFmtId="0" fontId="0" fillId="0" borderId="10" xfId="0" applyBorder="1"/>
    <xf numFmtId="0" fontId="40" fillId="0" borderId="0" xfId="0" applyFont="1"/>
    <xf numFmtId="0" fontId="0" fillId="0" borderId="0" xfId="0" quotePrefix="1" applyAlignment="1">
      <alignment horizontal="left" vertical="top"/>
    </xf>
    <xf numFmtId="0" fontId="0" fillId="0" borderId="0" xfId="0" applyAlignment="1">
      <alignment vertical="top"/>
    </xf>
    <xf numFmtId="165" fontId="2" fillId="7" borderId="3" xfId="2" applyNumberFormat="1" applyFont="1" applyFill="1" applyBorder="1" applyAlignment="1">
      <alignment horizontal="center"/>
    </xf>
    <xf numFmtId="171" fontId="2" fillId="7" borderId="3" xfId="2" applyNumberFormat="1" applyFont="1" applyFill="1" applyBorder="1" applyAlignment="1">
      <alignment horizontal="center"/>
    </xf>
    <xf numFmtId="0" fontId="0" fillId="4" borderId="0" xfId="0" applyFill="1"/>
    <xf numFmtId="0" fontId="2" fillId="4" borderId="0" xfId="0" applyFont="1" applyFill="1"/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44" fontId="0" fillId="0" borderId="0" xfId="3" applyFont="1" applyAlignment="1">
      <alignment horizontal="right"/>
    </xf>
    <xf numFmtId="10" fontId="2" fillId="0" borderId="0" xfId="2" applyNumberFormat="1" applyFont="1"/>
    <xf numFmtId="10" fontId="2" fillId="0" borderId="0" xfId="2" applyNumberFormat="1" applyFont="1" applyFill="1"/>
    <xf numFmtId="0" fontId="2" fillId="0" borderId="0" xfId="0" applyFont="1" applyAlignment="1">
      <alignment horizontal="right"/>
    </xf>
    <xf numFmtId="0" fontId="39" fillId="0" borderId="9" xfId="0" applyFont="1" applyBorder="1"/>
    <xf numFmtId="0" fontId="0" fillId="0" borderId="9" xfId="0" quotePrefix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1" fillId="0" borderId="9" xfId="0" applyFont="1" applyBorder="1" applyAlignment="1">
      <alignment horizontal="center" vertical="center"/>
    </xf>
    <xf numFmtId="0" fontId="0" fillId="0" borderId="0" xfId="0" quotePrefix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483658</xdr:colOff>
      <xdr:row>17</xdr:row>
      <xdr:rowOff>95250</xdr:rowOff>
    </xdr:from>
    <xdr:to>
      <xdr:col>4</xdr:col>
      <xdr:colOff>293158</xdr:colOff>
      <xdr:row>20</xdr:row>
      <xdr:rowOff>112183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4D21B2A-FC1B-4DB4-BCA4-51535AE4F94F}"/>
            </a:ext>
          </a:extLst>
        </xdr:cNvPr>
        <xdr:cNvCxnSpPr/>
      </xdr:nvCxnSpPr>
      <xdr:spPr>
        <a:xfrm>
          <a:off x="2160058" y="2743200"/>
          <a:ext cx="1790700" cy="5789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18</xdr:row>
      <xdr:rowOff>0</xdr:rowOff>
    </xdr:from>
    <xdr:to>
      <xdr:col>10</xdr:col>
      <xdr:colOff>582083</xdr:colOff>
      <xdr:row>20</xdr:row>
      <xdr:rowOff>169334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CEABEEF-A1F3-432B-97CE-4002CC219F5A}"/>
            </a:ext>
          </a:extLst>
        </xdr:cNvPr>
        <xdr:cNvCxnSpPr/>
      </xdr:nvCxnSpPr>
      <xdr:spPr>
        <a:xfrm flipH="1" flipV="1">
          <a:off x="7591425" y="3019425"/>
          <a:ext cx="1620308" cy="540809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483658</xdr:colOff>
      <xdr:row>44</xdr:row>
      <xdr:rowOff>95250</xdr:rowOff>
    </xdr:from>
    <xdr:to>
      <xdr:col>4</xdr:col>
      <xdr:colOff>293158</xdr:colOff>
      <xdr:row>47</xdr:row>
      <xdr:rowOff>112183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6A446ABF-6ABD-4108-B05E-B1F694CEC369}"/>
            </a:ext>
          </a:extLst>
        </xdr:cNvPr>
        <xdr:cNvCxnSpPr/>
      </xdr:nvCxnSpPr>
      <xdr:spPr>
        <a:xfrm>
          <a:off x="2163233" y="3284008"/>
          <a:ext cx="1790700" cy="58525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46</xdr:row>
      <xdr:rowOff>0</xdr:rowOff>
    </xdr:from>
    <xdr:to>
      <xdr:col>10</xdr:col>
      <xdr:colOff>582083</xdr:colOff>
      <xdr:row>48</xdr:row>
      <xdr:rowOff>169334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07061FB-1A3E-45F6-B8B6-4C6E48DA0708}"/>
            </a:ext>
          </a:extLst>
        </xdr:cNvPr>
        <xdr:cNvCxnSpPr/>
      </xdr:nvCxnSpPr>
      <xdr:spPr>
        <a:xfrm flipH="1" flipV="1">
          <a:off x="7542742" y="3381375"/>
          <a:ext cx="1660524" cy="54292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575733</xdr:colOff>
      <xdr:row>26</xdr:row>
      <xdr:rowOff>143933</xdr:rowOff>
    </xdr:from>
    <xdr:to>
      <xdr:col>5</xdr:col>
      <xdr:colOff>0</xdr:colOff>
      <xdr:row>27</xdr:row>
      <xdr:rowOff>118533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806225-9478-46A4-816A-4D360E195D1E}"/>
            </a:ext>
          </a:extLst>
        </xdr:cNvPr>
        <xdr:cNvSpPr>
          <a:spLocks noChangeShapeType="1"/>
        </xdr:cNvSpPr>
      </xdr:nvSpPr>
      <xdr:spPr bwMode="auto">
        <a:xfrm flipH="1">
          <a:off x="3725333" y="1236133"/>
          <a:ext cx="160867" cy="1566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6921b89f68d3868/Documents/Spreadsheets/Bond%20%5e0%20Stock%20portfolio_analy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folio Analysis"/>
      <sheetName val="Stocks"/>
      <sheetName val="Bonds"/>
      <sheetName val="Sheet1"/>
      <sheetName val="Sheet2"/>
    </sheetNames>
    <sheetDataSet>
      <sheetData sheetId="0"/>
      <sheetData sheetId="1">
        <row r="4">
          <cell r="E4">
            <v>43252</v>
          </cell>
          <cell r="F4">
            <v>43282</v>
          </cell>
          <cell r="G4">
            <v>43313</v>
          </cell>
          <cell r="H4">
            <v>43344</v>
          </cell>
          <cell r="I4">
            <v>43374</v>
          </cell>
          <cell r="J4">
            <v>43405</v>
          </cell>
          <cell r="K4">
            <v>43435</v>
          </cell>
          <cell r="L4">
            <v>43466</v>
          </cell>
        </row>
      </sheetData>
      <sheetData sheetId="2">
        <row r="51">
          <cell r="F51">
            <v>2875</v>
          </cell>
        </row>
        <row r="93">
          <cell r="F9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B831-DEC1-4D16-9A38-0F68D28A11C7}">
  <dimension ref="A1:J25"/>
  <sheetViews>
    <sheetView showGridLines="0" workbookViewId="0">
      <selection activeCell="F32" sqref="F32"/>
    </sheetView>
  </sheetViews>
  <sheetFormatPr defaultRowHeight="14.35" x14ac:dyDescent="0.5"/>
  <cols>
    <col min="1" max="1" width="5.64453125" customWidth="1"/>
    <col min="2" max="2" width="10.9375" customWidth="1"/>
    <col min="3" max="7" width="10" customWidth="1"/>
    <col min="9" max="9" width="4.703125" customWidth="1"/>
  </cols>
  <sheetData>
    <row r="1" spans="1:7" ht="25.7" x14ac:dyDescent="0.85">
      <c r="A1" s="24" t="s">
        <v>14</v>
      </c>
    </row>
    <row r="4" spans="1:7" ht="14.7" thickBot="1" x14ac:dyDescent="0.55000000000000004">
      <c r="B4" s="11" t="s">
        <v>225</v>
      </c>
    </row>
    <row r="5" spans="1:7" ht="15.35" thickBot="1" x14ac:dyDescent="0.55000000000000004">
      <c r="B5" s="17"/>
      <c r="C5" s="18">
        <v>0</v>
      </c>
      <c r="D5" s="18">
        <v>1</v>
      </c>
      <c r="E5" s="18">
        <v>2</v>
      </c>
      <c r="F5" s="18">
        <v>3</v>
      </c>
      <c r="G5" s="18">
        <v>4</v>
      </c>
    </row>
    <row r="6" spans="1:7" ht="15.35" thickBot="1" x14ac:dyDescent="0.55000000000000004">
      <c r="B6" s="19" t="s">
        <v>10</v>
      </c>
      <c r="C6" s="20">
        <v>-100</v>
      </c>
      <c r="D6" s="20">
        <v>5</v>
      </c>
      <c r="E6" s="20">
        <v>5</v>
      </c>
      <c r="F6" s="20">
        <v>5</v>
      </c>
      <c r="G6" s="20">
        <v>105</v>
      </c>
    </row>
    <row r="8" spans="1:7" x14ac:dyDescent="0.5">
      <c r="B8" s="35" t="s">
        <v>12</v>
      </c>
      <c r="C8" s="31" t="str">
        <f>+C20</f>
        <v>B</v>
      </c>
      <c r="D8" s="31" t="str">
        <f t="shared" ref="D8:G8" si="0">+D20</f>
        <v>C</v>
      </c>
      <c r="E8" s="31" t="str">
        <f t="shared" si="0"/>
        <v>D</v>
      </c>
      <c r="F8" s="31" t="str">
        <f t="shared" si="0"/>
        <v>E</v>
      </c>
      <c r="G8" s="31" t="str">
        <f t="shared" si="0"/>
        <v>F</v>
      </c>
    </row>
    <row r="9" spans="1:7" x14ac:dyDescent="0.5">
      <c r="A9" s="32">
        <v>10</v>
      </c>
      <c r="B9" s="33" t="s">
        <v>13</v>
      </c>
      <c r="C9" s="22">
        <v>0</v>
      </c>
      <c r="D9" s="22">
        <v>1</v>
      </c>
      <c r="E9" s="22">
        <v>2</v>
      </c>
      <c r="F9" s="22">
        <v>3</v>
      </c>
      <c r="G9" s="22">
        <v>4</v>
      </c>
    </row>
    <row r="10" spans="1:7" x14ac:dyDescent="0.5">
      <c r="A10" s="32">
        <v>11</v>
      </c>
      <c r="B10" s="34">
        <f>IRR(C10:G10)</f>
        <v>5.0000000000000488E-2</v>
      </c>
      <c r="C10" s="23">
        <f>+C6</f>
        <v>-100</v>
      </c>
      <c r="D10" s="23">
        <f t="shared" ref="D10:F10" si="1">+D6</f>
        <v>5</v>
      </c>
      <c r="E10" s="23">
        <f t="shared" si="1"/>
        <v>5</v>
      </c>
      <c r="F10" s="23">
        <f t="shared" si="1"/>
        <v>5</v>
      </c>
      <c r="G10" s="23">
        <f>+G6</f>
        <v>105</v>
      </c>
    </row>
    <row r="11" spans="1:7" ht="8.4499999999999993" customHeight="1" x14ac:dyDescent="0.5">
      <c r="B11" s="29"/>
      <c r="C11" s="28"/>
      <c r="D11" s="28"/>
      <c r="E11" s="28"/>
      <c r="F11" s="28"/>
      <c r="G11" s="28"/>
    </row>
    <row r="12" spans="1:7" x14ac:dyDescent="0.5">
      <c r="B12" s="30" t="s">
        <v>18</v>
      </c>
      <c r="C12" s="28"/>
      <c r="D12" s="28"/>
      <c r="E12" s="28"/>
      <c r="F12" s="28"/>
      <c r="G12" s="28"/>
    </row>
    <row r="13" spans="1:7" x14ac:dyDescent="0.5">
      <c r="B13" s="30"/>
      <c r="C13" s="28"/>
      <c r="D13" s="28"/>
      <c r="E13" s="28"/>
      <c r="F13" s="28"/>
      <c r="G13" s="28"/>
    </row>
    <row r="14" spans="1:7" ht="14.7" thickBot="1" x14ac:dyDescent="0.55000000000000004">
      <c r="B14" s="11" t="s">
        <v>226</v>
      </c>
    </row>
    <row r="15" spans="1:7" ht="15.35" thickBot="1" x14ac:dyDescent="0.55000000000000004">
      <c r="B15" s="17"/>
      <c r="C15" s="18">
        <v>0</v>
      </c>
      <c r="D15" s="18">
        <v>1</v>
      </c>
      <c r="E15" s="18">
        <v>2</v>
      </c>
      <c r="F15" s="18">
        <v>3</v>
      </c>
      <c r="G15" s="18">
        <v>4</v>
      </c>
    </row>
    <row r="16" spans="1:7" ht="15.35" thickBot="1" x14ac:dyDescent="0.55000000000000004">
      <c r="B16" s="19" t="s">
        <v>10</v>
      </c>
      <c r="C16" s="20">
        <v>-100</v>
      </c>
      <c r="D16" s="20">
        <v>-9</v>
      </c>
      <c r="E16" s="20">
        <v>-5</v>
      </c>
      <c r="F16" s="20">
        <v>26</v>
      </c>
      <c r="G16" s="20">
        <v>110</v>
      </c>
    </row>
    <row r="18" spans="1:10" ht="15.35" x14ac:dyDescent="0.5">
      <c r="B18" s="21" t="s">
        <v>11</v>
      </c>
    </row>
    <row r="20" spans="1:10" x14ac:dyDescent="0.5">
      <c r="B20" s="35" t="s">
        <v>12</v>
      </c>
      <c r="C20" s="31" t="s">
        <v>19</v>
      </c>
      <c r="D20" s="31" t="s">
        <v>20</v>
      </c>
      <c r="E20" s="31" t="s">
        <v>21</v>
      </c>
      <c r="F20" s="31" t="s">
        <v>22</v>
      </c>
      <c r="G20" s="31" t="s">
        <v>23</v>
      </c>
    </row>
    <row r="21" spans="1:10" x14ac:dyDescent="0.5">
      <c r="A21" s="32">
        <v>10</v>
      </c>
      <c r="B21" s="33" t="s">
        <v>13</v>
      </c>
      <c r="C21" s="22">
        <v>0</v>
      </c>
      <c r="D21" s="22">
        <v>1</v>
      </c>
      <c r="E21" s="22">
        <v>2</v>
      </c>
      <c r="F21" s="22">
        <v>3</v>
      </c>
      <c r="G21" s="22">
        <v>4</v>
      </c>
    </row>
    <row r="22" spans="1:10" x14ac:dyDescent="0.5">
      <c r="A22" s="32">
        <v>11</v>
      </c>
      <c r="B22" s="34">
        <f>IRR(C22:G22)</f>
        <v>4.9619014946056916E-2</v>
      </c>
      <c r="C22" s="23">
        <f>+C16</f>
        <v>-100</v>
      </c>
      <c r="D22" s="23">
        <f t="shared" ref="D22:G22" si="2">+D16</f>
        <v>-9</v>
      </c>
      <c r="E22" s="23">
        <f t="shared" si="2"/>
        <v>-5</v>
      </c>
      <c r="F22" s="23">
        <f t="shared" si="2"/>
        <v>26</v>
      </c>
      <c r="G22" s="23">
        <f t="shared" si="2"/>
        <v>110</v>
      </c>
    </row>
    <row r="23" spans="1:10" ht="8.4499999999999993" customHeight="1" x14ac:dyDescent="0.5">
      <c r="B23" s="29"/>
      <c r="C23" s="28"/>
      <c r="D23" s="28"/>
      <c r="E23" s="28"/>
      <c r="F23" s="28"/>
      <c r="G23" s="28"/>
    </row>
    <row r="24" spans="1:10" x14ac:dyDescent="0.5">
      <c r="B24" s="30" t="s">
        <v>18</v>
      </c>
      <c r="C24" s="28"/>
      <c r="D24" s="28"/>
      <c r="E24" s="28"/>
      <c r="F24" s="28"/>
      <c r="G24" s="28"/>
    </row>
    <row r="25" spans="1:10" ht="14.7" thickBot="1" x14ac:dyDescent="0.55000000000000004">
      <c r="A25" s="16"/>
      <c r="B25" s="16"/>
      <c r="C25" s="16"/>
      <c r="D25" s="16"/>
      <c r="E25" s="16"/>
      <c r="F25" s="16"/>
      <c r="G25" s="16"/>
      <c r="H25" s="16"/>
      <c r="I25" s="16"/>
      <c r="J25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F76B-E695-4C24-87ED-4D5CFBACF0BB}">
  <dimension ref="A1:R66"/>
  <sheetViews>
    <sheetView topLeftCell="A19" zoomScale="90" zoomScaleNormal="90" workbookViewId="0">
      <selection activeCell="H50" sqref="H50"/>
    </sheetView>
  </sheetViews>
  <sheetFormatPr defaultRowHeight="14.35" x14ac:dyDescent="0.5"/>
  <cols>
    <col min="1" max="1" width="23.3515625" customWidth="1"/>
    <col min="2" max="2" width="9.46875" bestFit="1" customWidth="1"/>
    <col min="5" max="5" width="10.29296875" customWidth="1"/>
    <col min="6" max="6" width="1.76171875" customWidth="1"/>
    <col min="7" max="7" width="26.234375" customWidth="1"/>
    <col min="8" max="8" width="11.3515625" customWidth="1"/>
    <col min="10" max="10" width="9.46875" customWidth="1"/>
    <col min="11" max="11" width="9.703125" customWidth="1"/>
    <col min="12" max="12" width="1" customWidth="1"/>
    <col min="13" max="13" width="0.9375" customWidth="1"/>
    <col min="14" max="14" width="1" customWidth="1"/>
    <col min="15" max="15" width="10.46875" customWidth="1"/>
    <col min="16" max="16" width="10" bestFit="1" customWidth="1"/>
    <col min="17" max="17" width="13.76171875" customWidth="1"/>
    <col min="18" max="18" width="15" customWidth="1"/>
  </cols>
  <sheetData>
    <row r="1" spans="1:18" ht="25.7" x14ac:dyDescent="0.85">
      <c r="A1" s="24" t="s">
        <v>233</v>
      </c>
    </row>
    <row r="2" spans="1:18" ht="5.7" customHeight="1" x14ac:dyDescent="0.5"/>
    <row r="3" spans="1:18" s="216" customFormat="1" ht="18" x14ac:dyDescent="0.6">
      <c r="A3" s="211" t="s">
        <v>257</v>
      </c>
      <c r="G3" s="211" t="s">
        <v>258</v>
      </c>
      <c r="M3" s="229"/>
      <c r="O3" s="224" t="s">
        <v>267</v>
      </c>
    </row>
    <row r="4" spans="1:18" ht="6" customHeight="1" x14ac:dyDescent="0.6">
      <c r="A4" s="211"/>
      <c r="M4" s="229"/>
    </row>
    <row r="5" spans="1:18" x14ac:dyDescent="0.5">
      <c r="A5" s="213" t="s">
        <v>232</v>
      </c>
      <c r="B5" s="212"/>
      <c r="C5" s="212"/>
      <c r="D5" s="212"/>
      <c r="E5" s="212"/>
      <c r="G5" s="213" t="s">
        <v>232</v>
      </c>
      <c r="H5" s="212"/>
      <c r="I5" s="212"/>
      <c r="J5" s="212"/>
      <c r="K5" s="212"/>
      <c r="M5" s="229"/>
      <c r="O5" s="213" t="s">
        <v>232</v>
      </c>
      <c r="P5" s="212"/>
      <c r="Q5" s="212"/>
      <c r="R5" s="212"/>
    </row>
    <row r="6" spans="1:18" ht="16.350000000000001" x14ac:dyDescent="0.65">
      <c r="A6" t="s">
        <v>234</v>
      </c>
      <c r="B6" s="217">
        <v>-1000</v>
      </c>
      <c r="G6" t="s">
        <v>254</v>
      </c>
      <c r="H6" s="217">
        <v>2000</v>
      </c>
      <c r="M6" s="229"/>
      <c r="O6" t="s">
        <v>264</v>
      </c>
      <c r="P6" s="164">
        <v>150</v>
      </c>
    </row>
    <row r="7" spans="1:18" x14ac:dyDescent="0.5">
      <c r="A7" t="s">
        <v>235</v>
      </c>
      <c r="B7" s="218">
        <v>0.1</v>
      </c>
      <c r="G7" t="s">
        <v>235</v>
      </c>
      <c r="H7" s="218">
        <v>0.1</v>
      </c>
      <c r="M7" s="229"/>
      <c r="O7" t="s">
        <v>265</v>
      </c>
      <c r="P7" s="164">
        <v>100</v>
      </c>
    </row>
    <row r="8" spans="1:18" x14ac:dyDescent="0.5">
      <c r="A8" t="s">
        <v>268</v>
      </c>
      <c r="B8" s="219">
        <v>3</v>
      </c>
      <c r="G8" t="s">
        <v>268</v>
      </c>
      <c r="H8" s="219">
        <v>3</v>
      </c>
      <c r="M8" s="229"/>
      <c r="O8" t="s">
        <v>269</v>
      </c>
      <c r="P8">
        <v>10</v>
      </c>
      <c r="Q8" t="s">
        <v>266</v>
      </c>
    </row>
    <row r="9" spans="1:18" ht="15" customHeight="1" x14ac:dyDescent="0.5">
      <c r="A9" s="215" t="s">
        <v>298</v>
      </c>
      <c r="B9" s="237" t="s">
        <v>244</v>
      </c>
      <c r="C9" s="215"/>
      <c r="D9" s="215"/>
      <c r="E9" s="215"/>
      <c r="G9" s="215" t="s">
        <v>299</v>
      </c>
      <c r="H9" s="237" t="s">
        <v>244</v>
      </c>
      <c r="I9" s="215"/>
      <c r="J9" s="215"/>
      <c r="K9" s="215"/>
      <c r="M9" s="229"/>
      <c r="O9" s="238" t="s">
        <v>274</v>
      </c>
      <c r="P9" s="239" t="s">
        <v>244</v>
      </c>
      <c r="Q9" s="215"/>
      <c r="R9" s="215"/>
    </row>
    <row r="10" spans="1:18" ht="28.7" customHeight="1" x14ac:dyDescent="0.5">
      <c r="A10" s="240" t="str">
        <f>+"Question: What will my investment grow to If Invest "&amp;-B6&amp;" today at "&amp;+B7*100&amp;"% for "&amp;+B8&amp;" years"</f>
        <v>Question: What will my investment grow to If Invest 1000 today at 10% for 3 years</v>
      </c>
      <c r="B10" s="241"/>
      <c r="C10" s="241"/>
      <c r="D10" s="241"/>
      <c r="E10" s="241"/>
      <c r="G10" s="240" t="str">
        <f>+"Question: What do I have invest today If I want to receive "&amp;+H6&amp;" invested at "&amp;+H7*100&amp;"% in "&amp;+H8&amp;" years"</f>
        <v>Question: What do I have invest today If I want to receive 2000 invested at 10% in 3 years</v>
      </c>
      <c r="H10" s="241"/>
      <c r="I10" s="241"/>
      <c r="J10" s="241"/>
      <c r="K10" s="241"/>
      <c r="M10" s="229"/>
      <c r="O10" s="242" t="s">
        <v>300</v>
      </c>
      <c r="P10" s="242"/>
      <c r="Q10" s="242"/>
      <c r="R10" s="242"/>
    </row>
    <row r="11" spans="1:18" ht="15" customHeight="1" x14ac:dyDescent="0.5">
      <c r="M11" s="229"/>
      <c r="O11" s="213" t="s">
        <v>236</v>
      </c>
      <c r="P11" s="212"/>
      <c r="Q11" s="212"/>
      <c r="R11" s="212"/>
    </row>
    <row r="12" spans="1:18" x14ac:dyDescent="0.5">
      <c r="B12" s="214" t="s">
        <v>242</v>
      </c>
      <c r="C12" s="215"/>
      <c r="D12" s="215"/>
      <c r="E12" s="214" t="s">
        <v>243</v>
      </c>
      <c r="H12" s="214" t="s">
        <v>242</v>
      </c>
      <c r="I12" s="215"/>
      <c r="J12" s="215"/>
      <c r="K12" s="214" t="s">
        <v>243</v>
      </c>
      <c r="M12" s="229"/>
      <c r="O12" s="197" t="s">
        <v>250</v>
      </c>
      <c r="Q12" s="197" t="s">
        <v>252</v>
      </c>
    </row>
    <row r="13" spans="1:18" ht="16.7" thickBot="1" x14ac:dyDescent="0.55000000000000004">
      <c r="B13" s="208" t="s">
        <v>237</v>
      </c>
      <c r="C13" s="208" t="s">
        <v>238</v>
      </c>
      <c r="D13" s="208" t="s">
        <v>239</v>
      </c>
      <c r="E13" s="208" t="s">
        <v>240</v>
      </c>
      <c r="H13" s="208" t="s">
        <v>237</v>
      </c>
      <c r="I13" s="208" t="s">
        <v>238</v>
      </c>
      <c r="J13" s="208" t="s">
        <v>239</v>
      </c>
      <c r="K13" s="208" t="s">
        <v>240</v>
      </c>
      <c r="M13" s="229"/>
      <c r="O13" s="201" t="s">
        <v>271</v>
      </c>
      <c r="Q13" s="209" t="s">
        <v>279</v>
      </c>
    </row>
    <row r="14" spans="1:18" ht="17" customHeight="1" thickBot="1" x14ac:dyDescent="0.55000000000000004">
      <c r="A14" t="s">
        <v>241</v>
      </c>
      <c r="B14" s="207">
        <f>+B6</f>
        <v>-1000</v>
      </c>
      <c r="C14" s="3"/>
      <c r="D14" s="3"/>
      <c r="E14" s="3" t="s">
        <v>244</v>
      </c>
      <c r="G14" t="s">
        <v>241</v>
      </c>
      <c r="H14" s="207" t="s">
        <v>244</v>
      </c>
      <c r="I14" s="3"/>
      <c r="J14" s="3"/>
      <c r="K14" s="207">
        <f>+H6</f>
        <v>2000</v>
      </c>
      <c r="M14" s="229"/>
      <c r="O14" s="209" t="s">
        <v>270</v>
      </c>
      <c r="Q14" s="227">
        <f>RATE(P8,0,-P7,P6)</f>
        <v>4.1379743992419449E-2</v>
      </c>
    </row>
    <row r="15" spans="1:18" s="201" customFormat="1" ht="16" customHeight="1" thickBot="1" x14ac:dyDescent="0.55000000000000004">
      <c r="M15" s="230"/>
      <c r="O15" s="209" t="s">
        <v>277</v>
      </c>
      <c r="Q15" s="227">
        <f>+(P6/P7)^(1/P8) -1</f>
        <v>4.1379743992410623E-2</v>
      </c>
    </row>
    <row r="16" spans="1:18" x14ac:dyDescent="0.5">
      <c r="A16" s="213" t="s">
        <v>236</v>
      </c>
      <c r="B16" s="212"/>
      <c r="C16" s="212"/>
      <c r="D16" s="212"/>
      <c r="E16" s="212"/>
      <c r="G16" s="213" t="s">
        <v>236</v>
      </c>
      <c r="H16" s="212"/>
      <c r="I16" s="212"/>
      <c r="J16" s="212"/>
      <c r="K16" s="212"/>
      <c r="M16" s="229"/>
    </row>
    <row r="17" spans="1:18" ht="18" x14ac:dyDescent="0.6">
      <c r="A17" s="197"/>
      <c r="M17" s="229"/>
      <c r="O17" s="224" t="s">
        <v>278</v>
      </c>
    </row>
    <row r="18" spans="1:18" ht="14.7" thickBot="1" x14ac:dyDescent="0.55000000000000004">
      <c r="A18" s="197" t="s">
        <v>245</v>
      </c>
      <c r="G18" s="197" t="s">
        <v>245</v>
      </c>
      <c r="M18" s="229"/>
      <c r="O18" s="213" t="s">
        <v>232</v>
      </c>
      <c r="P18" s="212"/>
      <c r="Q18" s="212"/>
      <c r="R18" s="212"/>
    </row>
    <row r="19" spans="1:18" ht="14.7" thickBot="1" x14ac:dyDescent="0.55000000000000004">
      <c r="A19" t="s">
        <v>249</v>
      </c>
      <c r="B19" s="206">
        <f>-B14</f>
        <v>1000</v>
      </c>
      <c r="C19" s="206"/>
      <c r="D19" s="206"/>
      <c r="E19" s="206"/>
      <c r="G19" t="s">
        <v>249</v>
      </c>
      <c r="H19" s="220">
        <f>+I20/(1+$H$7)</f>
        <v>1502.6296018031551</v>
      </c>
      <c r="I19" s="206"/>
      <c r="K19" s="206"/>
      <c r="M19" s="229"/>
      <c r="O19" t="s">
        <v>264</v>
      </c>
      <c r="P19" s="164">
        <v>150</v>
      </c>
    </row>
    <row r="20" spans="1:18" x14ac:dyDescent="0.5">
      <c r="A20" t="s">
        <v>246</v>
      </c>
      <c r="C20" s="206">
        <f>+B19*(1+$B$7)</f>
        <v>1100</v>
      </c>
      <c r="D20" s="206"/>
      <c r="E20" s="206"/>
      <c r="G20" t="s">
        <v>246</v>
      </c>
      <c r="H20" s="164"/>
      <c r="I20" s="206">
        <f>+J21/(1+$H$7)</f>
        <v>1652.8925619834708</v>
      </c>
      <c r="J20" s="206"/>
      <c r="K20" s="206"/>
      <c r="M20" s="229"/>
      <c r="O20" t="s">
        <v>265</v>
      </c>
      <c r="P20" s="164">
        <v>100</v>
      </c>
    </row>
    <row r="21" spans="1:18" ht="14.7" thickBot="1" x14ac:dyDescent="0.55000000000000004">
      <c r="A21" t="s">
        <v>247</v>
      </c>
      <c r="C21" s="206"/>
      <c r="D21" s="206">
        <f>+C20*(1+$B$7)</f>
        <v>1210</v>
      </c>
      <c r="E21" s="206"/>
      <c r="G21" t="s">
        <v>247</v>
      </c>
      <c r="H21" s="164"/>
      <c r="I21" s="206"/>
      <c r="J21" s="206">
        <f>K22/(1+$H$7)</f>
        <v>1818.181818181818</v>
      </c>
      <c r="K21" s="206"/>
      <c r="M21" s="229"/>
      <c r="O21" t="s">
        <v>274</v>
      </c>
      <c r="P21">
        <v>0.1</v>
      </c>
    </row>
    <row r="22" spans="1:18" ht="14.7" thickBot="1" x14ac:dyDescent="0.55000000000000004">
      <c r="A22" t="s">
        <v>248</v>
      </c>
      <c r="C22" s="206"/>
      <c r="D22" s="206"/>
      <c r="E22" s="220">
        <f>+D21*(1+$B$7)</f>
        <v>1331</v>
      </c>
      <c r="G22" t="s">
        <v>248</v>
      </c>
      <c r="H22" s="164"/>
      <c r="I22" s="206"/>
      <c r="K22" s="206">
        <f>+K14</f>
        <v>2000</v>
      </c>
      <c r="M22" s="229"/>
      <c r="O22" t="s">
        <v>269</v>
      </c>
      <c r="P22" s="232" t="s">
        <v>244</v>
      </c>
      <c r="Q22" t="s">
        <v>266</v>
      </c>
    </row>
    <row r="23" spans="1:18" x14ac:dyDescent="0.5">
      <c r="C23" s="206"/>
      <c r="D23" s="206"/>
      <c r="E23" s="164"/>
      <c r="H23" s="164"/>
      <c r="M23" s="229"/>
    </row>
    <row r="24" spans="1:18" ht="14.7" thickBot="1" x14ac:dyDescent="0.55000000000000004">
      <c r="A24" s="197" t="s">
        <v>250</v>
      </c>
      <c r="C24" s="206"/>
      <c r="D24" s="206"/>
      <c r="E24" s="164"/>
      <c r="G24" s="197" t="s">
        <v>250</v>
      </c>
      <c r="H24" s="164"/>
      <c r="I24" s="206"/>
      <c r="J24" s="206"/>
      <c r="M24" s="229"/>
      <c r="O24" s="213" t="s">
        <v>236</v>
      </c>
      <c r="P24" s="212"/>
      <c r="Q24" s="212"/>
      <c r="R24" s="212"/>
    </row>
    <row r="25" spans="1:18" ht="16.7" thickBot="1" x14ac:dyDescent="0.55000000000000004">
      <c r="A25" s="201" t="s">
        <v>251</v>
      </c>
      <c r="E25" s="220">
        <f>-B6*((1+B7)^B8)</f>
        <v>1331.0000000000005</v>
      </c>
      <c r="G25" s="201" t="s">
        <v>255</v>
      </c>
      <c r="H25" s="220">
        <f>+K14/((1+$H$7)^H8)</f>
        <v>1502.6296018031551</v>
      </c>
      <c r="M25" s="229"/>
      <c r="O25" s="197" t="s">
        <v>250</v>
      </c>
      <c r="Q25" s="197" t="s">
        <v>252</v>
      </c>
    </row>
    <row r="26" spans="1:18" ht="16.7" thickBot="1" x14ac:dyDescent="0.55000000000000004">
      <c r="M26" s="229"/>
      <c r="O26" s="201" t="s">
        <v>271</v>
      </c>
      <c r="Q26" s="209" t="s">
        <v>301</v>
      </c>
    </row>
    <row r="27" spans="1:18" ht="16.7" thickBot="1" x14ac:dyDescent="0.55000000000000004">
      <c r="A27" s="197" t="s">
        <v>252</v>
      </c>
      <c r="G27" s="197" t="s">
        <v>252</v>
      </c>
      <c r="M27" s="229"/>
      <c r="O27" s="209" t="s">
        <v>270</v>
      </c>
      <c r="Q27" s="228">
        <f>NPER(P21,0,-P20,P19)</f>
        <v>4.2541637099058898</v>
      </c>
      <c r="R27" t="s">
        <v>276</v>
      </c>
    </row>
    <row r="28" spans="1:18" ht="14.7" thickBot="1" x14ac:dyDescent="0.55000000000000004">
      <c r="A28" s="209" t="s">
        <v>253</v>
      </c>
      <c r="E28" s="210">
        <f>FV(B7,B8,0,B6,0)</f>
        <v>1331.0000000000005</v>
      </c>
      <c r="G28" s="209" t="s">
        <v>256</v>
      </c>
      <c r="H28" s="210">
        <f>-PV(H7,H8,0,K14,0)</f>
        <v>1502.6296018031551</v>
      </c>
      <c r="M28" s="229"/>
      <c r="O28" s="209" t="s">
        <v>275</v>
      </c>
      <c r="Q28" s="228">
        <f>+(LN(P19/P20))/(LN(1+P21))</f>
        <v>4.2541637099058898</v>
      </c>
      <c r="R28" t="s">
        <v>276</v>
      </c>
    </row>
    <row r="29" spans="1:18" x14ac:dyDescent="0.5">
      <c r="A29" s="209"/>
      <c r="M29" s="229"/>
      <c r="O29" s="215"/>
      <c r="P29" s="215"/>
      <c r="Q29" s="215"/>
      <c r="R29" s="215"/>
    </row>
    <row r="30" spans="1:18" ht="18" x14ac:dyDescent="0.6">
      <c r="A30" s="221" t="s">
        <v>259</v>
      </c>
      <c r="B30" s="222"/>
      <c r="C30" s="222"/>
      <c r="D30" s="222"/>
      <c r="E30" s="222"/>
      <c r="F30" s="222"/>
      <c r="G30" s="221" t="s">
        <v>261</v>
      </c>
      <c r="H30" s="222"/>
      <c r="I30" s="222"/>
      <c r="J30" s="222"/>
      <c r="K30" s="222"/>
      <c r="L30" s="223"/>
      <c r="M30" s="229"/>
      <c r="N30" s="223"/>
      <c r="O30" s="224" t="s">
        <v>285</v>
      </c>
      <c r="P30" s="216"/>
      <c r="Q30" s="216"/>
      <c r="R30" s="216"/>
    </row>
    <row r="31" spans="1:18" ht="6.7" customHeight="1" x14ac:dyDescent="0.6">
      <c r="A31" s="211"/>
      <c r="M31" s="229"/>
    </row>
    <row r="32" spans="1:18" x14ac:dyDescent="0.5">
      <c r="A32" s="213" t="s">
        <v>232</v>
      </c>
      <c r="B32" s="212"/>
      <c r="C32" s="212"/>
      <c r="D32" s="212"/>
      <c r="E32" s="212"/>
      <c r="G32" s="213" t="s">
        <v>232</v>
      </c>
      <c r="H32" s="212"/>
      <c r="I32" s="212"/>
      <c r="J32" s="212"/>
      <c r="K32" s="212"/>
      <c r="M32" s="229"/>
      <c r="O32" s="213" t="s">
        <v>232</v>
      </c>
      <c r="P32" s="212"/>
      <c r="Q32" s="212"/>
      <c r="R32" s="212"/>
    </row>
    <row r="33" spans="1:18" x14ac:dyDescent="0.5">
      <c r="A33" t="s">
        <v>260</v>
      </c>
      <c r="B33" s="217">
        <v>100</v>
      </c>
      <c r="G33" t="s">
        <v>260</v>
      </c>
      <c r="H33" s="217">
        <v>100</v>
      </c>
      <c r="M33" s="229"/>
      <c r="O33" t="s">
        <v>264</v>
      </c>
      <c r="P33" s="164">
        <v>100</v>
      </c>
    </row>
    <row r="34" spans="1:18" x14ac:dyDescent="0.5">
      <c r="A34" t="s">
        <v>235</v>
      </c>
      <c r="B34" s="218">
        <v>0.05</v>
      </c>
      <c r="G34" t="s">
        <v>235</v>
      </c>
      <c r="H34" s="218">
        <v>0.05</v>
      </c>
      <c r="M34" s="229"/>
      <c r="O34" t="s">
        <v>265</v>
      </c>
      <c r="P34" s="233" t="s">
        <v>244</v>
      </c>
    </row>
    <row r="35" spans="1:18" x14ac:dyDescent="0.5">
      <c r="A35" t="s">
        <v>268</v>
      </c>
      <c r="B35" s="219">
        <v>3</v>
      </c>
      <c r="G35" t="s">
        <v>268</v>
      </c>
      <c r="H35" s="219">
        <v>3</v>
      </c>
      <c r="M35" s="229"/>
      <c r="O35" t="s">
        <v>269</v>
      </c>
      <c r="P35">
        <v>3</v>
      </c>
      <c r="Q35" t="s">
        <v>266</v>
      </c>
    </row>
    <row r="36" spans="1:18" ht="8.4499999999999993" customHeight="1" x14ac:dyDescent="0.5">
      <c r="B36" s="219"/>
      <c r="H36" s="219"/>
      <c r="M36" s="229"/>
    </row>
    <row r="37" spans="1:18" ht="30" customHeight="1" x14ac:dyDescent="0.5">
      <c r="A37" s="240" t="str">
        <f>+"Question: What will my investment grow to If Invest "&amp;-B33&amp;" every year at "&amp;+B34*100&amp;"% for the next "&amp;+B35&amp;" years"</f>
        <v>Question: What will my investment grow to If Invest -100 every year at 5% for the next 3 years</v>
      </c>
      <c r="B37" s="241"/>
      <c r="C37" s="241"/>
      <c r="D37" s="241"/>
      <c r="E37" s="241"/>
      <c r="G37" s="240" t="str">
        <f>+"Question: What is the investment worth today If I invest "&amp;+H33&amp;" at "&amp;+H34*100&amp;"% for the next "&amp;+H35&amp;" years"</f>
        <v>Question: What is the investment worth today If I invest 100 at 5% for the next 3 years</v>
      </c>
      <c r="H37" s="241"/>
      <c r="I37" s="241"/>
      <c r="J37" s="241"/>
      <c r="K37" s="241"/>
      <c r="M37" s="229"/>
      <c r="O37" s="225" t="s">
        <v>274</v>
      </c>
      <c r="P37" s="226" t="s">
        <v>280</v>
      </c>
    </row>
    <row r="38" spans="1:18" x14ac:dyDescent="0.5">
      <c r="M38" s="229"/>
      <c r="O38" s="213" t="s">
        <v>236</v>
      </c>
      <c r="P38" s="212"/>
      <c r="Q38" s="212"/>
      <c r="R38" s="212"/>
    </row>
    <row r="39" spans="1:18" x14ac:dyDescent="0.5">
      <c r="B39" s="214" t="s">
        <v>242</v>
      </c>
      <c r="C39" s="215"/>
      <c r="D39" s="215"/>
      <c r="E39" s="214" t="s">
        <v>263</v>
      </c>
      <c r="H39" s="214" t="s">
        <v>242</v>
      </c>
      <c r="I39" s="215"/>
      <c r="J39" s="215"/>
      <c r="K39" s="214" t="s">
        <v>243</v>
      </c>
      <c r="M39" s="229"/>
      <c r="P39">
        <v>1</v>
      </c>
    </row>
    <row r="40" spans="1:18" x14ac:dyDescent="0.5">
      <c r="B40" s="208" t="s">
        <v>237</v>
      </c>
      <c r="C40" s="208" t="s">
        <v>238</v>
      </c>
      <c r="D40" s="208" t="s">
        <v>239</v>
      </c>
      <c r="E40" s="208" t="s">
        <v>240</v>
      </c>
      <c r="H40" s="208" t="s">
        <v>237</v>
      </c>
      <c r="I40" s="208" t="s">
        <v>238</v>
      </c>
      <c r="J40" s="208" t="s">
        <v>239</v>
      </c>
      <c r="K40" s="208" t="s">
        <v>240</v>
      </c>
      <c r="M40" s="229"/>
      <c r="O40" s="208" t="s">
        <v>237</v>
      </c>
      <c r="P40" s="208" t="s">
        <v>238</v>
      </c>
      <c r="Q40" s="208" t="s">
        <v>239</v>
      </c>
      <c r="R40" s="208" t="s">
        <v>240</v>
      </c>
    </row>
    <row r="41" spans="1:18" x14ac:dyDescent="0.5">
      <c r="A41" t="s">
        <v>241</v>
      </c>
      <c r="B41" s="207">
        <v>0</v>
      </c>
      <c r="C41" s="207">
        <f>-B33</f>
        <v>-100</v>
      </c>
      <c r="D41" s="207">
        <f>-B33</f>
        <v>-100</v>
      </c>
      <c r="E41" s="207">
        <f>-B33</f>
        <v>-100</v>
      </c>
      <c r="G41" t="s">
        <v>241</v>
      </c>
      <c r="H41" s="207"/>
      <c r="I41" s="207">
        <f>+C41</f>
        <v>-100</v>
      </c>
      <c r="J41" s="207">
        <f>+I41</f>
        <v>-100</v>
      </c>
      <c r="K41" s="207">
        <f>+J41</f>
        <v>-100</v>
      </c>
      <c r="M41" s="229"/>
      <c r="P41" s="57">
        <v>0.06</v>
      </c>
      <c r="Q41" s="57">
        <v>0.03</v>
      </c>
      <c r="R41" s="57">
        <v>0.05</v>
      </c>
    </row>
    <row r="42" spans="1:18" x14ac:dyDescent="0.5">
      <c r="M42" s="229"/>
      <c r="O42" t="s">
        <v>281</v>
      </c>
      <c r="P42" s="81">
        <f>+$P$33*((1+P41)^P39)</f>
        <v>106</v>
      </c>
    </row>
    <row r="43" spans="1:18" x14ac:dyDescent="0.5">
      <c r="A43" s="213" t="s">
        <v>236</v>
      </c>
      <c r="B43" s="212"/>
      <c r="C43" s="212"/>
      <c r="D43" s="212"/>
      <c r="E43" s="212"/>
      <c r="G43" s="213" t="s">
        <v>236</v>
      </c>
      <c r="H43" s="212"/>
      <c r="I43" s="212"/>
      <c r="J43" s="212"/>
      <c r="K43" s="212"/>
      <c r="M43" s="229"/>
      <c r="O43" t="s">
        <v>281</v>
      </c>
      <c r="Q43" s="206">
        <f>P42*(1+Q41)^P39</f>
        <v>109.18</v>
      </c>
    </row>
    <row r="44" spans="1:18" ht="14.7" thickBot="1" x14ac:dyDescent="0.55000000000000004">
      <c r="A44" s="197"/>
      <c r="M44" s="229"/>
      <c r="O44" t="s">
        <v>281</v>
      </c>
      <c r="Q44" s="197"/>
      <c r="R44" s="81">
        <f>+Q43*(1+R41)^P39</f>
        <v>114.63900000000001</v>
      </c>
    </row>
    <row r="45" spans="1:18" ht="14.7" thickBot="1" x14ac:dyDescent="0.55000000000000004">
      <c r="A45" s="197" t="s">
        <v>245</v>
      </c>
      <c r="G45" s="197" t="s">
        <v>245</v>
      </c>
      <c r="M45" s="229"/>
      <c r="O45" s="201" t="s">
        <v>282</v>
      </c>
      <c r="Q45" s="236" t="s">
        <v>290</v>
      </c>
      <c r="R45" s="210">
        <f>+R44</f>
        <v>114.63900000000001</v>
      </c>
    </row>
    <row r="46" spans="1:18" ht="16.7" thickBot="1" x14ac:dyDescent="0.7">
      <c r="A46" t="s">
        <v>249</v>
      </c>
      <c r="B46" s="206"/>
      <c r="C46" s="206"/>
      <c r="D46" s="206"/>
      <c r="E46" s="206"/>
      <c r="G46" t="s">
        <v>249</v>
      </c>
      <c r="H46" s="210">
        <f>+H47+I48+J49</f>
        <v>272.32480293704782</v>
      </c>
      <c r="M46" s="229"/>
      <c r="O46" s="231" t="s">
        <v>283</v>
      </c>
      <c r="P46" s="201" t="s">
        <v>296</v>
      </c>
      <c r="Q46" s="197"/>
    </row>
    <row r="47" spans="1:18" ht="14.7" thickBot="1" x14ac:dyDescent="0.55000000000000004">
      <c r="A47" t="s">
        <v>246</v>
      </c>
      <c r="C47" s="206">
        <f>-C41</f>
        <v>100</v>
      </c>
      <c r="D47" s="206"/>
      <c r="E47" s="206"/>
      <c r="G47" t="s">
        <v>246</v>
      </c>
      <c r="H47" s="206">
        <f>I48/(1+$H$34)</f>
        <v>86.383759853147595</v>
      </c>
      <c r="I47" s="206"/>
      <c r="K47" s="206"/>
      <c r="M47" s="229"/>
      <c r="O47" s="209"/>
      <c r="Q47" s="197"/>
      <c r="R47" s="210">
        <f>+P33*(1+P41)*(1+Q41)*(1+R41)</f>
        <v>114.63900000000001</v>
      </c>
    </row>
    <row r="48" spans="1:18" x14ac:dyDescent="0.5">
      <c r="A48" t="s">
        <v>247</v>
      </c>
      <c r="C48" s="206"/>
      <c r="D48" s="206">
        <f>+C47*(1+$B$34)</f>
        <v>105</v>
      </c>
      <c r="E48" s="206"/>
      <c r="G48" t="s">
        <v>247</v>
      </c>
      <c r="I48" s="206">
        <f>J49/(1+$H$34)</f>
        <v>90.702947845804985</v>
      </c>
      <c r="J48" s="206"/>
      <c r="K48" s="206"/>
      <c r="M48" s="229"/>
      <c r="O48" t="s">
        <v>297</v>
      </c>
    </row>
    <row r="49" spans="1:17" ht="14.7" thickBot="1" x14ac:dyDescent="0.55000000000000004">
      <c r="A49" t="s">
        <v>248</v>
      </c>
      <c r="C49" s="206"/>
      <c r="D49" s="206"/>
      <c r="E49" s="206">
        <f>+D48*(1+$B$34)</f>
        <v>110.25</v>
      </c>
      <c r="G49" t="s">
        <v>248</v>
      </c>
      <c r="I49" s="206"/>
      <c r="J49" s="206">
        <f>K50/(1+$H$34)</f>
        <v>95.238095238095241</v>
      </c>
      <c r="K49" s="206"/>
      <c r="M49" s="229"/>
      <c r="O49" t="s">
        <v>284</v>
      </c>
    </row>
    <row r="50" spans="1:17" ht="16.7" thickBot="1" x14ac:dyDescent="0.7">
      <c r="A50" t="s">
        <v>262</v>
      </c>
      <c r="C50" s="206"/>
      <c r="D50" s="206"/>
      <c r="E50" s="210">
        <f>+E49+D48+C47</f>
        <v>315.25</v>
      </c>
      <c r="I50" s="206"/>
      <c r="K50" s="206">
        <f>-K41</f>
        <v>100</v>
      </c>
      <c r="M50" s="229"/>
      <c r="O50" s="209" t="s">
        <v>295</v>
      </c>
    </row>
    <row r="51" spans="1:17" x14ac:dyDescent="0.5">
      <c r="C51" s="206"/>
      <c r="D51" s="206"/>
      <c r="E51" s="206"/>
      <c r="M51" s="229"/>
    </row>
    <row r="52" spans="1:17" ht="14.7" thickBot="1" x14ac:dyDescent="0.55000000000000004">
      <c r="A52" s="197" t="s">
        <v>250</v>
      </c>
      <c r="C52" s="206"/>
      <c r="D52" s="206"/>
      <c r="E52" s="206"/>
      <c r="G52" s="197" t="s">
        <v>250</v>
      </c>
      <c r="H52" s="206"/>
      <c r="I52" s="206"/>
      <c r="J52" s="206"/>
      <c r="M52" s="229"/>
      <c r="O52" s="201" t="s">
        <v>286</v>
      </c>
      <c r="P52" s="234">
        <f>+(R45-P33)/P33</f>
        <v>0.1463900000000001</v>
      </c>
    </row>
    <row r="53" spans="1:17" ht="16.7" thickBot="1" x14ac:dyDescent="0.55000000000000004">
      <c r="A53" s="201" t="s">
        <v>272</v>
      </c>
      <c r="E53" s="210">
        <f>+B33*((((1+B34)^B35)-1)/B34)</f>
        <v>315.25000000000023</v>
      </c>
      <c r="G53" s="201" t="s">
        <v>273</v>
      </c>
      <c r="H53" s="210">
        <f>H33*(1-(1/((1+H34)^H35)))/H34</f>
        <v>272.32480293704793</v>
      </c>
      <c r="M53" s="229"/>
      <c r="O53" s="201" t="s">
        <v>287</v>
      </c>
      <c r="P53" s="235">
        <f>+P52/P35</f>
        <v>4.8796666666666703E-2</v>
      </c>
      <c r="Q53" t="s">
        <v>288</v>
      </c>
    </row>
    <row r="54" spans="1:17" x14ac:dyDescent="0.5">
      <c r="M54" s="229"/>
    </row>
    <row r="55" spans="1:17" ht="14.7" thickBot="1" x14ac:dyDescent="0.55000000000000004">
      <c r="A55" s="197" t="s">
        <v>252</v>
      </c>
      <c r="G55" s="197" t="s">
        <v>252</v>
      </c>
      <c r="M55" s="229"/>
      <c r="O55" s="197" t="s">
        <v>292</v>
      </c>
    </row>
    <row r="56" spans="1:17" ht="16.7" thickBot="1" x14ac:dyDescent="0.7">
      <c r="A56" s="209" t="s">
        <v>253</v>
      </c>
      <c r="E56" s="210">
        <f>-FV(B34,B35,+B33,0,0)</f>
        <v>315.25000000000023</v>
      </c>
      <c r="G56" s="209" t="s">
        <v>256</v>
      </c>
      <c r="H56" s="210">
        <f>-PV(H34,H35,+H33,0,0)</f>
        <v>272.32480293704799</v>
      </c>
      <c r="M56" s="229"/>
      <c r="O56" s="201" t="s">
        <v>291</v>
      </c>
      <c r="P56" s="234">
        <f>AVERAGE(P41:R41)</f>
        <v>4.6666666666666669E-2</v>
      </c>
      <c r="Q56" t="s">
        <v>294</v>
      </c>
    </row>
    <row r="57" spans="1:17" x14ac:dyDescent="0.5">
      <c r="M57" s="229"/>
      <c r="O57" s="201" t="s">
        <v>289</v>
      </c>
      <c r="P57" s="234">
        <f>+(R45/P33)^(1/P35)-1</f>
        <v>4.6592125992794831E-2</v>
      </c>
      <c r="Q57" s="14" t="s">
        <v>293</v>
      </c>
    </row>
    <row r="58" spans="1:17" x14ac:dyDescent="0.5">
      <c r="M58" s="229"/>
    </row>
    <row r="59" spans="1:17" x14ac:dyDescent="0.5">
      <c r="M59" s="229"/>
      <c r="O59" s="201" t="s">
        <v>303</v>
      </c>
      <c r="P59" s="100">
        <f>RATE(P35,0,-P33,R44)</f>
        <v>4.6592125992794955E-2</v>
      </c>
      <c r="Q59" s="201" t="s">
        <v>302</v>
      </c>
    </row>
    <row r="60" spans="1:17" x14ac:dyDescent="0.5">
      <c r="M60" s="229"/>
    </row>
    <row r="61" spans="1:17" x14ac:dyDescent="0.5">
      <c r="M61" s="229"/>
    </row>
    <row r="62" spans="1:17" x14ac:dyDescent="0.5">
      <c r="M62" s="229"/>
    </row>
    <row r="63" spans="1:17" x14ac:dyDescent="0.5">
      <c r="M63" s="229"/>
    </row>
    <row r="64" spans="1:17" x14ac:dyDescent="0.5">
      <c r="M64" s="229"/>
    </row>
    <row r="65" spans="13:13" x14ac:dyDescent="0.5">
      <c r="M65" s="229"/>
    </row>
    <row r="66" spans="13:13" x14ac:dyDescent="0.5">
      <c r="M66" s="229"/>
    </row>
  </sheetData>
  <mergeCells count="5">
    <mergeCell ref="A10:E10"/>
    <mergeCell ref="G10:K10"/>
    <mergeCell ref="A37:E37"/>
    <mergeCell ref="G37:K37"/>
    <mergeCell ref="O10:R10"/>
  </mergeCells>
  <phoneticPr fontId="35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F52A-0085-4303-93F2-975B0F1457F2}">
  <dimension ref="A1:I21"/>
  <sheetViews>
    <sheetView showGridLines="0" tabSelected="1" workbookViewId="0">
      <selection activeCell="K8" sqref="K8"/>
    </sheetView>
  </sheetViews>
  <sheetFormatPr defaultRowHeight="14.35" x14ac:dyDescent="0.5"/>
  <cols>
    <col min="1" max="1" width="15.17578125" customWidth="1"/>
    <col min="2" max="4" width="11.05859375" customWidth="1"/>
    <col min="5" max="5" width="6.52734375" customWidth="1"/>
    <col min="6" max="6" width="13.703125" customWidth="1"/>
    <col min="7" max="9" width="10.1171875" customWidth="1"/>
  </cols>
  <sheetData>
    <row r="1" spans="1:9" ht="20" x14ac:dyDescent="0.6">
      <c r="A1" s="25" t="s">
        <v>15</v>
      </c>
    </row>
    <row r="3" spans="1:9" ht="19.7" customHeight="1" x14ac:dyDescent="0.55000000000000004">
      <c r="A3" s="26" t="s">
        <v>16</v>
      </c>
      <c r="B3" s="27"/>
      <c r="C3" s="27"/>
      <c r="D3" s="27"/>
      <c r="E3" s="27"/>
      <c r="F3" s="26" t="s">
        <v>17</v>
      </c>
      <c r="G3" s="27"/>
      <c r="H3" s="27"/>
      <c r="I3" s="27"/>
    </row>
    <row r="4" spans="1:9" ht="43" customHeight="1" thickBot="1" x14ac:dyDescent="0.55000000000000004">
      <c r="A4" s="1" t="s">
        <v>0</v>
      </c>
      <c r="B4" s="1" t="s">
        <v>1</v>
      </c>
      <c r="C4" s="2" t="s">
        <v>9</v>
      </c>
      <c r="D4" s="2" t="s">
        <v>304</v>
      </c>
      <c r="F4" s="1" t="s">
        <v>0</v>
      </c>
      <c r="G4" s="1" t="s">
        <v>1</v>
      </c>
      <c r="H4" s="2" t="s">
        <v>9</v>
      </c>
      <c r="I4" s="2" t="s">
        <v>304</v>
      </c>
    </row>
    <row r="5" spans="1:9" ht="14.7" thickTop="1" x14ac:dyDescent="0.5">
      <c r="A5" s="3">
        <v>1</v>
      </c>
      <c r="B5" s="4">
        <v>0.129</v>
      </c>
      <c r="C5" s="5">
        <f>+B5-$B$18</f>
        <v>2.9800000000000021E-2</v>
      </c>
      <c r="D5" s="6">
        <f>+C5^2</f>
        <v>8.8804000000000129E-4</v>
      </c>
      <c r="F5" s="3">
        <v>1</v>
      </c>
      <c r="G5" s="4">
        <v>0.19900000000000001</v>
      </c>
      <c r="H5" s="5">
        <f>+G5-$G$18</f>
        <v>9.9800000000000014E-2</v>
      </c>
      <c r="I5" s="6">
        <f>+H5^2</f>
        <v>9.9600400000000033E-3</v>
      </c>
    </row>
    <row r="6" spans="1:9" x14ac:dyDescent="0.5">
      <c r="A6" s="3">
        <v>2</v>
      </c>
      <c r="B6" s="4">
        <v>0.313</v>
      </c>
      <c r="C6" s="5">
        <f t="shared" ref="C6:C14" si="0">+B6-$B$18</f>
        <v>0.21380000000000002</v>
      </c>
      <c r="D6" s="6">
        <f>+C6^2</f>
        <v>4.5710440000000005E-2</v>
      </c>
      <c r="F6" s="3">
        <v>2</v>
      </c>
      <c r="G6" s="4">
        <v>0.15</v>
      </c>
      <c r="H6" s="5">
        <f t="shared" ref="H6:H14" si="1">+G6-$G$18</f>
        <v>5.0799999999999998E-2</v>
      </c>
      <c r="I6" s="6">
        <f>+H6^2</f>
        <v>2.5806399999999999E-3</v>
      </c>
    </row>
    <row r="7" spans="1:9" x14ac:dyDescent="0.5">
      <c r="A7" s="3">
        <v>3</v>
      </c>
      <c r="B7" s="4">
        <v>0.05</v>
      </c>
      <c r="C7" s="5">
        <f t="shared" si="0"/>
        <v>-4.919999999999998E-2</v>
      </c>
      <c r="D7" s="6">
        <f t="shared" ref="D7:D12" si="2">+C7^2</f>
        <v>2.4206399999999982E-3</v>
      </c>
      <c r="F7" s="3">
        <v>3</v>
      </c>
      <c r="G7" s="4">
        <v>0.08</v>
      </c>
      <c r="H7" s="5">
        <f t="shared" si="1"/>
        <v>-1.9199999999999995E-2</v>
      </c>
      <c r="I7" s="6">
        <f t="shared" ref="I7:I12" si="3">+H7^2</f>
        <v>3.6863999999999978E-4</v>
      </c>
    </row>
    <row r="8" spans="1:9" x14ac:dyDescent="0.5">
      <c r="A8" s="3">
        <v>4</v>
      </c>
      <c r="B8" s="4">
        <v>-0.02</v>
      </c>
      <c r="C8" s="5">
        <f t="shared" si="0"/>
        <v>-0.11919999999999999</v>
      </c>
      <c r="D8" s="6">
        <f t="shared" si="2"/>
        <v>1.4208639999999996E-2</v>
      </c>
      <c r="F8" s="3">
        <v>4</v>
      </c>
      <c r="G8" s="4">
        <v>-0.11</v>
      </c>
      <c r="H8" s="5">
        <f t="shared" si="1"/>
        <v>-0.2092</v>
      </c>
      <c r="I8" s="6">
        <f t="shared" si="3"/>
        <v>4.376464E-2</v>
      </c>
    </row>
    <row r="9" spans="1:9" x14ac:dyDescent="0.5">
      <c r="A9" s="3">
        <v>5</v>
      </c>
      <c r="B9" s="4">
        <v>0.02</v>
      </c>
      <c r="C9" s="5">
        <f t="shared" si="0"/>
        <v>-7.9199999999999979E-2</v>
      </c>
      <c r="D9" s="6">
        <f t="shared" si="2"/>
        <v>6.2726399999999969E-3</v>
      </c>
      <c r="F9" s="3">
        <v>5</v>
      </c>
      <c r="G9" s="4">
        <v>7.0000000000000007E-2</v>
      </c>
      <c r="H9" s="5">
        <f t="shared" si="1"/>
        <v>-2.919999999999999E-2</v>
      </c>
      <c r="I9" s="6">
        <f t="shared" si="3"/>
        <v>8.5263999999999945E-4</v>
      </c>
    </row>
    <row r="10" spans="1:9" x14ac:dyDescent="0.5">
      <c r="A10" s="3">
        <v>6</v>
      </c>
      <c r="B10" s="4">
        <v>0.22</v>
      </c>
      <c r="C10" s="5">
        <f t="shared" si="0"/>
        <v>0.12080000000000002</v>
      </c>
      <c r="D10" s="6">
        <f t="shared" si="2"/>
        <v>1.4592640000000004E-2</v>
      </c>
      <c r="F10" s="3">
        <v>6</v>
      </c>
      <c r="G10" s="4">
        <v>0.14000000000000001</v>
      </c>
      <c r="H10" s="5">
        <f t="shared" si="1"/>
        <v>4.0800000000000017E-2</v>
      </c>
      <c r="I10" s="6">
        <f t="shared" si="3"/>
        <v>1.6646400000000013E-3</v>
      </c>
    </row>
    <row r="11" spans="1:9" x14ac:dyDescent="0.5">
      <c r="A11" s="3">
        <v>7</v>
      </c>
      <c r="B11" s="4">
        <v>0.12</v>
      </c>
      <c r="C11" s="5">
        <f t="shared" si="0"/>
        <v>2.0800000000000013E-2</v>
      </c>
      <c r="D11" s="6">
        <f t="shared" si="2"/>
        <v>4.3264000000000052E-4</v>
      </c>
      <c r="F11" s="3">
        <v>7</v>
      </c>
      <c r="G11" s="4">
        <v>0.24</v>
      </c>
      <c r="H11" s="5">
        <f t="shared" si="1"/>
        <v>0.14079999999999998</v>
      </c>
      <c r="I11" s="6">
        <f t="shared" si="3"/>
        <v>1.9824639999999994E-2</v>
      </c>
    </row>
    <row r="12" spans="1:9" x14ac:dyDescent="0.5">
      <c r="A12" s="3">
        <v>8</v>
      </c>
      <c r="B12" s="4">
        <v>0.12</v>
      </c>
      <c r="C12" s="5">
        <f t="shared" si="0"/>
        <v>2.0800000000000013E-2</v>
      </c>
      <c r="D12" s="6">
        <f t="shared" si="2"/>
        <v>4.3264000000000052E-4</v>
      </c>
      <c r="F12" s="3">
        <v>8</v>
      </c>
      <c r="G12" s="4">
        <v>0.2</v>
      </c>
      <c r="H12" s="5">
        <f t="shared" si="1"/>
        <v>0.10080000000000001</v>
      </c>
      <c r="I12" s="6">
        <f t="shared" si="3"/>
        <v>1.0160640000000004E-2</v>
      </c>
    </row>
    <row r="13" spans="1:9" x14ac:dyDescent="0.5">
      <c r="A13" s="3">
        <v>9</v>
      </c>
      <c r="B13" s="4">
        <v>-0.05</v>
      </c>
      <c r="C13" s="5">
        <f t="shared" si="0"/>
        <v>-0.1492</v>
      </c>
      <c r="D13" s="6">
        <f>+C13^2</f>
        <v>2.2260639999999998E-2</v>
      </c>
      <c r="F13" s="3">
        <v>9</v>
      </c>
      <c r="G13" s="4">
        <v>-5.3999999999999999E-2</v>
      </c>
      <c r="H13" s="5">
        <f t="shared" si="1"/>
        <v>-0.1532</v>
      </c>
      <c r="I13" s="6">
        <f>+H13^2</f>
        <v>2.347024E-2</v>
      </c>
    </row>
    <row r="14" spans="1:9" x14ac:dyDescent="0.5">
      <c r="A14" s="3">
        <v>10</v>
      </c>
      <c r="B14" s="4">
        <v>0.09</v>
      </c>
      <c r="C14" s="5">
        <f t="shared" si="0"/>
        <v>-9.199999999999986E-3</v>
      </c>
      <c r="D14" s="6">
        <f>+C14^2</f>
        <v>8.4639999999999745E-5</v>
      </c>
      <c r="F14" s="3">
        <v>10</v>
      </c>
      <c r="G14" s="4">
        <v>7.6999999999999999E-2</v>
      </c>
      <c r="H14" s="5">
        <f t="shared" si="1"/>
        <v>-2.2199999999999998E-2</v>
      </c>
      <c r="I14" s="6">
        <f>+H14^2</f>
        <v>4.9283999999999992E-4</v>
      </c>
    </row>
    <row r="15" spans="1:9" ht="14.7" thickBot="1" x14ac:dyDescent="0.55000000000000004">
      <c r="A15" s="3" t="s">
        <v>2</v>
      </c>
      <c r="B15" s="7">
        <f>SUM(B5:B14)</f>
        <v>0.99199999999999988</v>
      </c>
      <c r="C15" s="3"/>
      <c r="D15" s="8">
        <f>SUM(D5:D14)</f>
        <v>0.10730359999999999</v>
      </c>
      <c r="F15" s="3" t="s">
        <v>2</v>
      </c>
      <c r="G15" s="7">
        <f>SUM(G5:G14)</f>
        <v>0.99199999999999999</v>
      </c>
      <c r="H15" s="3"/>
      <c r="I15" s="8">
        <f>SUM(I5:I14)</f>
        <v>0.11313959999999999</v>
      </c>
    </row>
    <row r="16" spans="1:9" ht="14.7" thickTop="1" x14ac:dyDescent="0.5">
      <c r="B16" s="9"/>
      <c r="G16" s="9"/>
    </row>
    <row r="17" spans="1:9" x14ac:dyDescent="0.5">
      <c r="A17" t="s">
        <v>3</v>
      </c>
      <c r="B17" s="10">
        <f>COUNT(B5:B14)</f>
        <v>10</v>
      </c>
      <c r="C17" s="3" t="s">
        <v>4</v>
      </c>
      <c r="F17" t="s">
        <v>3</v>
      </c>
      <c r="G17" s="10">
        <f>COUNT(G5:G14)</f>
        <v>10</v>
      </c>
      <c r="H17" s="3" t="s">
        <v>4</v>
      </c>
    </row>
    <row r="18" spans="1:9" x14ac:dyDescent="0.5">
      <c r="A18" s="11" t="s">
        <v>5</v>
      </c>
      <c r="B18" s="12">
        <f>+B15/B17</f>
        <v>9.9199999999999983E-2</v>
      </c>
      <c r="C18" s="3" t="s">
        <v>6</v>
      </c>
      <c r="F18" s="11" t="s">
        <v>5</v>
      </c>
      <c r="G18" s="12">
        <f>+G15/G17</f>
        <v>9.9199999999999997E-2</v>
      </c>
      <c r="H18" s="3" t="s">
        <v>6</v>
      </c>
    </row>
    <row r="19" spans="1:9" x14ac:dyDescent="0.5">
      <c r="A19" t="s">
        <v>7</v>
      </c>
      <c r="B19" s="13">
        <f>+D15/((B17-1))</f>
        <v>1.1922622222222221E-2</v>
      </c>
      <c r="C19" s="244" t="s">
        <v>305</v>
      </c>
      <c r="D19" s="14"/>
      <c r="F19" t="s">
        <v>7</v>
      </c>
      <c r="G19" s="13">
        <f>+I15/(G17-1)</f>
        <v>1.2571066666666665E-2</v>
      </c>
      <c r="H19" s="244" t="s">
        <v>305</v>
      </c>
      <c r="I19" s="14"/>
    </row>
    <row r="20" spans="1:9" x14ac:dyDescent="0.5">
      <c r="A20" s="11" t="s">
        <v>8</v>
      </c>
      <c r="B20" s="15">
        <f>+B19^(0.5)</f>
        <v>0.10919076069989722</v>
      </c>
      <c r="F20" s="11" t="s">
        <v>8</v>
      </c>
      <c r="G20" s="15">
        <f>+G19^(0.5)</f>
        <v>0.11212076822188949</v>
      </c>
    </row>
    <row r="21" spans="1:9" ht="14.7" thickBot="1" x14ac:dyDescent="0.55000000000000004">
      <c r="A21" s="16"/>
      <c r="B21" s="16"/>
      <c r="C21" s="16"/>
      <c r="D21" s="16"/>
      <c r="E21" s="16"/>
      <c r="F21" s="16"/>
      <c r="G21" s="16"/>
      <c r="H21" s="16"/>
      <c r="I21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2838-2017-476C-87EE-6829AC684BB5}">
  <dimension ref="B3:Q36"/>
  <sheetViews>
    <sheetView showGridLines="0" topLeftCell="A8" workbookViewId="0">
      <selection activeCell="N16" sqref="N16"/>
    </sheetView>
  </sheetViews>
  <sheetFormatPr defaultRowHeight="14.35" x14ac:dyDescent="0.5"/>
  <cols>
    <col min="1" max="1" width="5.76171875" customWidth="1"/>
    <col min="2" max="2" width="14.87890625" customWidth="1"/>
    <col min="3" max="3" width="10.87890625" customWidth="1"/>
    <col min="4" max="4" width="2.64453125" customWidth="1"/>
    <col min="6" max="6" width="9.9375" customWidth="1"/>
    <col min="7" max="7" width="9.703125" customWidth="1"/>
    <col min="8" max="8" width="9.3515625" customWidth="1"/>
    <col min="9" max="9" width="10.8203125" customWidth="1"/>
    <col min="10" max="10" width="5.29296875" customWidth="1"/>
    <col min="11" max="11" width="13.703125" customWidth="1"/>
    <col min="12" max="12" width="9.8203125" customWidth="1"/>
    <col min="13" max="13" width="3.41015625" customWidth="1"/>
    <col min="16" max="16" width="11.5859375" customWidth="1"/>
  </cols>
  <sheetData>
    <row r="3" spans="2:17" ht="15.35" x14ac:dyDescent="0.5">
      <c r="B3" s="37" t="s">
        <v>48</v>
      </c>
      <c r="C3" s="38"/>
      <c r="D3" s="38"/>
      <c r="E3" s="38"/>
      <c r="F3" s="38"/>
      <c r="G3" s="38"/>
      <c r="H3" s="38"/>
      <c r="I3" s="38"/>
      <c r="J3" s="38"/>
      <c r="K3" s="37" t="s">
        <v>229</v>
      </c>
    </row>
    <row r="4" spans="2:17" ht="15.7" thickBot="1" x14ac:dyDescent="0.55000000000000004">
      <c r="B4" s="38"/>
      <c r="C4" s="38"/>
      <c r="D4" s="38"/>
      <c r="E4" s="243" t="s">
        <v>24</v>
      </c>
      <c r="F4" s="243"/>
      <c r="G4" s="243"/>
      <c r="H4" s="243"/>
      <c r="I4" s="243"/>
      <c r="J4" s="38"/>
      <c r="K4" s="16"/>
      <c r="L4" s="16"/>
      <c r="N4" s="16"/>
      <c r="O4" s="16"/>
      <c r="P4" s="16"/>
      <c r="Q4" s="16"/>
    </row>
    <row r="5" spans="2:17" ht="63.7" thickBot="1" x14ac:dyDescent="0.55000000000000004">
      <c r="B5" s="39" t="s">
        <v>26</v>
      </c>
      <c r="C5" s="40" t="s">
        <v>27</v>
      </c>
      <c r="D5" s="41"/>
      <c r="E5" s="40" t="s">
        <v>28</v>
      </c>
      <c r="F5" s="42" t="s">
        <v>29</v>
      </c>
      <c r="G5" s="40" t="s">
        <v>30</v>
      </c>
      <c r="H5" s="40" t="s">
        <v>31</v>
      </c>
      <c r="I5" s="43" t="s">
        <v>32</v>
      </c>
      <c r="J5" s="44"/>
      <c r="K5" s="39" t="s">
        <v>26</v>
      </c>
      <c r="L5" s="40" t="s">
        <v>27</v>
      </c>
      <c r="N5" s="40" t="s">
        <v>42</v>
      </c>
      <c r="O5" s="40" t="s">
        <v>43</v>
      </c>
      <c r="P5" s="40" t="s">
        <v>44</v>
      </c>
      <c r="Q5" s="66" t="s">
        <v>45</v>
      </c>
    </row>
    <row r="7" spans="2:17" x14ac:dyDescent="0.5">
      <c r="B7" t="s">
        <v>35</v>
      </c>
      <c r="C7" s="45">
        <v>0.25</v>
      </c>
      <c r="D7" s="46"/>
      <c r="E7" s="47">
        <v>-12</v>
      </c>
      <c r="F7" s="48">
        <f>+E7*C7</f>
        <v>-3</v>
      </c>
      <c r="G7" s="48">
        <f>+E7-$F$11</f>
        <v>-23.7</v>
      </c>
      <c r="H7" s="48">
        <f>+G7^2</f>
        <v>561.68999999999994</v>
      </c>
      <c r="I7" s="48">
        <f>+H7*C7</f>
        <v>140.42249999999999</v>
      </c>
      <c r="K7" t="s">
        <v>35</v>
      </c>
      <c r="L7" s="65">
        <f>+C7</f>
        <v>0.25</v>
      </c>
      <c r="N7" s="48">
        <f>+G7</f>
        <v>-23.7</v>
      </c>
      <c r="O7" s="48">
        <f>+G17</f>
        <v>9.75</v>
      </c>
      <c r="P7" s="48">
        <f>+O7*N7</f>
        <v>-231.07499999999999</v>
      </c>
      <c r="Q7" s="48">
        <f>+P7*L7</f>
        <v>-57.768749999999997</v>
      </c>
    </row>
    <row r="8" spans="2:17" x14ac:dyDescent="0.5">
      <c r="B8" t="s">
        <v>36</v>
      </c>
      <c r="C8" s="45">
        <v>0.45</v>
      </c>
      <c r="D8" s="46"/>
      <c r="E8" s="47">
        <v>14</v>
      </c>
      <c r="F8" s="48">
        <f>+E8*C8</f>
        <v>6.3</v>
      </c>
      <c r="G8" s="48">
        <f>+E8-$F$11</f>
        <v>2.3000000000000007</v>
      </c>
      <c r="H8" s="48">
        <f>+G8^2</f>
        <v>5.2900000000000036</v>
      </c>
      <c r="I8" s="48">
        <f>+H8*C8</f>
        <v>2.3805000000000018</v>
      </c>
      <c r="K8" t="s">
        <v>36</v>
      </c>
      <c r="L8" s="65">
        <f>+C8</f>
        <v>0.45</v>
      </c>
      <c r="N8" s="48">
        <f t="shared" ref="N8:N9" si="0">+G8</f>
        <v>2.3000000000000007</v>
      </c>
      <c r="O8" s="48">
        <f t="shared" ref="O8:O9" si="1">+G18</f>
        <v>0.75</v>
      </c>
      <c r="P8" s="48">
        <f>+O8*N8</f>
        <v>1.7250000000000005</v>
      </c>
      <c r="Q8" s="48">
        <f>+P8*L8</f>
        <v>0.77625000000000022</v>
      </c>
    </row>
    <row r="9" spans="2:17" x14ac:dyDescent="0.5">
      <c r="B9" t="s">
        <v>37</v>
      </c>
      <c r="C9" s="45">
        <v>0.3</v>
      </c>
      <c r="D9" s="46"/>
      <c r="E9" s="47">
        <v>28</v>
      </c>
      <c r="F9" s="48">
        <f>+E9*C9</f>
        <v>8.4</v>
      </c>
      <c r="G9" s="48">
        <f>+E9-$F$11</f>
        <v>16.3</v>
      </c>
      <c r="H9" s="48">
        <f>+G9^2</f>
        <v>265.69</v>
      </c>
      <c r="I9" s="48">
        <f>+H9*C9</f>
        <v>79.706999999999994</v>
      </c>
      <c r="K9" t="s">
        <v>37</v>
      </c>
      <c r="L9" s="65">
        <f>+C9</f>
        <v>0.3</v>
      </c>
      <c r="N9" s="48">
        <f t="shared" si="0"/>
        <v>16.3</v>
      </c>
      <c r="O9" s="48">
        <f t="shared" si="1"/>
        <v>-9.25</v>
      </c>
      <c r="P9" s="48">
        <f>+O9*N9</f>
        <v>-150.77500000000001</v>
      </c>
      <c r="Q9" s="48">
        <f>+P9*L9</f>
        <v>-45.232500000000002</v>
      </c>
    </row>
    <row r="10" spans="2:17" ht="14.7" thickBot="1" x14ac:dyDescent="0.55000000000000004">
      <c r="C10" s="45"/>
      <c r="D10" s="46"/>
      <c r="E10" s="47"/>
      <c r="F10" s="48"/>
      <c r="G10" s="48"/>
      <c r="H10" s="48"/>
      <c r="L10" s="65"/>
    </row>
    <row r="11" spans="2:17" ht="14.7" thickBot="1" x14ac:dyDescent="0.55000000000000004">
      <c r="C11" s="49">
        <f>SUM(C7:C9)</f>
        <v>1</v>
      </c>
      <c r="E11" s="199" t="s">
        <v>228</v>
      </c>
      <c r="F11" s="53">
        <f>SUM(F7:F9)</f>
        <v>11.7</v>
      </c>
      <c r="G11" s="11" t="s">
        <v>38</v>
      </c>
      <c r="H11" s="51" t="s">
        <v>39</v>
      </c>
      <c r="I11" s="52">
        <f>SUM(I7:I9)</f>
        <v>222.51</v>
      </c>
      <c r="L11" s="49">
        <f>SUM(L7:L9)</f>
        <v>1</v>
      </c>
      <c r="P11" s="11" t="s">
        <v>46</v>
      </c>
      <c r="Q11" s="53">
        <f>SUM(Q7:Q9)</f>
        <v>-102.22499999999999</v>
      </c>
    </row>
    <row r="12" spans="2:17" ht="15" thickTop="1" thickBot="1" x14ac:dyDescent="0.55000000000000004">
      <c r="H12" s="51" t="s">
        <v>227</v>
      </c>
      <c r="I12" s="53">
        <f>SQRT(I11)</f>
        <v>14.916769087171659</v>
      </c>
      <c r="J12" s="54" t="s">
        <v>38</v>
      </c>
      <c r="P12" s="51" t="s">
        <v>47</v>
      </c>
      <c r="Q12" s="53">
        <f>+Q11/('Scenario Return'!I12*'Scenario Return'!I22)</f>
        <v>-0.97220707978637788</v>
      </c>
    </row>
    <row r="14" spans="2:17" ht="15.35" x14ac:dyDescent="0.5">
      <c r="B14" s="38"/>
      <c r="C14" s="38"/>
      <c r="D14" s="38"/>
      <c r="E14" s="243" t="s">
        <v>25</v>
      </c>
      <c r="F14" s="243"/>
      <c r="G14" s="243"/>
      <c r="H14" s="243"/>
      <c r="I14" s="243"/>
    </row>
    <row r="15" spans="2:17" ht="51" thickBot="1" x14ac:dyDescent="0.55000000000000004">
      <c r="B15" s="39" t="s">
        <v>52</v>
      </c>
      <c r="C15" s="40" t="s">
        <v>27</v>
      </c>
      <c r="D15" s="41"/>
      <c r="E15" s="40" t="s">
        <v>33</v>
      </c>
      <c r="F15" s="42" t="s">
        <v>34</v>
      </c>
      <c r="G15" s="40" t="s">
        <v>30</v>
      </c>
      <c r="H15" s="40" t="s">
        <v>31</v>
      </c>
      <c r="I15" s="43" t="s">
        <v>32</v>
      </c>
      <c r="J15" s="3"/>
    </row>
    <row r="17" spans="2:10" x14ac:dyDescent="0.5">
      <c r="B17" t="s">
        <v>49</v>
      </c>
      <c r="C17" s="200">
        <f>+C7</f>
        <v>0.25</v>
      </c>
      <c r="D17" s="46"/>
      <c r="E17" s="47">
        <v>14</v>
      </c>
      <c r="F17" s="48">
        <f>+E17*C17</f>
        <v>3.5</v>
      </c>
      <c r="G17" s="48">
        <f>+E17-$F$21</f>
        <v>9.75</v>
      </c>
      <c r="H17" s="48">
        <f>+G17^2</f>
        <v>95.0625</v>
      </c>
      <c r="I17" s="48">
        <f>+H17*C17</f>
        <v>23.765625</v>
      </c>
    </row>
    <row r="18" spans="2:10" x14ac:dyDescent="0.5">
      <c r="B18" t="s">
        <v>50</v>
      </c>
      <c r="C18" s="200">
        <f>+C8</f>
        <v>0.45</v>
      </c>
      <c r="D18" s="46"/>
      <c r="E18" s="47">
        <v>5</v>
      </c>
      <c r="F18" s="48">
        <f>+E18*C18</f>
        <v>2.25</v>
      </c>
      <c r="G18" s="48">
        <f>+E18-$F$21</f>
        <v>0.75</v>
      </c>
      <c r="H18" s="48">
        <f>+G18^2</f>
        <v>0.5625</v>
      </c>
      <c r="I18" s="48">
        <f>+H18*C18</f>
        <v>0.25312499999999999</v>
      </c>
    </row>
    <row r="19" spans="2:10" x14ac:dyDescent="0.5">
      <c r="B19" t="s">
        <v>51</v>
      </c>
      <c r="C19" s="200">
        <f>+C9</f>
        <v>0.3</v>
      </c>
      <c r="D19" s="46"/>
      <c r="E19" s="47">
        <v>-5</v>
      </c>
      <c r="F19" s="48">
        <f>+E19*C19</f>
        <v>-1.5</v>
      </c>
      <c r="G19" s="48">
        <f>+E19-$F$21</f>
        <v>-9.25</v>
      </c>
      <c r="H19" s="48">
        <f>+G19^2</f>
        <v>85.5625</v>
      </c>
      <c r="I19" s="48">
        <f>+H19*C19</f>
        <v>25.668749999999999</v>
      </c>
    </row>
    <row r="20" spans="2:10" x14ac:dyDescent="0.5">
      <c r="C20" s="45"/>
      <c r="D20" s="46"/>
      <c r="E20" s="48"/>
      <c r="F20" s="48"/>
      <c r="G20" s="48"/>
      <c r="H20" s="48"/>
    </row>
    <row r="21" spans="2:10" ht="14.7" thickBot="1" x14ac:dyDescent="0.55000000000000004">
      <c r="C21" s="49">
        <f>SUM(C17:C19)</f>
        <v>1</v>
      </c>
      <c r="E21" s="199" t="s">
        <v>228</v>
      </c>
      <c r="F21" s="50">
        <f>SUM(F17:F19)</f>
        <v>4.25</v>
      </c>
      <c r="G21" s="11" t="s">
        <v>38</v>
      </c>
      <c r="H21" s="51" t="s">
        <v>39</v>
      </c>
      <c r="I21" s="52">
        <f>SUM(I17:I19)</f>
        <v>49.6875</v>
      </c>
    </row>
    <row r="22" spans="2:10" ht="15" thickTop="1" thickBot="1" x14ac:dyDescent="0.55000000000000004">
      <c r="H22" s="51" t="s">
        <v>227</v>
      </c>
      <c r="I22" s="53">
        <f>SQRT(I21)</f>
        <v>7.0489360899358422</v>
      </c>
      <c r="J22" s="11" t="s">
        <v>38</v>
      </c>
    </row>
    <row r="23" spans="2:10" ht="15.35" x14ac:dyDescent="0.5">
      <c r="B23" s="37" t="s">
        <v>40</v>
      </c>
    </row>
    <row r="24" spans="2:10" x14ac:dyDescent="0.5">
      <c r="H24" s="51"/>
      <c r="I24" s="51"/>
      <c r="J24" s="51"/>
    </row>
    <row r="25" spans="2:10" ht="14.7" thickBot="1" x14ac:dyDescent="0.55000000000000004">
      <c r="B25" s="11" t="s">
        <v>41</v>
      </c>
      <c r="C25" t="s">
        <v>56</v>
      </c>
    </row>
    <row r="26" spans="2:10" ht="14.7" thickBot="1" x14ac:dyDescent="0.55000000000000004">
      <c r="B26" s="55" t="s">
        <v>53</v>
      </c>
      <c r="C26" s="56">
        <v>0.6</v>
      </c>
      <c r="D26" s="57"/>
    </row>
    <row r="27" spans="2:10" ht="18" thickBot="1" x14ac:dyDescent="0.6">
      <c r="B27" s="58" t="s">
        <v>54</v>
      </c>
      <c r="C27" s="59">
        <f>1-C26</f>
        <v>0.4</v>
      </c>
      <c r="F27" s="60" t="s">
        <v>55</v>
      </c>
      <c r="G27" s="61"/>
      <c r="H27" s="62"/>
      <c r="I27" s="63"/>
    </row>
    <row r="28" spans="2:10" ht="14.7" thickBot="1" x14ac:dyDescent="0.55000000000000004">
      <c r="B28" s="64"/>
      <c r="C28" s="64"/>
      <c r="E28" s="16"/>
      <c r="F28" s="16"/>
      <c r="G28" s="16"/>
      <c r="H28" s="16"/>
      <c r="I28" s="16"/>
    </row>
    <row r="29" spans="2:10" ht="51" thickBot="1" x14ac:dyDescent="0.55000000000000004">
      <c r="B29" s="39" t="s">
        <v>26</v>
      </c>
      <c r="C29" s="40" t="s">
        <v>27</v>
      </c>
      <c r="E29" s="40" t="s">
        <v>28</v>
      </c>
      <c r="F29" s="42" t="s">
        <v>29</v>
      </c>
      <c r="G29" s="40" t="s">
        <v>30</v>
      </c>
      <c r="H29" s="40" t="s">
        <v>31</v>
      </c>
      <c r="I29" s="43" t="s">
        <v>32</v>
      </c>
      <c r="J29" s="44"/>
    </row>
    <row r="31" spans="2:10" x14ac:dyDescent="0.5">
      <c r="B31" t="s">
        <v>35</v>
      </c>
      <c r="C31" s="65">
        <f>+C17</f>
        <v>0.25</v>
      </c>
      <c r="E31">
        <f>+$C$26*E7+$C$27*E17</f>
        <v>-1.5999999999999988</v>
      </c>
      <c r="F31" s="48">
        <f>+E31*C31</f>
        <v>-0.39999999999999969</v>
      </c>
      <c r="G31" s="48">
        <f>+E31-$F$35</f>
        <v>-10.32</v>
      </c>
      <c r="H31" s="48">
        <f>+G31^2</f>
        <v>106.50240000000001</v>
      </c>
      <c r="I31" s="48">
        <f>+H31*C31</f>
        <v>26.625600000000002</v>
      </c>
    </row>
    <row r="32" spans="2:10" x14ac:dyDescent="0.5">
      <c r="B32" t="s">
        <v>36</v>
      </c>
      <c r="C32" s="65">
        <f>+C18</f>
        <v>0.45</v>
      </c>
      <c r="E32">
        <f t="shared" ref="E32:E33" si="2">+$C$26*E8+$C$27*E18</f>
        <v>10.4</v>
      </c>
      <c r="F32" s="48">
        <f>+E32*C32</f>
        <v>4.6800000000000006</v>
      </c>
      <c r="G32" s="48">
        <f>+E32-$F$35</f>
        <v>1.6799999999999979</v>
      </c>
      <c r="H32" s="48">
        <f>+G32^2</f>
        <v>2.8223999999999929</v>
      </c>
      <c r="I32" s="48">
        <f>+H32*C32</f>
        <v>1.2700799999999968</v>
      </c>
    </row>
    <row r="33" spans="2:10" x14ac:dyDescent="0.5">
      <c r="B33" t="s">
        <v>37</v>
      </c>
      <c r="C33" s="65">
        <f>+C19</f>
        <v>0.3</v>
      </c>
      <c r="E33">
        <f t="shared" si="2"/>
        <v>14.8</v>
      </c>
      <c r="F33" s="48">
        <f>+E33*C33</f>
        <v>4.4400000000000004</v>
      </c>
      <c r="G33" s="48">
        <f>+E33-$F$35</f>
        <v>6.0799999999999983</v>
      </c>
      <c r="H33" s="48">
        <f>+G33^2</f>
        <v>36.966399999999979</v>
      </c>
      <c r="I33" s="48">
        <f>+H33*C33</f>
        <v>11.089919999999994</v>
      </c>
    </row>
    <row r="34" spans="2:10" x14ac:dyDescent="0.5">
      <c r="C34" s="65"/>
      <c r="F34" s="48"/>
      <c r="G34" s="48"/>
      <c r="H34" s="48"/>
    </row>
    <row r="35" spans="2:10" ht="14.7" thickBot="1" x14ac:dyDescent="0.55000000000000004">
      <c r="C35" s="49">
        <f>SUM(C31:C33)</f>
        <v>1</v>
      </c>
      <c r="E35" s="199" t="s">
        <v>228</v>
      </c>
      <c r="F35" s="50">
        <f>SUM(F31:F33)</f>
        <v>8.7200000000000024</v>
      </c>
      <c r="G35" s="11" t="s">
        <v>38</v>
      </c>
      <c r="H35" s="51" t="s">
        <v>39</v>
      </c>
      <c r="I35" s="52">
        <f>SUM(I31:I33)</f>
        <v>38.985599999999991</v>
      </c>
    </row>
    <row r="36" spans="2:10" ht="15" thickTop="1" thickBot="1" x14ac:dyDescent="0.55000000000000004">
      <c r="H36" s="51" t="s">
        <v>227</v>
      </c>
      <c r="I36" s="53">
        <f>SQRT(I35)</f>
        <v>6.2438449692477143</v>
      </c>
      <c r="J36" s="54" t="s">
        <v>38</v>
      </c>
    </row>
  </sheetData>
  <mergeCells count="2">
    <mergeCell ref="E4:I4"/>
    <mergeCell ref="E14:I1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7039-0FC2-4CF7-8AD3-592F915A824A}">
  <dimension ref="A1:N428"/>
  <sheetViews>
    <sheetView showGridLines="0" workbookViewId="0">
      <selection sqref="A1:XFD1048576"/>
    </sheetView>
  </sheetViews>
  <sheetFormatPr defaultRowHeight="14.35" x14ac:dyDescent="0.5"/>
  <cols>
    <col min="1" max="1" width="28.3515625" customWidth="1"/>
    <col min="2" max="2" width="14" style="3" customWidth="1"/>
    <col min="3" max="3" width="11.05859375" customWidth="1"/>
    <col min="4" max="4" width="11.17578125" style="3" customWidth="1"/>
    <col min="5" max="8" width="10.05859375" customWidth="1"/>
    <col min="9" max="9" width="10.05859375" style="3" customWidth="1"/>
    <col min="10" max="10" width="10.05859375" customWidth="1"/>
    <col min="11" max="11" width="11.9375" customWidth="1"/>
  </cols>
  <sheetData>
    <row r="1" spans="1:10" ht="23.35" x14ac:dyDescent="0.8">
      <c r="A1" s="95" t="s">
        <v>120</v>
      </c>
    </row>
    <row r="2" spans="1:10" ht="16" customHeight="1" x14ac:dyDescent="0.55000000000000004">
      <c r="A2" s="11" t="s">
        <v>107</v>
      </c>
      <c r="B2" s="108"/>
    </row>
    <row r="3" spans="1:10" ht="18" customHeight="1" x14ac:dyDescent="0.5">
      <c r="A3" s="11"/>
      <c r="B3" s="67"/>
    </row>
    <row r="4" spans="1:10" ht="21" customHeight="1" x14ac:dyDescent="0.5">
      <c r="A4" s="96" t="s">
        <v>124</v>
      </c>
      <c r="B4" s="106"/>
      <c r="C4" s="71"/>
      <c r="D4" s="106"/>
      <c r="F4" s="71"/>
      <c r="G4" s="71"/>
      <c r="H4" s="71"/>
      <c r="I4" s="71"/>
      <c r="J4" s="106"/>
    </row>
    <row r="5" spans="1:10" ht="26" x14ac:dyDescent="0.5">
      <c r="A5" s="97" t="s">
        <v>123</v>
      </c>
      <c r="B5" s="33" t="s">
        <v>108</v>
      </c>
      <c r="C5" s="97" t="s">
        <v>121</v>
      </c>
      <c r="D5" s="105" t="s">
        <v>119</v>
      </c>
      <c r="F5" s="97" t="s">
        <v>122</v>
      </c>
      <c r="G5" s="97"/>
      <c r="H5" s="98" t="s">
        <v>108</v>
      </c>
      <c r="I5" s="33" t="s">
        <v>109</v>
      </c>
      <c r="J5" s="105" t="s">
        <v>118</v>
      </c>
    </row>
    <row r="6" spans="1:10" x14ac:dyDescent="0.5">
      <c r="A6" t="s">
        <v>117</v>
      </c>
      <c r="B6" s="204">
        <v>100000</v>
      </c>
      <c r="C6" s="99">
        <f>+B6/$B$10</f>
        <v>0.5</v>
      </c>
      <c r="D6" s="205">
        <v>0.05</v>
      </c>
      <c r="F6" s="70" t="s">
        <v>110</v>
      </c>
      <c r="H6" s="101">
        <f>+E52</f>
        <v>82600</v>
      </c>
      <c r="I6" s="99">
        <f>+H6/$H$9</f>
        <v>4.0945635429486122</v>
      </c>
      <c r="J6" s="3"/>
    </row>
    <row r="7" spans="1:10" x14ac:dyDescent="0.5">
      <c r="A7" s="70" t="s">
        <v>111</v>
      </c>
      <c r="B7" s="204">
        <v>100000</v>
      </c>
      <c r="C7" s="99">
        <f>+B7/$B$10</f>
        <v>0.5</v>
      </c>
      <c r="D7" s="107"/>
      <c r="F7" s="70" t="s">
        <v>112</v>
      </c>
      <c r="H7" s="102">
        <f>+J52</f>
        <v>95650</v>
      </c>
      <c r="I7" s="99">
        <f>+H7/$H$9</f>
        <v>4.7414649259447312</v>
      </c>
      <c r="J7" s="3"/>
    </row>
    <row r="8" spans="1:10" x14ac:dyDescent="0.5">
      <c r="B8" s="109"/>
      <c r="C8" s="99"/>
      <c r="D8" s="107"/>
      <c r="F8" s="70" t="s">
        <v>113</v>
      </c>
      <c r="H8" s="102">
        <f>-D327</f>
        <v>1576.9097222222224</v>
      </c>
      <c r="I8" s="99">
        <f>+H8/$H$9</f>
        <v>7.8168971660197761E-2</v>
      </c>
      <c r="J8" s="3"/>
    </row>
    <row r="9" spans="1:10" x14ac:dyDescent="0.5">
      <c r="B9" s="109"/>
      <c r="C9" s="99"/>
      <c r="D9" s="107"/>
      <c r="F9" s="70" t="s">
        <v>114</v>
      </c>
      <c r="H9" s="101">
        <f>+D71</f>
        <v>20173.090277777781</v>
      </c>
      <c r="I9" s="99">
        <f>+H9/$H$9</f>
        <v>1</v>
      </c>
      <c r="J9" s="205">
        <v>1.4999999999999999E-2</v>
      </c>
    </row>
    <row r="10" spans="1:10" ht="14.7" thickBot="1" x14ac:dyDescent="0.55000000000000004">
      <c r="A10" s="11" t="s">
        <v>115</v>
      </c>
      <c r="B10" s="110">
        <f>SUM(B6:B7)</f>
        <v>200000</v>
      </c>
      <c r="C10" s="103">
        <f>SUM(C6:C7)</f>
        <v>1</v>
      </c>
      <c r="F10" s="11" t="s">
        <v>116</v>
      </c>
      <c r="H10" s="104">
        <f>SUM(H6:H9)</f>
        <v>200000</v>
      </c>
      <c r="I10" s="103">
        <f>SUM(I6:I9)</f>
        <v>9.91419744055354</v>
      </c>
      <c r="J10" s="3"/>
    </row>
    <row r="11" spans="1:10" ht="14.7" thickTop="1" x14ac:dyDescent="0.5"/>
    <row r="12" spans="1:10" x14ac:dyDescent="0.5">
      <c r="A12" s="201" t="s">
        <v>230</v>
      </c>
      <c r="B12" s="75"/>
      <c r="C12" s="101"/>
      <c r="D12" s="101"/>
      <c r="E12" s="101"/>
      <c r="F12" s="101"/>
      <c r="G12" s="101"/>
      <c r="H12" s="101"/>
      <c r="I12" s="101"/>
      <c r="J12" s="101"/>
    </row>
    <row r="13" spans="1:10" ht="17.7" x14ac:dyDescent="0.55000000000000004">
      <c r="A13" s="36" t="s">
        <v>57</v>
      </c>
      <c r="B13" s="72"/>
      <c r="C13" s="72"/>
      <c r="D13" s="73"/>
      <c r="E13" s="71"/>
      <c r="G13" s="36" t="s">
        <v>139</v>
      </c>
      <c r="H13" s="71"/>
      <c r="I13" s="73"/>
      <c r="J13" s="71"/>
    </row>
    <row r="14" spans="1:10" x14ac:dyDescent="0.5">
      <c r="A14" s="11" t="s">
        <v>58</v>
      </c>
      <c r="B14" s="74"/>
      <c r="D14"/>
      <c r="E14" s="76"/>
      <c r="G14" s="11" t="s">
        <v>173</v>
      </c>
      <c r="I14"/>
    </row>
    <row r="15" spans="1:10" ht="24.35" thickBot="1" x14ac:dyDescent="0.55000000000000004">
      <c r="A15" s="111" t="s">
        <v>59</v>
      </c>
      <c r="B15" s="112" t="s">
        <v>60</v>
      </c>
      <c r="C15" s="112"/>
      <c r="D15" s="112" t="s">
        <v>61</v>
      </c>
      <c r="E15" s="113" t="s">
        <v>125</v>
      </c>
      <c r="G15" s="78" t="s">
        <v>59</v>
      </c>
      <c r="H15" s="78" t="s">
        <v>60</v>
      </c>
      <c r="I15" s="78" t="s">
        <v>61</v>
      </c>
      <c r="J15" s="113" t="str">
        <f>+E15</f>
        <v>June 1
20x1</v>
      </c>
    </row>
    <row r="16" spans="1:10" ht="14.7" thickTop="1" x14ac:dyDescent="0.5">
      <c r="A16" s="80" t="s">
        <v>62</v>
      </c>
      <c r="B16" s="80" t="s">
        <v>63</v>
      </c>
      <c r="D16" s="80" t="s">
        <v>64</v>
      </c>
      <c r="E16" s="80">
        <v>23</v>
      </c>
      <c r="G16" s="127" t="s">
        <v>147</v>
      </c>
      <c r="H16" s="127" t="s">
        <v>148</v>
      </c>
      <c r="I16" s="127" t="s">
        <v>91</v>
      </c>
      <c r="J16" s="80">
        <v>890</v>
      </c>
    </row>
    <row r="17" spans="1:10" x14ac:dyDescent="0.5">
      <c r="A17" s="80" t="s">
        <v>65</v>
      </c>
      <c r="B17" s="80" t="s">
        <v>66</v>
      </c>
      <c r="D17" s="80" t="s">
        <v>67</v>
      </c>
      <c r="E17" s="80">
        <v>12</v>
      </c>
      <c r="G17" s="127" t="s">
        <v>151</v>
      </c>
      <c r="H17" s="127" t="s">
        <v>152</v>
      </c>
      <c r="I17" s="127" t="s">
        <v>85</v>
      </c>
      <c r="J17" s="80">
        <v>910</v>
      </c>
    </row>
    <row r="18" spans="1:10" x14ac:dyDescent="0.5">
      <c r="A18" s="80" t="s">
        <v>68</v>
      </c>
      <c r="B18" s="80" t="s">
        <v>69</v>
      </c>
      <c r="D18" s="80" t="s">
        <v>70</v>
      </c>
      <c r="E18" s="80">
        <v>18</v>
      </c>
      <c r="G18" s="127" t="s">
        <v>155</v>
      </c>
      <c r="H18" s="127" t="s">
        <v>156</v>
      </c>
      <c r="I18" s="127" t="s">
        <v>67</v>
      </c>
      <c r="J18" s="80">
        <v>790</v>
      </c>
    </row>
    <row r="19" spans="1:10" x14ac:dyDescent="0.5">
      <c r="A19" s="80" t="s">
        <v>71</v>
      </c>
      <c r="B19" s="80" t="s">
        <v>72</v>
      </c>
      <c r="D19" s="80" t="s">
        <v>73</v>
      </c>
      <c r="E19" s="80">
        <v>40</v>
      </c>
      <c r="G19" s="127" t="s">
        <v>158</v>
      </c>
      <c r="H19" s="127" t="s">
        <v>159</v>
      </c>
      <c r="I19" s="127" t="s">
        <v>73</v>
      </c>
      <c r="J19" s="80">
        <v>1010</v>
      </c>
    </row>
    <row r="20" spans="1:10" x14ac:dyDescent="0.5">
      <c r="A20" s="80" t="s">
        <v>74</v>
      </c>
      <c r="B20" s="80" t="s">
        <v>75</v>
      </c>
      <c r="D20" s="80" t="s">
        <v>76</v>
      </c>
      <c r="E20" s="80">
        <v>52</v>
      </c>
      <c r="G20" s="127"/>
      <c r="H20" s="127"/>
      <c r="I20" s="127"/>
      <c r="J20" s="80"/>
    </row>
    <row r="21" spans="1:10" x14ac:dyDescent="0.5">
      <c r="A21" s="80" t="s">
        <v>77</v>
      </c>
      <c r="B21" s="80" t="s">
        <v>78</v>
      </c>
      <c r="D21" s="80" t="s">
        <v>79</v>
      </c>
      <c r="E21" s="80">
        <v>31</v>
      </c>
      <c r="G21" s="127"/>
      <c r="H21" s="127"/>
      <c r="I21" s="127"/>
      <c r="J21" s="80"/>
    </row>
    <row r="22" spans="1:10" x14ac:dyDescent="0.5">
      <c r="A22" s="80" t="s">
        <v>80</v>
      </c>
      <c r="B22" s="80" t="s">
        <v>81</v>
      </c>
      <c r="D22" s="80" t="s">
        <v>82</v>
      </c>
      <c r="E22" s="80">
        <v>15</v>
      </c>
      <c r="G22" s="135"/>
      <c r="H22" s="135"/>
      <c r="I22" s="135"/>
      <c r="J22" s="135"/>
    </row>
    <row r="23" spans="1:10" x14ac:dyDescent="0.5">
      <c r="A23" s="80" t="s">
        <v>83</v>
      </c>
      <c r="B23" s="80" t="s">
        <v>84</v>
      </c>
      <c r="D23" s="80" t="s">
        <v>85</v>
      </c>
      <c r="E23" s="80">
        <v>8</v>
      </c>
      <c r="I23"/>
    </row>
    <row r="24" spans="1:10" x14ac:dyDescent="0.5">
      <c r="A24" s="80" t="s">
        <v>86</v>
      </c>
      <c r="B24" s="80" t="s">
        <v>87</v>
      </c>
      <c r="D24" s="80" t="s">
        <v>88</v>
      </c>
      <c r="E24" s="80">
        <v>15</v>
      </c>
      <c r="I24"/>
    </row>
    <row r="25" spans="1:10" x14ac:dyDescent="0.5">
      <c r="A25" s="80" t="s">
        <v>89</v>
      </c>
      <c r="B25" s="80" t="s">
        <v>90</v>
      </c>
      <c r="D25" s="80" t="s">
        <v>91</v>
      </c>
      <c r="E25" s="80">
        <v>25</v>
      </c>
      <c r="I25"/>
    </row>
    <row r="26" spans="1:10" x14ac:dyDescent="0.5">
      <c r="B26" s="74"/>
      <c r="D26"/>
      <c r="I26"/>
    </row>
    <row r="27" spans="1:10" x14ac:dyDescent="0.5">
      <c r="A27" s="82" t="s">
        <v>133</v>
      </c>
      <c r="B27" s="74"/>
      <c r="D27"/>
      <c r="E27" s="76"/>
      <c r="G27" s="82" t="s">
        <v>190</v>
      </c>
      <c r="I27"/>
      <c r="J27" s="76"/>
    </row>
    <row r="28" spans="1:10" ht="26.35" thickBot="1" x14ac:dyDescent="0.55000000000000004">
      <c r="A28" s="77" t="s">
        <v>59</v>
      </c>
      <c r="B28" s="78" t="s">
        <v>60</v>
      </c>
      <c r="C28" s="78"/>
      <c r="D28" s="78" t="s">
        <v>61</v>
      </c>
      <c r="E28" s="116" t="str">
        <f>+E15</f>
        <v>June 1
20x1</v>
      </c>
      <c r="G28" s="78" t="s">
        <v>59</v>
      </c>
      <c r="H28" s="78" t="s">
        <v>60</v>
      </c>
      <c r="I28" s="78" t="s">
        <v>61</v>
      </c>
      <c r="J28" s="113" t="str">
        <f>+J15</f>
        <v>June 1
20x1</v>
      </c>
    </row>
    <row r="29" spans="1:10" ht="14.7" thickTop="1" x14ac:dyDescent="0.5">
      <c r="A29" s="83" t="str">
        <f t="shared" ref="A29:B38" si="0">+A16</f>
        <v>ABC</v>
      </c>
      <c r="B29" s="83" t="str">
        <f t="shared" si="0"/>
        <v>ABC Chem Inc</v>
      </c>
      <c r="D29" s="83" t="str">
        <f t="shared" ref="D29:D38" si="1">+D16</f>
        <v>Chemicals</v>
      </c>
      <c r="E29" s="84">
        <v>400</v>
      </c>
      <c r="G29" s="135" t="str">
        <f t="shared" ref="G29:I32" si="2">+G16</f>
        <v>AAA</v>
      </c>
      <c r="H29" s="135" t="str">
        <f t="shared" si="2"/>
        <v>Alpha Inc.</v>
      </c>
      <c r="I29" s="135" t="str">
        <f t="shared" si="2"/>
        <v>Healthcare</v>
      </c>
      <c r="J29" s="140">
        <v>15</v>
      </c>
    </row>
    <row r="30" spans="1:10" x14ac:dyDescent="0.5">
      <c r="A30" s="83" t="str">
        <f t="shared" si="0"/>
        <v>BCD</v>
      </c>
      <c r="B30" s="83" t="str">
        <f t="shared" si="0"/>
        <v>BCD  Precision Inc</v>
      </c>
      <c r="D30" s="83" t="str">
        <f t="shared" si="1"/>
        <v>Industrial</v>
      </c>
      <c r="E30" s="84">
        <v>350</v>
      </c>
      <c r="G30" s="135" t="str">
        <f t="shared" si="2"/>
        <v>BBB</v>
      </c>
      <c r="H30" s="135" t="str">
        <f t="shared" si="2"/>
        <v>Beta Inc.</v>
      </c>
      <c r="I30" s="135" t="str">
        <f t="shared" si="2"/>
        <v>Retail</v>
      </c>
      <c r="J30" s="140">
        <v>20</v>
      </c>
    </row>
    <row r="31" spans="1:10" x14ac:dyDescent="0.5">
      <c r="A31" s="83" t="str">
        <f t="shared" si="0"/>
        <v>CDE</v>
      </c>
      <c r="B31" s="83" t="str">
        <f t="shared" si="0"/>
        <v>CDE Inc</v>
      </c>
      <c r="D31" s="83" t="str">
        <f t="shared" si="1"/>
        <v>Publishing</v>
      </c>
      <c r="E31" s="84">
        <v>300</v>
      </c>
      <c r="G31" s="135" t="str">
        <f t="shared" si="2"/>
        <v>CCC</v>
      </c>
      <c r="H31" s="135" t="str">
        <f t="shared" si="2"/>
        <v>CC Corporation</v>
      </c>
      <c r="I31" s="135" t="str">
        <f t="shared" si="2"/>
        <v>Industrial</v>
      </c>
      <c r="J31" s="140">
        <v>30</v>
      </c>
    </row>
    <row r="32" spans="1:10" x14ac:dyDescent="0.5">
      <c r="A32" s="83" t="str">
        <f t="shared" si="0"/>
        <v>DEF</v>
      </c>
      <c r="B32" s="83" t="str">
        <f t="shared" si="0"/>
        <v>DEF Inc</v>
      </c>
      <c r="D32" s="83" t="str">
        <f t="shared" si="1"/>
        <v>Hospitality</v>
      </c>
      <c r="E32" s="84">
        <v>300</v>
      </c>
      <c r="G32" s="135" t="str">
        <f t="shared" si="2"/>
        <v>DDD</v>
      </c>
      <c r="H32" s="135" t="str">
        <f t="shared" si="2"/>
        <v>Delta D Inc.</v>
      </c>
      <c r="I32" s="135" t="str">
        <f t="shared" si="2"/>
        <v>Hospitality</v>
      </c>
      <c r="J32" s="140">
        <v>40</v>
      </c>
    </row>
    <row r="33" spans="1:10" x14ac:dyDescent="0.5">
      <c r="A33" s="83" t="str">
        <f t="shared" si="0"/>
        <v>EFG</v>
      </c>
      <c r="B33" s="83" t="str">
        <f t="shared" si="0"/>
        <v>Effective Inc</v>
      </c>
      <c r="D33" s="83" t="str">
        <f t="shared" si="1"/>
        <v>TV/Cable</v>
      </c>
      <c r="E33" s="84">
        <v>200</v>
      </c>
      <c r="G33" s="135"/>
      <c r="H33" s="135"/>
      <c r="I33" s="135"/>
      <c r="J33" s="140"/>
    </row>
    <row r="34" spans="1:10" x14ac:dyDescent="0.5">
      <c r="A34" s="83" t="str">
        <f t="shared" si="0"/>
        <v>FGH</v>
      </c>
      <c r="B34" s="83" t="str">
        <f t="shared" si="0"/>
        <v>FGH Inc</v>
      </c>
      <c r="D34" s="83" t="str">
        <f t="shared" si="1"/>
        <v>Techonlogy</v>
      </c>
      <c r="E34" s="84">
        <v>400</v>
      </c>
      <c r="G34" s="135"/>
      <c r="H34" s="135"/>
      <c r="I34" s="135"/>
      <c r="J34" s="140"/>
    </row>
    <row r="35" spans="1:10" x14ac:dyDescent="0.5">
      <c r="A35" s="83" t="str">
        <f t="shared" si="0"/>
        <v>GHI</v>
      </c>
      <c r="B35" s="83" t="str">
        <f t="shared" si="0"/>
        <v>General HI</v>
      </c>
      <c r="D35" s="83" t="str">
        <f t="shared" si="1"/>
        <v>Service</v>
      </c>
      <c r="E35" s="84">
        <v>600</v>
      </c>
      <c r="I35"/>
    </row>
    <row r="36" spans="1:10" x14ac:dyDescent="0.5">
      <c r="A36" s="83" t="str">
        <f t="shared" si="0"/>
        <v>HIK</v>
      </c>
      <c r="B36" s="83" t="str">
        <f t="shared" si="0"/>
        <v>Hicks Kental Inc</v>
      </c>
      <c r="D36" s="83" t="str">
        <f t="shared" si="1"/>
        <v>Retail</v>
      </c>
      <c r="E36" s="84">
        <v>1000</v>
      </c>
      <c r="I36"/>
    </row>
    <row r="37" spans="1:10" x14ac:dyDescent="0.5">
      <c r="A37" s="83" t="str">
        <f t="shared" si="0"/>
        <v>IKL</v>
      </c>
      <c r="B37" s="83" t="str">
        <f t="shared" si="0"/>
        <v>IKL Inc</v>
      </c>
      <c r="D37" s="83" t="str">
        <f t="shared" si="1"/>
        <v>Pharmaceutical</v>
      </c>
      <c r="E37" s="84">
        <v>300</v>
      </c>
      <c r="I37"/>
    </row>
    <row r="38" spans="1:10" x14ac:dyDescent="0.5">
      <c r="A38" s="83" t="str">
        <f t="shared" si="0"/>
        <v>KLM</v>
      </c>
      <c r="B38" s="83" t="str">
        <f t="shared" si="0"/>
        <v>KLM Health</v>
      </c>
      <c r="D38" s="83" t="str">
        <f t="shared" si="1"/>
        <v>Healthcare</v>
      </c>
      <c r="E38" s="84">
        <v>300</v>
      </c>
      <c r="I38"/>
    </row>
    <row r="39" spans="1:10" x14ac:dyDescent="0.5">
      <c r="A39" s="3"/>
      <c r="B39" s="74"/>
      <c r="D39" s="74"/>
      <c r="I39"/>
    </row>
    <row r="40" spans="1:10" x14ac:dyDescent="0.5">
      <c r="A40" s="82" t="s">
        <v>191</v>
      </c>
      <c r="B40" s="74"/>
      <c r="D40"/>
      <c r="E40" s="76"/>
      <c r="G40" s="82" t="s">
        <v>192</v>
      </c>
      <c r="I40" s="74"/>
      <c r="J40" s="76"/>
    </row>
    <row r="41" spans="1:10" ht="26.35" thickBot="1" x14ac:dyDescent="0.55000000000000004">
      <c r="A41" s="115" t="s">
        <v>59</v>
      </c>
      <c r="B41" s="115" t="s">
        <v>60</v>
      </c>
      <c r="C41" s="115"/>
      <c r="D41" s="115" t="s">
        <v>61</v>
      </c>
      <c r="E41" s="116" t="str">
        <f>+E28</f>
        <v>June 1
20x1</v>
      </c>
      <c r="G41" s="115" t="s">
        <v>59</v>
      </c>
      <c r="H41" s="115" t="s">
        <v>60</v>
      </c>
      <c r="I41" s="115" t="s">
        <v>61</v>
      </c>
      <c r="J41" s="116" t="str">
        <f>+J28</f>
        <v>June 1
20x1</v>
      </c>
    </row>
    <row r="42" spans="1:10" ht="14.7" thickTop="1" x14ac:dyDescent="0.5">
      <c r="A42" s="83" t="str">
        <f t="shared" ref="A42:B51" si="3">+A29</f>
        <v>ABC</v>
      </c>
      <c r="B42" s="83" t="str">
        <f t="shared" si="3"/>
        <v>ABC Chem Inc</v>
      </c>
      <c r="D42" s="83" t="str">
        <f t="shared" ref="D42:D51" si="4">+D29</f>
        <v>Chemicals</v>
      </c>
      <c r="E42" s="90">
        <f t="shared" ref="E42:E51" si="5">+E16*E29</f>
        <v>9200</v>
      </c>
      <c r="G42" s="83" t="str">
        <f t="shared" ref="G42:I45" si="6">+G29</f>
        <v>AAA</v>
      </c>
      <c r="H42" s="83" t="str">
        <f t="shared" si="6"/>
        <v>Alpha Inc.</v>
      </c>
      <c r="I42" s="83" t="str">
        <f t="shared" si="6"/>
        <v>Healthcare</v>
      </c>
      <c r="J42" s="90">
        <f>+J16*J29</f>
        <v>13350</v>
      </c>
    </row>
    <row r="43" spans="1:10" x14ac:dyDescent="0.5">
      <c r="A43" s="83" t="str">
        <f t="shared" si="3"/>
        <v>BCD</v>
      </c>
      <c r="B43" s="83" t="str">
        <f t="shared" si="3"/>
        <v>BCD  Precision Inc</v>
      </c>
      <c r="D43" s="83" t="str">
        <f t="shared" si="4"/>
        <v>Industrial</v>
      </c>
      <c r="E43" s="90">
        <f t="shared" si="5"/>
        <v>4200</v>
      </c>
      <c r="G43" s="83" t="str">
        <f t="shared" si="6"/>
        <v>BBB</v>
      </c>
      <c r="H43" s="83" t="str">
        <f t="shared" si="6"/>
        <v>Beta Inc.</v>
      </c>
      <c r="I43" s="83" t="str">
        <f t="shared" si="6"/>
        <v>Retail</v>
      </c>
      <c r="J43" s="90">
        <f>+J17*J30</f>
        <v>18200</v>
      </c>
    </row>
    <row r="44" spans="1:10" x14ac:dyDescent="0.5">
      <c r="A44" s="83" t="str">
        <f t="shared" si="3"/>
        <v>CDE</v>
      </c>
      <c r="B44" s="83" t="str">
        <f t="shared" si="3"/>
        <v>CDE Inc</v>
      </c>
      <c r="D44" s="83" t="str">
        <f t="shared" si="4"/>
        <v>Publishing</v>
      </c>
      <c r="E44" s="90">
        <f t="shared" si="5"/>
        <v>5400</v>
      </c>
      <c r="G44" s="83" t="str">
        <f t="shared" si="6"/>
        <v>CCC</v>
      </c>
      <c r="H44" s="83" t="str">
        <f t="shared" si="6"/>
        <v>CC Corporation</v>
      </c>
      <c r="I44" s="83" t="str">
        <f t="shared" si="6"/>
        <v>Industrial</v>
      </c>
      <c r="J44" s="90">
        <f>+J18*J31</f>
        <v>23700</v>
      </c>
    </row>
    <row r="45" spans="1:10" x14ac:dyDescent="0.5">
      <c r="A45" s="83" t="str">
        <f t="shared" si="3"/>
        <v>DEF</v>
      </c>
      <c r="B45" s="83" t="str">
        <f t="shared" si="3"/>
        <v>DEF Inc</v>
      </c>
      <c r="D45" s="83" t="str">
        <f t="shared" si="4"/>
        <v>Hospitality</v>
      </c>
      <c r="E45" s="90">
        <f t="shared" si="5"/>
        <v>12000</v>
      </c>
      <c r="G45" s="83" t="str">
        <f t="shared" si="6"/>
        <v>DDD</v>
      </c>
      <c r="H45" s="83" t="str">
        <f t="shared" si="6"/>
        <v>Delta D Inc.</v>
      </c>
      <c r="I45" s="83" t="str">
        <f t="shared" si="6"/>
        <v>Hospitality</v>
      </c>
      <c r="J45" s="90">
        <f>+J19*J32</f>
        <v>40400</v>
      </c>
    </row>
    <row r="46" spans="1:10" x14ac:dyDescent="0.5">
      <c r="A46" s="83" t="str">
        <f t="shared" si="3"/>
        <v>EFG</v>
      </c>
      <c r="B46" s="83" t="str">
        <f t="shared" si="3"/>
        <v>Effective Inc</v>
      </c>
      <c r="D46" s="83" t="str">
        <f t="shared" si="4"/>
        <v>TV/Cable</v>
      </c>
      <c r="E46" s="90">
        <f t="shared" si="5"/>
        <v>10400</v>
      </c>
      <c r="I46"/>
    </row>
    <row r="47" spans="1:10" x14ac:dyDescent="0.5">
      <c r="A47" s="83" t="str">
        <f t="shared" si="3"/>
        <v>FGH</v>
      </c>
      <c r="B47" s="83" t="str">
        <f t="shared" si="3"/>
        <v>FGH Inc</v>
      </c>
      <c r="D47" s="83" t="str">
        <f t="shared" si="4"/>
        <v>Techonlogy</v>
      </c>
      <c r="E47" s="90">
        <f t="shared" si="5"/>
        <v>12400</v>
      </c>
      <c r="I47"/>
    </row>
    <row r="48" spans="1:10" x14ac:dyDescent="0.5">
      <c r="A48" s="83" t="str">
        <f t="shared" si="3"/>
        <v>GHI</v>
      </c>
      <c r="B48" s="83" t="str">
        <f t="shared" si="3"/>
        <v>General HI</v>
      </c>
      <c r="D48" s="83" t="str">
        <f t="shared" si="4"/>
        <v>Service</v>
      </c>
      <c r="E48" s="90">
        <f t="shared" si="5"/>
        <v>9000</v>
      </c>
      <c r="I48"/>
    </row>
    <row r="49" spans="1:11" x14ac:dyDescent="0.5">
      <c r="A49" s="83" t="str">
        <f t="shared" si="3"/>
        <v>HIK</v>
      </c>
      <c r="B49" s="83" t="str">
        <f t="shared" si="3"/>
        <v>Hicks Kental Inc</v>
      </c>
      <c r="D49" s="83" t="str">
        <f t="shared" si="4"/>
        <v>Retail</v>
      </c>
      <c r="E49" s="90">
        <f t="shared" si="5"/>
        <v>8000</v>
      </c>
      <c r="I49"/>
    </row>
    <row r="50" spans="1:11" x14ac:dyDescent="0.5">
      <c r="A50" s="83" t="str">
        <f t="shared" si="3"/>
        <v>IKL</v>
      </c>
      <c r="B50" s="83" t="str">
        <f t="shared" si="3"/>
        <v>IKL Inc</v>
      </c>
      <c r="D50" s="83" t="str">
        <f t="shared" si="4"/>
        <v>Pharmaceutical</v>
      </c>
      <c r="E50" s="90">
        <f t="shared" si="5"/>
        <v>4500</v>
      </c>
      <c r="I50"/>
    </row>
    <row r="51" spans="1:11" x14ac:dyDescent="0.5">
      <c r="A51" s="83" t="str">
        <f t="shared" si="3"/>
        <v>KLM</v>
      </c>
      <c r="B51" s="83" t="str">
        <f t="shared" si="3"/>
        <v>KLM Health</v>
      </c>
      <c r="D51" s="83" t="str">
        <f t="shared" si="4"/>
        <v>Healthcare</v>
      </c>
      <c r="E51" s="90">
        <f t="shared" si="5"/>
        <v>7500</v>
      </c>
      <c r="I51"/>
    </row>
    <row r="52" spans="1:11" ht="14.7" thickBot="1" x14ac:dyDescent="0.55000000000000004">
      <c r="A52" s="117" t="s">
        <v>104</v>
      </c>
      <c r="B52" s="117"/>
      <c r="D52" s="117"/>
      <c r="E52" s="91">
        <f>SUM(E42:E51)</f>
        <v>82600</v>
      </c>
      <c r="G52" s="117" t="s">
        <v>104</v>
      </c>
      <c r="H52" s="117"/>
      <c r="I52" s="117"/>
      <c r="J52" s="91">
        <f>SUM(J42:J51)</f>
        <v>95650</v>
      </c>
    </row>
    <row r="53" spans="1:11" ht="14.7" thickTop="1" x14ac:dyDescent="0.5"/>
    <row r="55" spans="1:11" ht="16" thickBot="1" x14ac:dyDescent="0.6">
      <c r="A55" s="202" t="s">
        <v>231</v>
      </c>
      <c r="B55" s="203"/>
      <c r="C55" s="202"/>
      <c r="D55" s="203"/>
      <c r="E55" s="202"/>
      <c r="F55" s="202"/>
      <c r="G55" s="202"/>
      <c r="H55" s="202"/>
      <c r="I55" s="203"/>
      <c r="J55" s="202"/>
    </row>
    <row r="56" spans="1:11" ht="14.7" thickBot="1" x14ac:dyDescent="0.55000000000000004">
      <c r="B56" s="75"/>
      <c r="D56" s="178" t="s">
        <v>203</v>
      </c>
      <c r="I56"/>
      <c r="K56" s="178" t="s">
        <v>204</v>
      </c>
    </row>
    <row r="57" spans="1:11" x14ac:dyDescent="0.5">
      <c r="A57" s="179" t="s">
        <v>205</v>
      </c>
      <c r="B57" s="180"/>
      <c r="C57" s="180"/>
      <c r="D57" s="181">
        <v>0</v>
      </c>
      <c r="E57" s="182">
        <v>1</v>
      </c>
      <c r="F57" s="182">
        <v>2</v>
      </c>
      <c r="G57" s="182">
        <v>3</v>
      </c>
      <c r="H57" s="182">
        <v>4</v>
      </c>
      <c r="I57" s="182">
        <v>5</v>
      </c>
      <c r="J57" s="182">
        <v>6</v>
      </c>
      <c r="K57" s="181">
        <v>7</v>
      </c>
    </row>
    <row r="58" spans="1:11" ht="24.35" thickBot="1" x14ac:dyDescent="0.55000000000000004">
      <c r="A58" s="183"/>
      <c r="B58" s="196"/>
      <c r="C58" s="196" t="s">
        <v>206</v>
      </c>
      <c r="D58" s="113" t="s">
        <v>125</v>
      </c>
      <c r="E58" s="113" t="s">
        <v>126</v>
      </c>
      <c r="F58" s="113" t="s">
        <v>127</v>
      </c>
      <c r="G58" s="113" t="s">
        <v>128</v>
      </c>
      <c r="H58" s="113" t="s">
        <v>129</v>
      </c>
      <c r="I58" s="113" t="s">
        <v>130</v>
      </c>
      <c r="J58" s="113" t="s">
        <v>131</v>
      </c>
      <c r="K58" s="113" t="s">
        <v>132</v>
      </c>
    </row>
    <row r="59" spans="1:11" ht="14.7" thickTop="1" x14ac:dyDescent="0.5">
      <c r="A59" s="70" t="s">
        <v>207</v>
      </c>
      <c r="B59"/>
      <c r="D59" s="184">
        <f>+B7</f>
        <v>100000</v>
      </c>
      <c r="E59" s="185">
        <f t="shared" ref="E59:K59" si="7">+D75</f>
        <v>20173.090277777781</v>
      </c>
      <c r="F59" s="185">
        <f t="shared" si="7"/>
        <v>22539.764973958336</v>
      </c>
      <c r="G59" s="185">
        <f t="shared" si="7"/>
        <v>21800.71745795356</v>
      </c>
      <c r="H59" s="185">
        <f t="shared" si="7"/>
        <v>20218.662799220445</v>
      </c>
      <c r="I59" s="185">
        <f t="shared" si="7"/>
        <v>21416.019461052805</v>
      </c>
      <c r="J59" s="185">
        <f t="shared" si="7"/>
        <v>21928.6922631569</v>
      </c>
      <c r="K59" s="184">
        <f t="shared" si="7"/>
        <v>25206.103128485847</v>
      </c>
    </row>
    <row r="60" spans="1:11" x14ac:dyDescent="0.5">
      <c r="B60"/>
      <c r="D60" s="186"/>
      <c r="E60" s="102"/>
      <c r="F60" s="102"/>
      <c r="G60" s="102"/>
      <c r="H60" s="102"/>
      <c r="I60" s="102"/>
      <c r="J60" s="102"/>
      <c r="K60" s="186"/>
    </row>
    <row r="61" spans="1:11" x14ac:dyDescent="0.5">
      <c r="A61" s="70" t="s">
        <v>102</v>
      </c>
      <c r="B61"/>
      <c r="D61" s="187">
        <f>-H6</f>
        <v>-82600</v>
      </c>
      <c r="E61" s="188">
        <f>+E163</f>
        <v>0</v>
      </c>
      <c r="F61" s="188">
        <f t="shared" ref="F61:K61" si="8">+F163</f>
        <v>1550</v>
      </c>
      <c r="G61" s="188">
        <f t="shared" si="8"/>
        <v>2300</v>
      </c>
      <c r="H61" s="188">
        <f t="shared" si="8"/>
        <v>0</v>
      </c>
      <c r="I61" s="188">
        <f t="shared" si="8"/>
        <v>0</v>
      </c>
      <c r="J61" s="188">
        <f t="shared" si="8"/>
        <v>0</v>
      </c>
      <c r="K61" s="187">
        <f t="shared" si="8"/>
        <v>92600</v>
      </c>
    </row>
    <row r="62" spans="1:11" x14ac:dyDescent="0.5">
      <c r="A62" s="70" t="s">
        <v>208</v>
      </c>
      <c r="B62"/>
      <c r="D62" s="187">
        <f>-H7</f>
        <v>-95650</v>
      </c>
      <c r="E62" s="188">
        <f>+E268</f>
        <v>2875</v>
      </c>
      <c r="F62" s="188">
        <f t="shared" ref="F62:K62" si="9">+F268</f>
        <v>-2880</v>
      </c>
      <c r="G62" s="188">
        <f t="shared" si="9"/>
        <v>-4075</v>
      </c>
      <c r="H62" s="188">
        <f t="shared" si="9"/>
        <v>0</v>
      </c>
      <c r="I62" s="188">
        <f t="shared" si="9"/>
        <v>865</v>
      </c>
      <c r="J62" s="188">
        <f t="shared" si="9"/>
        <v>3550</v>
      </c>
      <c r="K62" s="187">
        <f t="shared" si="9"/>
        <v>97000</v>
      </c>
    </row>
    <row r="63" spans="1:11" x14ac:dyDescent="0.5">
      <c r="A63" s="70" t="s">
        <v>209</v>
      </c>
      <c r="B63"/>
      <c r="D63" s="189"/>
      <c r="E63" s="101">
        <f>+E219</f>
        <v>92.5</v>
      </c>
      <c r="F63" s="101">
        <f t="shared" ref="F63:K63" si="10">+F219</f>
        <v>90</v>
      </c>
      <c r="G63" s="101">
        <f t="shared" si="10"/>
        <v>150</v>
      </c>
      <c r="H63" s="101">
        <f t="shared" si="10"/>
        <v>245</v>
      </c>
      <c r="I63" s="101">
        <f t="shared" si="10"/>
        <v>62.5</v>
      </c>
      <c r="J63" s="101">
        <f t="shared" si="10"/>
        <v>0</v>
      </c>
      <c r="K63" s="187">
        <f t="shared" si="10"/>
        <v>0</v>
      </c>
    </row>
    <row r="64" spans="1:11" x14ac:dyDescent="0.5">
      <c r="A64" s="70" t="s">
        <v>210</v>
      </c>
      <c r="B64"/>
      <c r="D64" s="187">
        <f>+[1]Bonds!F93</f>
        <v>0</v>
      </c>
      <c r="E64" s="101">
        <f>+E299</f>
        <v>0</v>
      </c>
      <c r="F64" s="101">
        <f t="shared" ref="F64:K64" si="11">+F299</f>
        <v>875</v>
      </c>
      <c r="G64" s="101">
        <f t="shared" si="11"/>
        <v>593.75</v>
      </c>
      <c r="H64" s="101">
        <f t="shared" si="11"/>
        <v>1343.75</v>
      </c>
      <c r="I64" s="101">
        <f t="shared" si="11"/>
        <v>0</v>
      </c>
      <c r="J64" s="101">
        <f t="shared" si="11"/>
        <v>0</v>
      </c>
      <c r="K64" s="187">
        <f t="shared" si="11"/>
        <v>0</v>
      </c>
    </row>
    <row r="65" spans="1:11" x14ac:dyDescent="0.5">
      <c r="A65" s="70" t="s">
        <v>211</v>
      </c>
      <c r="B65"/>
      <c r="D65" s="187">
        <f>-H8</f>
        <v>-1576.9097222222224</v>
      </c>
      <c r="E65" s="188">
        <f>+E327</f>
        <v>-209.375</v>
      </c>
      <c r="F65" s="188">
        <f t="shared" ref="F65:K65" si="12">+F327</f>
        <v>14.444444444444445</v>
      </c>
      <c r="G65" s="188">
        <f t="shared" si="12"/>
        <v>-161.38888888888889</v>
      </c>
      <c r="H65" s="188">
        <f t="shared" si="12"/>
        <v>0</v>
      </c>
      <c r="I65" s="188">
        <f t="shared" si="12"/>
        <v>-24.93055555555555</v>
      </c>
      <c r="J65" s="188">
        <f t="shared" si="12"/>
        <v>116.66666666666669</v>
      </c>
      <c r="K65" s="187">
        <f t="shared" si="12"/>
        <v>1926.7013888888887</v>
      </c>
    </row>
    <row r="66" spans="1:11" x14ac:dyDescent="0.5">
      <c r="A66" s="70"/>
      <c r="B66"/>
      <c r="D66" s="187"/>
      <c r="E66" s="188"/>
      <c r="F66" s="188"/>
      <c r="G66" s="188"/>
      <c r="H66" s="188"/>
      <c r="I66" s="188"/>
      <c r="J66" s="188"/>
      <c r="K66" s="187"/>
    </row>
    <row r="67" spans="1:11" x14ac:dyDescent="0.5">
      <c r="A67" s="70" t="s">
        <v>212</v>
      </c>
      <c r="B67"/>
      <c r="D67" s="187">
        <f>+B6</f>
        <v>100000</v>
      </c>
      <c r="E67" s="188"/>
      <c r="F67" s="188"/>
      <c r="G67" s="188"/>
      <c r="H67" s="188"/>
      <c r="I67" s="188"/>
      <c r="J67" s="188"/>
      <c r="K67" s="187">
        <f>-D67</f>
        <v>-100000</v>
      </c>
    </row>
    <row r="68" spans="1:11" x14ac:dyDescent="0.5">
      <c r="A68" s="70" t="s">
        <v>213</v>
      </c>
      <c r="B68"/>
      <c r="D68" s="187"/>
      <c r="E68" s="188">
        <f>-$B$6*$D$6/12</f>
        <v>-416.66666666666669</v>
      </c>
      <c r="F68" s="188">
        <f t="shared" ref="F68:K68" si="13">-$B$6*$D$6/12</f>
        <v>-416.66666666666669</v>
      </c>
      <c r="G68" s="188">
        <f t="shared" si="13"/>
        <v>-416.66666666666669</v>
      </c>
      <c r="H68" s="188">
        <f t="shared" si="13"/>
        <v>-416.66666666666669</v>
      </c>
      <c r="I68" s="188">
        <f t="shared" si="13"/>
        <v>-416.66666666666669</v>
      </c>
      <c r="J68" s="188">
        <f t="shared" si="13"/>
        <v>-416.66666666666669</v>
      </c>
      <c r="K68" s="187">
        <f t="shared" si="13"/>
        <v>-416.66666666666669</v>
      </c>
    </row>
    <row r="69" spans="1:11" x14ac:dyDescent="0.5">
      <c r="A69" s="70"/>
      <c r="B69"/>
      <c r="D69" s="187"/>
      <c r="E69" s="188"/>
      <c r="F69" s="188"/>
      <c r="G69" s="188"/>
      <c r="H69" s="188"/>
      <c r="I69" s="188"/>
      <c r="J69" s="188"/>
      <c r="K69" s="187"/>
    </row>
    <row r="70" spans="1:11" x14ac:dyDescent="0.5">
      <c r="A70" s="70" t="s">
        <v>214</v>
      </c>
      <c r="B70"/>
      <c r="D70" s="190"/>
      <c r="E70" s="191">
        <f>+D75*$J$9/12</f>
        <v>25.216362847222225</v>
      </c>
      <c r="F70" s="191">
        <f t="shared" ref="F70:K70" si="14">+E75*$J$9/12</f>
        <v>28.17470621744792</v>
      </c>
      <c r="G70" s="191">
        <f t="shared" si="14"/>
        <v>27.250896822441948</v>
      </c>
      <c r="H70" s="191">
        <f t="shared" si="14"/>
        <v>25.273328499025556</v>
      </c>
      <c r="I70" s="191">
        <f t="shared" si="14"/>
        <v>26.770024326316005</v>
      </c>
      <c r="J70" s="191">
        <f t="shared" si="14"/>
        <v>27.410865328946127</v>
      </c>
      <c r="K70" s="190">
        <f t="shared" si="14"/>
        <v>31.507628910607309</v>
      </c>
    </row>
    <row r="71" spans="1:11" x14ac:dyDescent="0.5">
      <c r="A71" t="s">
        <v>114</v>
      </c>
      <c r="B71"/>
      <c r="D71" s="190">
        <f>SUM(D59:D70)</f>
        <v>20173.090277777781</v>
      </c>
      <c r="E71" s="191"/>
      <c r="F71" s="191"/>
      <c r="G71" s="191"/>
      <c r="H71" s="191"/>
      <c r="I71" s="191"/>
      <c r="J71" s="191"/>
      <c r="K71" s="190">
        <f>+J75</f>
        <v>25206.103128485847</v>
      </c>
    </row>
    <row r="72" spans="1:11" x14ac:dyDescent="0.5">
      <c r="A72" t="s">
        <v>224</v>
      </c>
      <c r="B72" s="100"/>
      <c r="D72" s="192">
        <f>SUM(D60:D70)-D71</f>
        <v>-100000</v>
      </c>
      <c r="E72" s="93">
        <f t="shared" ref="E72:K72" si="15">SUM(E61:E71)</f>
        <v>2366.6746961805557</v>
      </c>
      <c r="F72" s="93">
        <f t="shared" si="15"/>
        <v>-739.04751600477425</v>
      </c>
      <c r="G72" s="93">
        <f t="shared" si="15"/>
        <v>-1582.0546587331137</v>
      </c>
      <c r="H72" s="93">
        <f t="shared" si="15"/>
        <v>1197.3566618323589</v>
      </c>
      <c r="I72" s="93">
        <f t="shared" si="15"/>
        <v>512.67280210409376</v>
      </c>
      <c r="J72" s="93">
        <f t="shared" si="15"/>
        <v>3277.4108653289463</v>
      </c>
      <c r="K72" s="192">
        <f t="shared" si="15"/>
        <v>116347.64547961866</v>
      </c>
    </row>
    <row r="73" spans="1:11" x14ac:dyDescent="0.5">
      <c r="B73" s="100"/>
      <c r="D73" s="192"/>
      <c r="E73" s="93"/>
      <c r="F73" s="93"/>
      <c r="G73" s="93"/>
      <c r="H73" s="93"/>
      <c r="I73" s="93"/>
      <c r="J73" s="93"/>
      <c r="K73" s="192"/>
    </row>
    <row r="74" spans="1:11" x14ac:dyDescent="0.5">
      <c r="A74" t="s">
        <v>216</v>
      </c>
      <c r="B74"/>
      <c r="D74" s="187">
        <f>+D59</f>
        <v>100000</v>
      </c>
      <c r="E74" s="101">
        <f t="shared" ref="E74:K74" si="16">-E71</f>
        <v>0</v>
      </c>
      <c r="F74" s="101">
        <f t="shared" si="16"/>
        <v>0</v>
      </c>
      <c r="G74" s="101">
        <f t="shared" si="16"/>
        <v>0</v>
      </c>
      <c r="H74" s="101">
        <f t="shared" si="16"/>
        <v>0</v>
      </c>
      <c r="I74" s="101">
        <f t="shared" si="16"/>
        <v>0</v>
      </c>
      <c r="J74" s="101">
        <f t="shared" si="16"/>
        <v>0</v>
      </c>
      <c r="K74" s="187">
        <f t="shared" si="16"/>
        <v>-25206.103128485847</v>
      </c>
    </row>
    <row r="75" spans="1:11" ht="14.7" thickBot="1" x14ac:dyDescent="0.55000000000000004">
      <c r="A75" t="s">
        <v>215</v>
      </c>
      <c r="B75"/>
      <c r="D75" s="193">
        <f>+D71</f>
        <v>20173.090277777781</v>
      </c>
      <c r="E75" s="142">
        <f t="shared" ref="E75:K75" si="17">+E59+E72+E74</f>
        <v>22539.764973958336</v>
      </c>
      <c r="F75" s="142">
        <f t="shared" si="17"/>
        <v>21800.71745795356</v>
      </c>
      <c r="G75" s="142">
        <f t="shared" si="17"/>
        <v>20218.662799220445</v>
      </c>
      <c r="H75" s="142">
        <f t="shared" si="17"/>
        <v>21416.019461052805</v>
      </c>
      <c r="I75" s="142">
        <f t="shared" si="17"/>
        <v>21928.6922631569</v>
      </c>
      <c r="J75" s="142">
        <f t="shared" si="17"/>
        <v>25206.103128485847</v>
      </c>
      <c r="K75" s="193">
        <f t="shared" si="17"/>
        <v>116347.64547961866</v>
      </c>
    </row>
    <row r="76" spans="1:11" ht="14.7" thickTop="1" x14ac:dyDescent="0.5">
      <c r="A76" s="14" t="s">
        <v>217</v>
      </c>
      <c r="B76"/>
      <c r="D76" s="99">
        <f>+D75/(D182+D279)</f>
        <v>0.11317301698613061</v>
      </c>
      <c r="E76" s="99">
        <f t="shared" ref="E76:J76" si="18">+E75/(E182+E279)</f>
        <v>0.12819795799089032</v>
      </c>
      <c r="F76" s="99">
        <f t="shared" si="18"/>
        <v>0.12038941634013618</v>
      </c>
      <c r="G76" s="99">
        <f t="shared" si="18"/>
        <v>0.10836748116961246</v>
      </c>
      <c r="H76" s="99">
        <f t="shared" si="18"/>
        <v>0.114182232144662</v>
      </c>
      <c r="I76" s="99">
        <f t="shared" si="18"/>
        <v>0.11620312788488633</v>
      </c>
      <c r="J76" s="99">
        <f t="shared" si="18"/>
        <v>0.13294358190129665</v>
      </c>
      <c r="K76" s="99"/>
    </row>
    <row r="77" spans="1:11" ht="14.7" thickBot="1" x14ac:dyDescent="0.55000000000000004">
      <c r="A77" s="14"/>
      <c r="B77"/>
      <c r="D77" s="99"/>
      <c r="E77" s="99"/>
      <c r="F77" s="99"/>
      <c r="G77" s="99"/>
      <c r="H77" s="99"/>
      <c r="I77" s="99"/>
      <c r="J77" s="99"/>
      <c r="K77" s="99"/>
    </row>
    <row r="78" spans="1:11" ht="14.7" thickBot="1" x14ac:dyDescent="0.55000000000000004">
      <c r="A78" s="14"/>
      <c r="B78"/>
      <c r="D78" s="194" t="s">
        <v>218</v>
      </c>
      <c r="E78" s="195">
        <f>+SUM(D72:K72)/-D72</f>
        <v>0.2138065833032671</v>
      </c>
      <c r="F78" s="99"/>
      <c r="G78" s="99"/>
      <c r="H78" s="99"/>
      <c r="I78" s="99"/>
      <c r="J78" s="99"/>
      <c r="K78" s="99"/>
    </row>
    <row r="79" spans="1:11" x14ac:dyDescent="0.5">
      <c r="B79" s="75"/>
      <c r="D79"/>
      <c r="I79"/>
    </row>
    <row r="80" spans="1:11" x14ac:dyDescent="0.5">
      <c r="B80" s="75"/>
      <c r="D80" s="181">
        <v>0</v>
      </c>
      <c r="E80" s="182">
        <v>1</v>
      </c>
      <c r="F80" s="182">
        <v>2</v>
      </c>
      <c r="G80" s="182">
        <v>3</v>
      </c>
      <c r="H80" s="182">
        <v>4</v>
      </c>
      <c r="I80" s="182">
        <v>5</v>
      </c>
      <c r="J80" s="182">
        <v>6</v>
      </c>
      <c r="K80" s="181">
        <v>7</v>
      </c>
    </row>
    <row r="81" spans="1:11" ht="24.35" thickBot="1" x14ac:dyDescent="0.55000000000000004">
      <c r="A81" s="197" t="s">
        <v>219</v>
      </c>
      <c r="B81" s="75"/>
      <c r="D81" s="113" t="s">
        <v>125</v>
      </c>
      <c r="E81" s="113" t="s">
        <v>126</v>
      </c>
      <c r="F81" s="113" t="s">
        <v>127</v>
      </c>
      <c r="G81" s="113" t="s">
        <v>128</v>
      </c>
      <c r="H81" s="113" t="s">
        <v>129</v>
      </c>
      <c r="I81" s="113" t="s">
        <v>130</v>
      </c>
      <c r="J81" s="113" t="s">
        <v>131</v>
      </c>
      <c r="K81" s="113" t="s">
        <v>132</v>
      </c>
    </row>
    <row r="82" spans="1:11" ht="14.7" thickTop="1" x14ac:dyDescent="0.5">
      <c r="A82" t="str">
        <f>+A72</f>
        <v>Total Cash Flows (Levered)</v>
      </c>
      <c r="B82" s="75"/>
      <c r="D82" s="101">
        <f t="shared" ref="D82:K82" si="19">+D72</f>
        <v>-100000</v>
      </c>
      <c r="E82" s="101">
        <f t="shared" si="19"/>
        <v>2366.6746961805557</v>
      </c>
      <c r="F82" s="101">
        <f t="shared" si="19"/>
        <v>-739.04751600477425</v>
      </c>
      <c r="G82" s="101">
        <f t="shared" si="19"/>
        <v>-1582.0546587331137</v>
      </c>
      <c r="H82" s="101">
        <f t="shared" si="19"/>
        <v>1197.3566618323589</v>
      </c>
      <c r="I82" s="101">
        <f t="shared" si="19"/>
        <v>512.67280210409376</v>
      </c>
      <c r="J82" s="101">
        <f t="shared" si="19"/>
        <v>3277.4108653289463</v>
      </c>
      <c r="K82" s="101">
        <f t="shared" si="19"/>
        <v>116347.64547961866</v>
      </c>
    </row>
    <row r="83" spans="1:11" x14ac:dyDescent="0.5">
      <c r="A83" t="s">
        <v>220</v>
      </c>
      <c r="B83" s="75"/>
      <c r="D83" s="10">
        <f t="shared" ref="D83:K84" si="20">-D67</f>
        <v>-100000</v>
      </c>
      <c r="E83" s="10">
        <f t="shared" si="20"/>
        <v>0</v>
      </c>
      <c r="F83" s="10">
        <f t="shared" si="20"/>
        <v>0</v>
      </c>
      <c r="G83" s="10">
        <f t="shared" si="20"/>
        <v>0</v>
      </c>
      <c r="H83" s="10">
        <f t="shared" si="20"/>
        <v>0</v>
      </c>
      <c r="I83" s="10">
        <f t="shared" si="20"/>
        <v>0</v>
      </c>
      <c r="J83" s="10">
        <f t="shared" si="20"/>
        <v>0</v>
      </c>
      <c r="K83" s="10">
        <f t="shared" si="20"/>
        <v>100000</v>
      </c>
    </row>
    <row r="84" spans="1:11" x14ac:dyDescent="0.5">
      <c r="A84" t="s">
        <v>221</v>
      </c>
      <c r="B84" s="75"/>
      <c r="D84" s="10">
        <f t="shared" si="20"/>
        <v>0</v>
      </c>
      <c r="E84" s="10">
        <f t="shared" si="20"/>
        <v>416.66666666666669</v>
      </c>
      <c r="F84" s="10">
        <f t="shared" si="20"/>
        <v>416.66666666666669</v>
      </c>
      <c r="G84" s="10">
        <f t="shared" si="20"/>
        <v>416.66666666666669</v>
      </c>
      <c r="H84" s="10">
        <f t="shared" si="20"/>
        <v>416.66666666666669</v>
      </c>
      <c r="I84" s="10">
        <f t="shared" si="20"/>
        <v>416.66666666666669</v>
      </c>
      <c r="J84" s="10">
        <f t="shared" si="20"/>
        <v>416.66666666666669</v>
      </c>
      <c r="K84" s="10">
        <f t="shared" si="20"/>
        <v>416.66666666666669</v>
      </c>
    </row>
    <row r="85" spans="1:11" ht="14.7" thickBot="1" x14ac:dyDescent="0.55000000000000004">
      <c r="A85" t="s">
        <v>222</v>
      </c>
      <c r="B85" s="75"/>
      <c r="D85" s="198">
        <f t="shared" ref="D85:K85" si="21">SUM(D82:D84)</f>
        <v>-200000</v>
      </c>
      <c r="E85" s="198">
        <f t="shared" si="21"/>
        <v>2783.3413628472222</v>
      </c>
      <c r="F85" s="198">
        <f t="shared" si="21"/>
        <v>-322.38084933810757</v>
      </c>
      <c r="G85" s="198">
        <f t="shared" si="21"/>
        <v>-1165.3879920664469</v>
      </c>
      <c r="H85" s="198">
        <f t="shared" si="21"/>
        <v>1614.0233284990256</v>
      </c>
      <c r="I85" s="198">
        <f t="shared" si="21"/>
        <v>929.3394687707605</v>
      </c>
      <c r="J85" s="198">
        <f t="shared" si="21"/>
        <v>3694.0775319956128</v>
      </c>
      <c r="K85" s="198">
        <f t="shared" si="21"/>
        <v>216764.31214628532</v>
      </c>
    </row>
    <row r="86" spans="1:11" ht="15" thickTop="1" thickBot="1" x14ac:dyDescent="0.55000000000000004">
      <c r="B86" s="75"/>
      <c r="D86" s="188"/>
      <c r="E86" s="188"/>
      <c r="F86" s="188"/>
      <c r="G86" s="188"/>
      <c r="H86" s="188"/>
      <c r="I86" s="188"/>
      <c r="J86" s="188"/>
      <c r="K86" s="188"/>
    </row>
    <row r="87" spans="1:11" ht="14.7" thickBot="1" x14ac:dyDescent="0.55000000000000004">
      <c r="B87"/>
      <c r="D87" s="194" t="s">
        <v>223</v>
      </c>
      <c r="E87" s="195">
        <f>SUM(D85:K85)/-D85</f>
        <v>0.12148662498496676</v>
      </c>
      <c r="F87" s="188"/>
      <c r="G87" s="188"/>
      <c r="H87" s="188"/>
      <c r="I87" s="188"/>
      <c r="J87" s="188"/>
      <c r="K87" s="188"/>
    </row>
    <row r="88" spans="1:11" x14ac:dyDescent="0.5">
      <c r="B88" s="75"/>
      <c r="C88" s="188"/>
      <c r="D88" s="188"/>
      <c r="E88" s="188"/>
      <c r="F88" s="188"/>
      <c r="G88" s="188"/>
      <c r="H88" s="188"/>
      <c r="I88" s="188"/>
      <c r="J88" s="188"/>
    </row>
    <row r="90" spans="1:11" ht="17.7" x14ac:dyDescent="0.55000000000000004">
      <c r="A90" s="36" t="s">
        <v>57</v>
      </c>
      <c r="B90" s="72"/>
      <c r="C90" s="73"/>
      <c r="D90" s="71"/>
      <c r="E90" s="71"/>
      <c r="F90" s="71"/>
      <c r="G90" s="71"/>
      <c r="H90" s="71"/>
      <c r="I90" s="71"/>
      <c r="J90" s="71"/>
      <c r="K90" s="71"/>
    </row>
    <row r="91" spans="1:11" x14ac:dyDescent="0.5">
      <c r="B91" s="74"/>
      <c r="C91" s="75"/>
      <c r="D91"/>
      <c r="I91"/>
    </row>
    <row r="92" spans="1:11" x14ac:dyDescent="0.5">
      <c r="A92" s="11" t="s">
        <v>58</v>
      </c>
      <c r="B92" s="74"/>
      <c r="D92" s="76">
        <v>0</v>
      </c>
      <c r="E92" s="76">
        <v>1</v>
      </c>
      <c r="F92" s="76">
        <v>2</v>
      </c>
      <c r="G92" s="76">
        <v>3</v>
      </c>
      <c r="H92" s="76">
        <v>4</v>
      </c>
      <c r="I92" s="76">
        <v>5</v>
      </c>
      <c r="J92" s="76">
        <v>6</v>
      </c>
      <c r="K92" s="76">
        <v>7</v>
      </c>
    </row>
    <row r="93" spans="1:11" ht="24.35" thickBot="1" x14ac:dyDescent="0.55000000000000004">
      <c r="A93" s="111" t="s">
        <v>59</v>
      </c>
      <c r="B93" s="112" t="s">
        <v>60</v>
      </c>
      <c r="C93" s="112" t="s">
        <v>61</v>
      </c>
      <c r="D93" s="113" t="s">
        <v>125</v>
      </c>
      <c r="E93" s="113" t="s">
        <v>126</v>
      </c>
      <c r="F93" s="113" t="s">
        <v>127</v>
      </c>
      <c r="G93" s="113" t="s">
        <v>128</v>
      </c>
      <c r="H93" s="113" t="s">
        <v>129</v>
      </c>
      <c r="I93" s="113" t="s">
        <v>130</v>
      </c>
      <c r="J93" s="113" t="s">
        <v>131</v>
      </c>
      <c r="K93" s="113" t="s">
        <v>132</v>
      </c>
    </row>
    <row r="94" spans="1:11" ht="14.7" thickTop="1" x14ac:dyDescent="0.5">
      <c r="A94" s="80" t="s">
        <v>62</v>
      </c>
      <c r="B94" s="80" t="s">
        <v>63</v>
      </c>
      <c r="C94" s="80" t="s">
        <v>64</v>
      </c>
      <c r="D94" s="80">
        <v>23</v>
      </c>
      <c r="E94" s="80">
        <v>24</v>
      </c>
      <c r="F94" s="80">
        <v>22.5</v>
      </c>
      <c r="G94" s="80">
        <v>25</v>
      </c>
      <c r="H94" s="80">
        <v>26</v>
      </c>
      <c r="I94" s="80">
        <v>27</v>
      </c>
      <c r="J94" s="80">
        <v>28</v>
      </c>
      <c r="K94" s="80">
        <v>31</v>
      </c>
    </row>
    <row r="95" spans="1:11" x14ac:dyDescent="0.5">
      <c r="A95" s="80" t="s">
        <v>65</v>
      </c>
      <c r="B95" s="80" t="s">
        <v>66</v>
      </c>
      <c r="C95" s="80" t="s">
        <v>67</v>
      </c>
      <c r="D95" s="80">
        <v>12</v>
      </c>
      <c r="E95" s="80">
        <v>10</v>
      </c>
      <c r="F95" s="80">
        <v>12</v>
      </c>
      <c r="G95" s="80">
        <v>12</v>
      </c>
      <c r="H95" s="80">
        <v>15</v>
      </c>
      <c r="I95" s="80">
        <v>18</v>
      </c>
      <c r="J95" s="80">
        <v>19.5</v>
      </c>
      <c r="K95" s="80">
        <v>22</v>
      </c>
    </row>
    <row r="96" spans="1:11" x14ac:dyDescent="0.5">
      <c r="A96" s="80" t="s">
        <v>68</v>
      </c>
      <c r="B96" s="80" t="s">
        <v>69</v>
      </c>
      <c r="C96" s="80" t="s">
        <v>70</v>
      </c>
      <c r="D96" s="80">
        <v>18</v>
      </c>
      <c r="E96" s="80">
        <v>19</v>
      </c>
      <c r="F96" s="80">
        <v>18</v>
      </c>
      <c r="G96" s="80">
        <v>19</v>
      </c>
      <c r="H96" s="80">
        <v>21</v>
      </c>
      <c r="I96" s="80">
        <v>20</v>
      </c>
      <c r="J96" s="80">
        <v>19</v>
      </c>
      <c r="K96" s="80">
        <v>21</v>
      </c>
    </row>
    <row r="97" spans="1:11" x14ac:dyDescent="0.5">
      <c r="A97" s="80" t="s">
        <v>71</v>
      </c>
      <c r="B97" s="80" t="s">
        <v>72</v>
      </c>
      <c r="C97" s="80" t="s">
        <v>73</v>
      </c>
      <c r="D97" s="80">
        <v>40</v>
      </c>
      <c r="E97" s="80">
        <v>42</v>
      </c>
      <c r="F97" s="80">
        <v>43</v>
      </c>
      <c r="G97" s="80">
        <v>45</v>
      </c>
      <c r="H97" s="80">
        <v>45</v>
      </c>
      <c r="I97" s="80">
        <v>45</v>
      </c>
      <c r="J97" s="80">
        <v>46</v>
      </c>
      <c r="K97" s="80">
        <v>48</v>
      </c>
    </row>
    <row r="98" spans="1:11" x14ac:dyDescent="0.5">
      <c r="A98" s="80" t="s">
        <v>74</v>
      </c>
      <c r="B98" s="80" t="s">
        <v>75</v>
      </c>
      <c r="C98" s="80" t="s">
        <v>76</v>
      </c>
      <c r="D98" s="80">
        <v>52</v>
      </c>
      <c r="E98" s="80">
        <v>60</v>
      </c>
      <c r="F98" s="80">
        <v>60</v>
      </c>
      <c r="G98" s="80">
        <v>60</v>
      </c>
      <c r="H98" s="80">
        <v>62</v>
      </c>
      <c r="I98" s="80">
        <v>62</v>
      </c>
      <c r="J98" s="80">
        <v>61</v>
      </c>
      <c r="K98" s="80">
        <v>63</v>
      </c>
    </row>
    <row r="99" spans="1:11" x14ac:dyDescent="0.5">
      <c r="A99" s="80" t="s">
        <v>77</v>
      </c>
      <c r="B99" s="80" t="s">
        <v>78</v>
      </c>
      <c r="C99" s="80" t="s">
        <v>79</v>
      </c>
      <c r="D99" s="80">
        <v>31</v>
      </c>
      <c r="E99" s="80">
        <v>20</v>
      </c>
      <c r="F99" s="80">
        <v>25</v>
      </c>
      <c r="G99" s="80">
        <v>26</v>
      </c>
      <c r="H99" s="80">
        <v>20</v>
      </c>
      <c r="I99" s="80">
        <v>22</v>
      </c>
      <c r="J99" s="80">
        <v>24</v>
      </c>
      <c r="K99" s="80">
        <v>25</v>
      </c>
    </row>
    <row r="100" spans="1:11" x14ac:dyDescent="0.5">
      <c r="A100" s="80" t="s">
        <v>80</v>
      </c>
      <c r="B100" s="80" t="s">
        <v>81</v>
      </c>
      <c r="C100" s="80" t="s">
        <v>82</v>
      </c>
      <c r="D100" s="80">
        <v>15</v>
      </c>
      <c r="E100" s="80">
        <v>16</v>
      </c>
      <c r="F100" s="80">
        <v>17</v>
      </c>
      <c r="G100" s="80">
        <v>18</v>
      </c>
      <c r="H100" s="80">
        <v>19</v>
      </c>
      <c r="I100" s="80">
        <v>19</v>
      </c>
      <c r="J100" s="80">
        <v>18</v>
      </c>
      <c r="K100" s="80">
        <v>20</v>
      </c>
    </row>
    <row r="101" spans="1:11" x14ac:dyDescent="0.5">
      <c r="A101" s="80" t="s">
        <v>83</v>
      </c>
      <c r="B101" s="80" t="s">
        <v>84</v>
      </c>
      <c r="C101" s="80" t="s">
        <v>85</v>
      </c>
      <c r="D101" s="80">
        <v>8</v>
      </c>
      <c r="E101" s="80">
        <v>9.5</v>
      </c>
      <c r="F101" s="80">
        <v>10.5</v>
      </c>
      <c r="G101" s="80">
        <v>11</v>
      </c>
      <c r="H101" s="80">
        <v>11.5</v>
      </c>
      <c r="I101" s="80">
        <v>12</v>
      </c>
      <c r="J101" s="80">
        <v>14</v>
      </c>
      <c r="K101" s="80">
        <v>14.5</v>
      </c>
    </row>
    <row r="102" spans="1:11" x14ac:dyDescent="0.5">
      <c r="A102" s="80" t="s">
        <v>86</v>
      </c>
      <c r="B102" s="80" t="s">
        <v>87</v>
      </c>
      <c r="C102" s="80" t="s">
        <v>88</v>
      </c>
      <c r="D102" s="80">
        <v>15</v>
      </c>
      <c r="E102" s="80">
        <v>13</v>
      </c>
      <c r="F102" s="80">
        <v>12</v>
      </c>
      <c r="G102" s="80">
        <v>14</v>
      </c>
      <c r="H102" s="80">
        <v>15</v>
      </c>
      <c r="I102" s="80">
        <v>18</v>
      </c>
      <c r="J102" s="80">
        <v>22</v>
      </c>
      <c r="K102" s="80">
        <v>20</v>
      </c>
    </row>
    <row r="103" spans="1:11" x14ac:dyDescent="0.5">
      <c r="A103" s="80" t="s">
        <v>89</v>
      </c>
      <c r="B103" s="80" t="s">
        <v>90</v>
      </c>
      <c r="C103" s="80" t="s">
        <v>91</v>
      </c>
      <c r="D103" s="80">
        <v>25</v>
      </c>
      <c r="E103" s="80">
        <v>26</v>
      </c>
      <c r="F103" s="80">
        <v>26</v>
      </c>
      <c r="G103" s="80">
        <v>26</v>
      </c>
      <c r="H103" s="80">
        <v>26</v>
      </c>
      <c r="I103" s="80">
        <v>26</v>
      </c>
      <c r="J103" s="80">
        <v>27</v>
      </c>
      <c r="K103" s="80">
        <v>20</v>
      </c>
    </row>
    <row r="104" spans="1:11" x14ac:dyDescent="0.5">
      <c r="A104" s="80" t="s">
        <v>92</v>
      </c>
      <c r="B104" s="80" t="s">
        <v>93</v>
      </c>
      <c r="C104" s="80" t="s">
        <v>73</v>
      </c>
      <c r="D104" s="80">
        <v>26</v>
      </c>
      <c r="E104" s="80">
        <v>30</v>
      </c>
      <c r="F104" s="80">
        <v>32</v>
      </c>
      <c r="G104" s="80">
        <v>33</v>
      </c>
      <c r="H104" s="80">
        <v>35</v>
      </c>
      <c r="I104" s="80">
        <v>32</v>
      </c>
      <c r="J104" s="80">
        <v>34</v>
      </c>
      <c r="K104" s="80">
        <v>35</v>
      </c>
    </row>
    <row r="105" spans="1:11" x14ac:dyDescent="0.5">
      <c r="A105" s="80" t="s">
        <v>94</v>
      </c>
      <c r="B105" s="80" t="s">
        <v>95</v>
      </c>
      <c r="C105" s="80" t="s">
        <v>76</v>
      </c>
      <c r="D105" s="80">
        <v>19</v>
      </c>
      <c r="E105" s="80">
        <v>20</v>
      </c>
      <c r="F105" s="80">
        <v>19</v>
      </c>
      <c r="G105" s="80">
        <v>18</v>
      </c>
      <c r="H105" s="80">
        <v>18</v>
      </c>
      <c r="I105" s="80">
        <v>16</v>
      </c>
      <c r="J105" s="80">
        <v>20</v>
      </c>
      <c r="K105" s="80">
        <v>18</v>
      </c>
    </row>
    <row r="106" spans="1:11" x14ac:dyDescent="0.5">
      <c r="A106" s="80" t="s">
        <v>96</v>
      </c>
      <c r="B106" s="80" t="s">
        <v>97</v>
      </c>
      <c r="C106" s="80" t="s">
        <v>79</v>
      </c>
      <c r="D106" s="80">
        <v>53</v>
      </c>
      <c r="E106" s="80">
        <v>52</v>
      </c>
      <c r="F106" s="80">
        <v>55</v>
      </c>
      <c r="G106" s="80">
        <v>56</v>
      </c>
      <c r="H106" s="80">
        <v>58</v>
      </c>
      <c r="I106" s="80">
        <v>59</v>
      </c>
      <c r="J106" s="80">
        <v>59</v>
      </c>
      <c r="K106" s="80">
        <v>61</v>
      </c>
    </row>
    <row r="107" spans="1:11" x14ac:dyDescent="0.5">
      <c r="A107" s="80" t="s">
        <v>98</v>
      </c>
      <c r="B107" s="80" t="s">
        <v>99</v>
      </c>
      <c r="C107" s="80" t="s">
        <v>85</v>
      </c>
      <c r="D107" s="80">
        <v>11</v>
      </c>
      <c r="E107" s="80">
        <v>8.5</v>
      </c>
      <c r="F107" s="80">
        <v>11</v>
      </c>
      <c r="G107" s="80">
        <v>11</v>
      </c>
      <c r="H107" s="80">
        <v>11</v>
      </c>
      <c r="I107" s="80">
        <v>11</v>
      </c>
      <c r="J107" s="80">
        <f>+I107+0.5</f>
        <v>11.5</v>
      </c>
      <c r="K107" s="80">
        <v>12</v>
      </c>
    </row>
    <row r="108" spans="1:11" x14ac:dyDescent="0.5">
      <c r="A108" s="80" t="s">
        <v>100</v>
      </c>
      <c r="B108" s="80" t="s">
        <v>101</v>
      </c>
      <c r="C108" s="80" t="s">
        <v>64</v>
      </c>
      <c r="D108" s="80">
        <v>18</v>
      </c>
      <c r="E108" s="80">
        <v>17</v>
      </c>
      <c r="F108" s="80">
        <v>19</v>
      </c>
      <c r="G108" s="80">
        <v>19</v>
      </c>
      <c r="H108" s="80">
        <v>20</v>
      </c>
      <c r="I108" s="80">
        <v>22</v>
      </c>
      <c r="J108" s="80">
        <v>26</v>
      </c>
      <c r="K108" s="80">
        <v>24</v>
      </c>
    </row>
    <row r="109" spans="1:11" x14ac:dyDescent="0.5">
      <c r="B109" s="74"/>
      <c r="D109"/>
      <c r="I109"/>
    </row>
    <row r="110" spans="1:11" x14ac:dyDescent="0.5">
      <c r="A110" s="82" t="s">
        <v>133</v>
      </c>
      <c r="B110" s="74"/>
      <c r="D110" s="76">
        <v>0</v>
      </c>
      <c r="E110" s="76">
        <v>1</v>
      </c>
      <c r="F110" s="76">
        <v>2</v>
      </c>
      <c r="G110" s="76">
        <v>3</v>
      </c>
      <c r="H110" s="76">
        <v>4</v>
      </c>
      <c r="I110" s="76">
        <v>5</v>
      </c>
      <c r="J110" s="76">
        <v>6</v>
      </c>
      <c r="K110" s="76">
        <v>7</v>
      </c>
    </row>
    <row r="111" spans="1:11" ht="26.35" thickBot="1" x14ac:dyDescent="0.55000000000000004">
      <c r="A111" s="77" t="s">
        <v>59</v>
      </c>
      <c r="B111" s="78" t="s">
        <v>60</v>
      </c>
      <c r="C111" s="78" t="s">
        <v>61</v>
      </c>
      <c r="D111" s="116" t="str">
        <f t="shared" ref="D111:K111" si="22">+D93</f>
        <v>June 1
20x1</v>
      </c>
      <c r="E111" s="116" t="str">
        <f t="shared" si="22"/>
        <v>July 1
20x1</v>
      </c>
      <c r="F111" s="116" t="str">
        <f t="shared" si="22"/>
        <v>Aug 1
20x1</v>
      </c>
      <c r="G111" s="116" t="str">
        <f t="shared" si="22"/>
        <v>Sep 1
20x1</v>
      </c>
      <c r="H111" s="116" t="str">
        <f t="shared" si="22"/>
        <v>Oct 1
20x1</v>
      </c>
      <c r="I111" s="116" t="str">
        <f t="shared" si="22"/>
        <v>Nov 1
20x1</v>
      </c>
      <c r="J111" s="116" t="str">
        <f t="shared" si="22"/>
        <v>Dec 1
20x1</v>
      </c>
      <c r="K111" s="116" t="str">
        <f t="shared" si="22"/>
        <v>Jan 2
20x2</v>
      </c>
    </row>
    <row r="112" spans="1:11" ht="14.7" thickTop="1" x14ac:dyDescent="0.5">
      <c r="A112" s="83" t="str">
        <f t="shared" ref="A112:C126" si="23">+A94</f>
        <v>ABC</v>
      </c>
      <c r="B112" s="83" t="str">
        <f t="shared" si="23"/>
        <v>ABC Chem Inc</v>
      </c>
      <c r="C112" s="83" t="str">
        <f t="shared" si="23"/>
        <v>Chemicals</v>
      </c>
      <c r="D112" s="84">
        <v>400</v>
      </c>
      <c r="E112">
        <f t="shared" ref="E112:J126" si="24">+D112+E130</f>
        <v>400</v>
      </c>
      <c r="F112">
        <f t="shared" si="24"/>
        <v>100</v>
      </c>
      <c r="G112">
        <f t="shared" si="24"/>
        <v>100</v>
      </c>
      <c r="H112">
        <f t="shared" si="24"/>
        <v>100</v>
      </c>
      <c r="I112">
        <f t="shared" si="24"/>
        <v>100</v>
      </c>
      <c r="J112">
        <f t="shared" si="24"/>
        <v>100</v>
      </c>
      <c r="K112">
        <f t="shared" ref="K112:K126" si="25">+I112+K130</f>
        <v>0</v>
      </c>
    </row>
    <row r="113" spans="1:11" x14ac:dyDescent="0.5">
      <c r="A113" s="83" t="str">
        <f t="shared" si="23"/>
        <v>BCD</v>
      </c>
      <c r="B113" s="83" t="str">
        <f t="shared" si="23"/>
        <v>BCD  Precision Inc</v>
      </c>
      <c r="C113" s="83" t="str">
        <f t="shared" si="23"/>
        <v>Industrial</v>
      </c>
      <c r="D113" s="84">
        <v>350</v>
      </c>
      <c r="E113">
        <f t="shared" si="24"/>
        <v>350</v>
      </c>
      <c r="F113">
        <f t="shared" si="24"/>
        <v>50</v>
      </c>
      <c r="G113">
        <f t="shared" si="24"/>
        <v>50</v>
      </c>
      <c r="H113">
        <f t="shared" si="24"/>
        <v>50</v>
      </c>
      <c r="I113">
        <f t="shared" si="24"/>
        <v>50</v>
      </c>
      <c r="J113">
        <f t="shared" si="24"/>
        <v>50</v>
      </c>
      <c r="K113">
        <f t="shared" si="25"/>
        <v>0</v>
      </c>
    </row>
    <row r="114" spans="1:11" x14ac:dyDescent="0.5">
      <c r="A114" s="83" t="str">
        <f t="shared" si="23"/>
        <v>CDE</v>
      </c>
      <c r="B114" s="83" t="str">
        <f t="shared" si="23"/>
        <v>CDE Inc</v>
      </c>
      <c r="C114" s="83" t="str">
        <f t="shared" si="23"/>
        <v>Publishing</v>
      </c>
      <c r="D114" s="84">
        <v>300</v>
      </c>
      <c r="E114">
        <f t="shared" si="24"/>
        <v>300</v>
      </c>
      <c r="F114">
        <f t="shared" si="24"/>
        <v>200</v>
      </c>
      <c r="G114">
        <f t="shared" si="24"/>
        <v>200</v>
      </c>
      <c r="H114">
        <f t="shared" si="24"/>
        <v>200</v>
      </c>
      <c r="I114">
        <f t="shared" si="24"/>
        <v>200</v>
      </c>
      <c r="J114">
        <f t="shared" si="24"/>
        <v>200</v>
      </c>
      <c r="K114">
        <f t="shared" si="25"/>
        <v>0</v>
      </c>
    </row>
    <row r="115" spans="1:11" x14ac:dyDescent="0.5">
      <c r="A115" s="83" t="str">
        <f t="shared" si="23"/>
        <v>DEF</v>
      </c>
      <c r="B115" s="83" t="str">
        <f t="shared" si="23"/>
        <v>DEF Inc</v>
      </c>
      <c r="C115" s="83" t="str">
        <f t="shared" si="23"/>
        <v>Hospitality</v>
      </c>
      <c r="D115" s="84">
        <v>300</v>
      </c>
      <c r="E115">
        <f t="shared" si="24"/>
        <v>300</v>
      </c>
      <c r="F115">
        <f t="shared" si="24"/>
        <v>300</v>
      </c>
      <c r="G115">
        <f t="shared" si="24"/>
        <v>200</v>
      </c>
      <c r="H115">
        <f t="shared" si="24"/>
        <v>200</v>
      </c>
      <c r="I115">
        <f t="shared" si="24"/>
        <v>200</v>
      </c>
      <c r="J115">
        <f t="shared" si="24"/>
        <v>200</v>
      </c>
      <c r="K115">
        <f t="shared" si="25"/>
        <v>0</v>
      </c>
    </row>
    <row r="116" spans="1:11" x14ac:dyDescent="0.5">
      <c r="A116" s="83" t="str">
        <f t="shared" si="23"/>
        <v>EFG</v>
      </c>
      <c r="B116" s="83" t="str">
        <f t="shared" si="23"/>
        <v>Effective Inc</v>
      </c>
      <c r="C116" s="83" t="str">
        <f t="shared" si="23"/>
        <v>TV/Cable</v>
      </c>
      <c r="D116" s="84">
        <v>200</v>
      </c>
      <c r="E116">
        <f t="shared" si="24"/>
        <v>200</v>
      </c>
      <c r="F116">
        <f t="shared" si="24"/>
        <v>200</v>
      </c>
      <c r="G116">
        <f t="shared" si="24"/>
        <v>200</v>
      </c>
      <c r="H116">
        <f t="shared" si="24"/>
        <v>200</v>
      </c>
      <c r="I116">
        <f t="shared" si="24"/>
        <v>200</v>
      </c>
      <c r="J116">
        <f t="shared" si="24"/>
        <v>200</v>
      </c>
      <c r="K116">
        <f t="shared" si="25"/>
        <v>0</v>
      </c>
    </row>
    <row r="117" spans="1:11" x14ac:dyDescent="0.5">
      <c r="A117" s="83" t="str">
        <f t="shared" si="23"/>
        <v>FGH</v>
      </c>
      <c r="B117" s="83" t="str">
        <f t="shared" si="23"/>
        <v>FGH Inc</v>
      </c>
      <c r="C117" s="83" t="str">
        <f t="shared" si="23"/>
        <v>Techonlogy</v>
      </c>
      <c r="D117" s="84">
        <v>400</v>
      </c>
      <c r="E117">
        <f t="shared" si="24"/>
        <v>400</v>
      </c>
      <c r="F117">
        <f t="shared" si="24"/>
        <v>400</v>
      </c>
      <c r="G117">
        <f t="shared" si="24"/>
        <v>400</v>
      </c>
      <c r="H117">
        <f t="shared" si="24"/>
        <v>100</v>
      </c>
      <c r="I117">
        <f t="shared" si="24"/>
        <v>100</v>
      </c>
      <c r="J117">
        <f t="shared" si="24"/>
        <v>100</v>
      </c>
      <c r="K117">
        <f t="shared" si="25"/>
        <v>0</v>
      </c>
    </row>
    <row r="118" spans="1:11" x14ac:dyDescent="0.5">
      <c r="A118" s="83" t="str">
        <f t="shared" si="23"/>
        <v>GHI</v>
      </c>
      <c r="B118" s="83" t="str">
        <f t="shared" si="23"/>
        <v>General HI</v>
      </c>
      <c r="C118" s="83" t="str">
        <f t="shared" si="23"/>
        <v>Service</v>
      </c>
      <c r="D118" s="84">
        <v>600</v>
      </c>
      <c r="E118">
        <f t="shared" si="24"/>
        <v>600</v>
      </c>
      <c r="F118">
        <f t="shared" si="24"/>
        <v>600</v>
      </c>
      <c r="G118">
        <f t="shared" si="24"/>
        <v>600</v>
      </c>
      <c r="H118">
        <f t="shared" si="24"/>
        <v>600</v>
      </c>
      <c r="I118">
        <f t="shared" si="24"/>
        <v>600</v>
      </c>
      <c r="J118">
        <f t="shared" si="24"/>
        <v>600</v>
      </c>
      <c r="K118">
        <f t="shared" si="25"/>
        <v>0</v>
      </c>
    </row>
    <row r="119" spans="1:11" x14ac:dyDescent="0.5">
      <c r="A119" s="83" t="str">
        <f t="shared" si="23"/>
        <v>HIK</v>
      </c>
      <c r="B119" s="83" t="str">
        <f t="shared" si="23"/>
        <v>Hicks Kental Inc</v>
      </c>
      <c r="C119" s="83" t="str">
        <f t="shared" si="23"/>
        <v>Retail</v>
      </c>
      <c r="D119" s="84">
        <v>1000</v>
      </c>
      <c r="E119">
        <f t="shared" si="24"/>
        <v>1000</v>
      </c>
      <c r="F119">
        <f t="shared" si="24"/>
        <v>1000</v>
      </c>
      <c r="G119">
        <f t="shared" si="24"/>
        <v>1000</v>
      </c>
      <c r="H119">
        <f t="shared" si="24"/>
        <v>1000</v>
      </c>
      <c r="I119">
        <f t="shared" si="24"/>
        <v>1000</v>
      </c>
      <c r="J119">
        <f t="shared" si="24"/>
        <v>1000</v>
      </c>
      <c r="K119">
        <f t="shared" si="25"/>
        <v>0</v>
      </c>
    </row>
    <row r="120" spans="1:11" x14ac:dyDescent="0.5">
      <c r="A120" s="83" t="str">
        <f t="shared" si="23"/>
        <v>IKL</v>
      </c>
      <c r="B120" s="83" t="str">
        <f t="shared" si="23"/>
        <v>IKL Inc</v>
      </c>
      <c r="C120" s="83" t="str">
        <f t="shared" si="23"/>
        <v>Pharmaceutical</v>
      </c>
      <c r="D120" s="84">
        <v>300</v>
      </c>
      <c r="E120">
        <f t="shared" si="24"/>
        <v>300</v>
      </c>
      <c r="F120">
        <f t="shared" si="24"/>
        <v>300</v>
      </c>
      <c r="G120">
        <f t="shared" si="24"/>
        <v>300</v>
      </c>
      <c r="H120">
        <f t="shared" si="24"/>
        <v>300</v>
      </c>
      <c r="I120">
        <f t="shared" si="24"/>
        <v>300</v>
      </c>
      <c r="J120">
        <f t="shared" si="24"/>
        <v>300</v>
      </c>
      <c r="K120">
        <f t="shared" si="25"/>
        <v>0</v>
      </c>
    </row>
    <row r="121" spans="1:11" x14ac:dyDescent="0.5">
      <c r="A121" s="83" t="str">
        <f t="shared" si="23"/>
        <v>KLM</v>
      </c>
      <c r="B121" s="83" t="str">
        <f t="shared" si="23"/>
        <v>KLM Health</v>
      </c>
      <c r="C121" s="83" t="str">
        <f t="shared" si="23"/>
        <v>Healthcare</v>
      </c>
      <c r="D121" s="84">
        <v>300</v>
      </c>
      <c r="E121">
        <f t="shared" si="24"/>
        <v>300</v>
      </c>
      <c r="F121">
        <f t="shared" si="24"/>
        <v>300</v>
      </c>
      <c r="G121">
        <f t="shared" si="24"/>
        <v>300</v>
      </c>
      <c r="H121">
        <f t="shared" si="24"/>
        <v>300</v>
      </c>
      <c r="I121">
        <f t="shared" si="24"/>
        <v>300</v>
      </c>
      <c r="J121">
        <f t="shared" si="24"/>
        <v>300</v>
      </c>
      <c r="K121">
        <f t="shared" si="25"/>
        <v>0</v>
      </c>
    </row>
    <row r="122" spans="1:11" x14ac:dyDescent="0.5">
      <c r="A122" s="83" t="str">
        <f t="shared" si="23"/>
        <v>LMN</v>
      </c>
      <c r="B122" s="83" t="str">
        <f t="shared" si="23"/>
        <v>LMN Hotel &amp; Resorts</v>
      </c>
      <c r="C122" s="83" t="str">
        <f t="shared" si="23"/>
        <v>Hospitality</v>
      </c>
      <c r="D122" s="84"/>
      <c r="E122">
        <f t="shared" si="24"/>
        <v>0</v>
      </c>
      <c r="F122">
        <f t="shared" si="24"/>
        <v>100</v>
      </c>
      <c r="G122">
        <f t="shared" si="24"/>
        <v>100</v>
      </c>
      <c r="H122">
        <f t="shared" si="24"/>
        <v>100</v>
      </c>
      <c r="I122">
        <f t="shared" si="24"/>
        <v>100</v>
      </c>
      <c r="J122">
        <f t="shared" si="24"/>
        <v>100</v>
      </c>
      <c r="K122">
        <f t="shared" si="25"/>
        <v>0</v>
      </c>
    </row>
    <row r="123" spans="1:11" x14ac:dyDescent="0.5">
      <c r="A123" s="83" t="str">
        <f t="shared" si="23"/>
        <v>MNO</v>
      </c>
      <c r="B123" s="83" t="str">
        <f t="shared" si="23"/>
        <v>MNO Cable Inc</v>
      </c>
      <c r="C123" s="83" t="str">
        <f t="shared" si="23"/>
        <v>TV/Cable</v>
      </c>
      <c r="D123" s="84"/>
      <c r="E123">
        <f t="shared" si="24"/>
        <v>0</v>
      </c>
      <c r="F123">
        <f t="shared" si="24"/>
        <v>100</v>
      </c>
      <c r="G123">
        <f t="shared" si="24"/>
        <v>100</v>
      </c>
      <c r="H123">
        <f t="shared" si="24"/>
        <v>100</v>
      </c>
      <c r="I123">
        <f t="shared" si="24"/>
        <v>100</v>
      </c>
      <c r="J123">
        <f t="shared" si="24"/>
        <v>100</v>
      </c>
      <c r="K123">
        <f t="shared" si="25"/>
        <v>0</v>
      </c>
    </row>
    <row r="124" spans="1:11" x14ac:dyDescent="0.5">
      <c r="A124" s="83" t="str">
        <f t="shared" si="23"/>
        <v>NOP</v>
      </c>
      <c r="B124" s="83" t="str">
        <f t="shared" si="23"/>
        <v>Norton Optimum</v>
      </c>
      <c r="C124" s="83" t="str">
        <f t="shared" si="23"/>
        <v>Techonlogy</v>
      </c>
      <c r="D124" s="84"/>
      <c r="E124">
        <f t="shared" si="24"/>
        <v>0</v>
      </c>
      <c r="F124">
        <f t="shared" si="24"/>
        <v>100</v>
      </c>
      <c r="G124">
        <f t="shared" si="24"/>
        <v>100</v>
      </c>
      <c r="H124">
        <f t="shared" si="24"/>
        <v>100</v>
      </c>
      <c r="I124">
        <f t="shared" si="24"/>
        <v>100</v>
      </c>
      <c r="J124">
        <f t="shared" si="24"/>
        <v>100</v>
      </c>
      <c r="K124">
        <f t="shared" si="25"/>
        <v>0</v>
      </c>
    </row>
    <row r="125" spans="1:11" x14ac:dyDescent="0.5">
      <c r="A125" s="83" t="str">
        <f t="shared" si="23"/>
        <v>OPQ</v>
      </c>
      <c r="B125" s="83" t="str">
        <f t="shared" si="23"/>
        <v>Odyssea PQ Inc</v>
      </c>
      <c r="C125" s="83" t="str">
        <f t="shared" si="23"/>
        <v>Retail</v>
      </c>
      <c r="D125" s="84"/>
      <c r="E125">
        <f t="shared" si="24"/>
        <v>0</v>
      </c>
      <c r="F125">
        <f t="shared" si="24"/>
        <v>0</v>
      </c>
      <c r="G125">
        <f t="shared" si="24"/>
        <v>200</v>
      </c>
      <c r="H125">
        <f t="shared" si="24"/>
        <v>200</v>
      </c>
      <c r="I125">
        <f t="shared" si="24"/>
        <v>200</v>
      </c>
      <c r="J125">
        <f t="shared" si="24"/>
        <v>200</v>
      </c>
      <c r="K125">
        <f t="shared" si="25"/>
        <v>0</v>
      </c>
    </row>
    <row r="126" spans="1:11" x14ac:dyDescent="0.5">
      <c r="A126" s="83" t="str">
        <f t="shared" si="23"/>
        <v>PQR</v>
      </c>
      <c r="B126" s="83" t="str">
        <f t="shared" si="23"/>
        <v>PQR Chemicals</v>
      </c>
      <c r="C126" s="83" t="str">
        <f t="shared" si="23"/>
        <v>Chemicals</v>
      </c>
      <c r="D126" s="84"/>
      <c r="E126">
        <f t="shared" si="24"/>
        <v>0</v>
      </c>
      <c r="F126">
        <f t="shared" si="24"/>
        <v>0</v>
      </c>
      <c r="G126">
        <f t="shared" si="24"/>
        <v>0</v>
      </c>
      <c r="H126">
        <f t="shared" si="24"/>
        <v>300</v>
      </c>
      <c r="I126">
        <f t="shared" si="24"/>
        <v>300</v>
      </c>
      <c r="J126">
        <f t="shared" si="24"/>
        <v>300</v>
      </c>
      <c r="K126">
        <f t="shared" si="25"/>
        <v>0</v>
      </c>
    </row>
    <row r="127" spans="1:11" x14ac:dyDescent="0.5">
      <c r="B127" s="74"/>
      <c r="C127" s="85"/>
      <c r="D127"/>
      <c r="I127"/>
    </row>
    <row r="128" spans="1:11" x14ac:dyDescent="0.5">
      <c r="A128" s="82" t="s">
        <v>134</v>
      </c>
      <c r="B128" s="74"/>
      <c r="D128" s="76">
        <v>0</v>
      </c>
      <c r="E128" s="76">
        <v>1</v>
      </c>
      <c r="F128" s="76">
        <v>2</v>
      </c>
      <c r="G128" s="76">
        <v>3</v>
      </c>
      <c r="H128" s="76">
        <v>4</v>
      </c>
      <c r="I128" s="76">
        <v>5</v>
      </c>
      <c r="J128" s="76">
        <v>6</v>
      </c>
      <c r="K128" s="76">
        <v>7</v>
      </c>
    </row>
    <row r="129" spans="1:11" ht="26.35" thickBot="1" x14ac:dyDescent="0.55000000000000004">
      <c r="A129" s="115" t="s">
        <v>59</v>
      </c>
      <c r="B129" s="115" t="s">
        <v>60</v>
      </c>
      <c r="C129" s="115" t="s">
        <v>61</v>
      </c>
      <c r="D129" s="116" t="str">
        <f t="shared" ref="D129:K129" si="26">+D111</f>
        <v>June 1
20x1</v>
      </c>
      <c r="E129" s="116" t="str">
        <f t="shared" si="26"/>
        <v>July 1
20x1</v>
      </c>
      <c r="F129" s="116" t="str">
        <f t="shared" si="26"/>
        <v>Aug 1
20x1</v>
      </c>
      <c r="G129" s="116" t="str">
        <f t="shared" si="26"/>
        <v>Sep 1
20x1</v>
      </c>
      <c r="H129" s="116" t="str">
        <f t="shared" si="26"/>
        <v>Oct 1
20x1</v>
      </c>
      <c r="I129" s="116" t="str">
        <f t="shared" si="26"/>
        <v>Nov 1
20x1</v>
      </c>
      <c r="J129" s="116" t="str">
        <f t="shared" si="26"/>
        <v>Dec 1
20x1</v>
      </c>
      <c r="K129" s="116" t="str">
        <f t="shared" si="26"/>
        <v>Jan 2
20x2</v>
      </c>
    </row>
    <row r="130" spans="1:11" ht="14.7" thickTop="1" x14ac:dyDescent="0.5">
      <c r="A130" s="69" t="str">
        <f>+A94</f>
        <v>ABC</v>
      </c>
      <c r="B130" s="86" t="str">
        <f t="shared" ref="B130:C144" si="27">+B112</f>
        <v>ABC Chem Inc</v>
      </c>
      <c r="C130" s="74" t="str">
        <f t="shared" si="27"/>
        <v>Chemicals</v>
      </c>
      <c r="D130" s="84"/>
      <c r="E130" s="84"/>
      <c r="F130" s="84">
        <v>-300</v>
      </c>
      <c r="G130" s="84"/>
      <c r="H130" s="84"/>
      <c r="I130" s="84"/>
      <c r="J130" s="84"/>
      <c r="K130">
        <f t="shared" ref="K130:K144" si="28">-I112</f>
        <v>-100</v>
      </c>
    </row>
    <row r="131" spans="1:11" x14ac:dyDescent="0.5">
      <c r="A131" s="3" t="str">
        <f t="shared" ref="A131:A144" si="29">+A113</f>
        <v>BCD</v>
      </c>
      <c r="B131" s="86" t="str">
        <f t="shared" si="27"/>
        <v>BCD  Precision Inc</v>
      </c>
      <c r="C131" s="74" t="str">
        <f t="shared" si="27"/>
        <v>Industrial</v>
      </c>
      <c r="D131" s="84"/>
      <c r="E131" s="84"/>
      <c r="F131" s="84">
        <v>-300</v>
      </c>
      <c r="G131" s="84"/>
      <c r="H131" s="84"/>
      <c r="I131" s="84"/>
      <c r="J131" s="84"/>
      <c r="K131">
        <f t="shared" si="28"/>
        <v>-50</v>
      </c>
    </row>
    <row r="132" spans="1:11" x14ac:dyDescent="0.5">
      <c r="A132" s="3" t="str">
        <f t="shared" si="29"/>
        <v>CDE</v>
      </c>
      <c r="B132" s="86" t="str">
        <f t="shared" si="27"/>
        <v>CDE Inc</v>
      </c>
      <c r="C132" s="74" t="str">
        <f t="shared" si="27"/>
        <v>Publishing</v>
      </c>
      <c r="D132" s="84"/>
      <c r="E132" s="84"/>
      <c r="F132" s="84">
        <v>-100</v>
      </c>
      <c r="G132" s="84"/>
      <c r="H132" s="84"/>
      <c r="I132" s="84"/>
      <c r="J132" s="84"/>
      <c r="K132">
        <f t="shared" si="28"/>
        <v>-200</v>
      </c>
    </row>
    <row r="133" spans="1:11" x14ac:dyDescent="0.5">
      <c r="A133" s="3" t="str">
        <f t="shared" si="29"/>
        <v>DEF</v>
      </c>
      <c r="B133" s="86" t="str">
        <f t="shared" si="27"/>
        <v>DEF Inc</v>
      </c>
      <c r="C133" s="74" t="str">
        <f t="shared" si="27"/>
        <v>Hospitality</v>
      </c>
      <c r="D133" s="84"/>
      <c r="E133" s="84"/>
      <c r="F133" s="84"/>
      <c r="G133" s="84">
        <v>-100</v>
      </c>
      <c r="H133" s="84"/>
      <c r="I133" s="84"/>
      <c r="J133" s="84"/>
      <c r="K133">
        <f t="shared" si="28"/>
        <v>-200</v>
      </c>
    </row>
    <row r="134" spans="1:11" x14ac:dyDescent="0.5">
      <c r="A134" s="3" t="str">
        <f t="shared" si="29"/>
        <v>EFG</v>
      </c>
      <c r="B134" s="86" t="str">
        <f t="shared" si="27"/>
        <v>Effective Inc</v>
      </c>
      <c r="C134" s="74" t="str">
        <f t="shared" si="27"/>
        <v>TV/Cable</v>
      </c>
      <c r="D134" s="84"/>
      <c r="E134" s="84"/>
      <c r="F134" s="84"/>
      <c r="G134" s="84"/>
      <c r="H134" s="84"/>
      <c r="I134" s="84"/>
      <c r="J134" s="84"/>
      <c r="K134">
        <f t="shared" si="28"/>
        <v>-200</v>
      </c>
    </row>
    <row r="135" spans="1:11" x14ac:dyDescent="0.5">
      <c r="A135" s="3" t="str">
        <f t="shared" si="29"/>
        <v>FGH</v>
      </c>
      <c r="B135" s="86" t="str">
        <f t="shared" si="27"/>
        <v>FGH Inc</v>
      </c>
      <c r="C135" s="74" t="str">
        <f t="shared" si="27"/>
        <v>Techonlogy</v>
      </c>
      <c r="D135" s="84"/>
      <c r="E135" s="84"/>
      <c r="F135" s="84"/>
      <c r="G135" s="84"/>
      <c r="H135" s="84">
        <v>-300</v>
      </c>
      <c r="I135" s="84"/>
      <c r="J135" s="84"/>
      <c r="K135">
        <f t="shared" si="28"/>
        <v>-100</v>
      </c>
    </row>
    <row r="136" spans="1:11" x14ac:dyDescent="0.5">
      <c r="A136" s="3" t="str">
        <f t="shared" si="29"/>
        <v>GHI</v>
      </c>
      <c r="B136" s="86" t="str">
        <f t="shared" si="27"/>
        <v>General HI</v>
      </c>
      <c r="C136" s="74" t="str">
        <f t="shared" si="27"/>
        <v>Service</v>
      </c>
      <c r="D136" s="84"/>
      <c r="E136" s="84"/>
      <c r="F136" s="84"/>
      <c r="G136" s="84"/>
      <c r="H136" s="84"/>
      <c r="I136" s="84"/>
      <c r="J136" s="84"/>
      <c r="K136">
        <f t="shared" si="28"/>
        <v>-600</v>
      </c>
    </row>
    <row r="137" spans="1:11" x14ac:dyDescent="0.5">
      <c r="A137" s="3" t="str">
        <f t="shared" si="29"/>
        <v>HIK</v>
      </c>
      <c r="B137" s="86" t="str">
        <f t="shared" si="27"/>
        <v>Hicks Kental Inc</v>
      </c>
      <c r="C137" s="74" t="str">
        <f t="shared" si="27"/>
        <v>Retail</v>
      </c>
      <c r="D137" s="84"/>
      <c r="E137" s="84"/>
      <c r="F137" s="84"/>
      <c r="G137" s="84"/>
      <c r="H137" s="84"/>
      <c r="I137" s="84"/>
      <c r="J137" s="84"/>
      <c r="K137">
        <f t="shared" si="28"/>
        <v>-1000</v>
      </c>
    </row>
    <row r="138" spans="1:11" x14ac:dyDescent="0.5">
      <c r="A138" s="3" t="str">
        <f t="shared" si="29"/>
        <v>IKL</v>
      </c>
      <c r="B138" s="86" t="str">
        <f t="shared" si="27"/>
        <v>IKL Inc</v>
      </c>
      <c r="C138" s="74" t="str">
        <f t="shared" si="27"/>
        <v>Pharmaceutical</v>
      </c>
      <c r="D138" s="84"/>
      <c r="E138" s="84"/>
      <c r="F138" s="84"/>
      <c r="G138" s="84"/>
      <c r="H138" s="84"/>
      <c r="I138" s="84"/>
      <c r="J138" s="84"/>
      <c r="K138">
        <f t="shared" si="28"/>
        <v>-300</v>
      </c>
    </row>
    <row r="139" spans="1:11" x14ac:dyDescent="0.5">
      <c r="A139" s="3" t="str">
        <f t="shared" si="29"/>
        <v>KLM</v>
      </c>
      <c r="B139" s="86" t="str">
        <f t="shared" si="27"/>
        <v>KLM Health</v>
      </c>
      <c r="C139" s="74" t="str">
        <f t="shared" si="27"/>
        <v>Healthcare</v>
      </c>
      <c r="D139" s="84"/>
      <c r="E139" s="84"/>
      <c r="F139" s="84"/>
      <c r="G139" s="84"/>
      <c r="H139" s="84"/>
      <c r="I139" s="84"/>
      <c r="J139" s="84"/>
      <c r="K139">
        <f t="shared" si="28"/>
        <v>-300</v>
      </c>
    </row>
    <row r="140" spans="1:11" x14ac:dyDescent="0.5">
      <c r="A140" s="3" t="str">
        <f t="shared" si="29"/>
        <v>LMN</v>
      </c>
      <c r="B140" s="86" t="str">
        <f t="shared" si="27"/>
        <v>LMN Hotel &amp; Resorts</v>
      </c>
      <c r="C140" s="74" t="str">
        <f t="shared" si="27"/>
        <v>Hospitality</v>
      </c>
      <c r="D140" s="84"/>
      <c r="E140" s="84"/>
      <c r="F140" s="84">
        <v>100</v>
      </c>
      <c r="G140" s="84"/>
      <c r="H140" s="84"/>
      <c r="I140" s="84"/>
      <c r="J140" s="84"/>
      <c r="K140">
        <f t="shared" si="28"/>
        <v>-100</v>
      </c>
    </row>
    <row r="141" spans="1:11" x14ac:dyDescent="0.5">
      <c r="A141" s="3" t="str">
        <f t="shared" si="29"/>
        <v>MNO</v>
      </c>
      <c r="B141" s="86" t="str">
        <f t="shared" si="27"/>
        <v>MNO Cable Inc</v>
      </c>
      <c r="C141" s="74" t="str">
        <f t="shared" si="27"/>
        <v>TV/Cable</v>
      </c>
      <c r="D141" s="84"/>
      <c r="E141" s="84"/>
      <c r="F141" s="84">
        <v>100</v>
      </c>
      <c r="G141" s="84"/>
      <c r="H141" s="84"/>
      <c r="I141" s="84"/>
      <c r="J141" s="84"/>
      <c r="K141">
        <f t="shared" si="28"/>
        <v>-100</v>
      </c>
    </row>
    <row r="142" spans="1:11" x14ac:dyDescent="0.5">
      <c r="A142" s="3" t="str">
        <f t="shared" si="29"/>
        <v>NOP</v>
      </c>
      <c r="B142" s="86" t="str">
        <f t="shared" si="27"/>
        <v>Norton Optimum</v>
      </c>
      <c r="C142" s="74" t="str">
        <f t="shared" si="27"/>
        <v>Techonlogy</v>
      </c>
      <c r="D142" s="84"/>
      <c r="E142" s="84"/>
      <c r="F142" s="84">
        <v>100</v>
      </c>
      <c r="G142" s="84"/>
      <c r="H142" s="84"/>
      <c r="I142" s="84"/>
      <c r="J142" s="84"/>
      <c r="K142">
        <f t="shared" si="28"/>
        <v>-100</v>
      </c>
    </row>
    <row r="143" spans="1:11" x14ac:dyDescent="0.5">
      <c r="A143" s="3" t="str">
        <f t="shared" si="29"/>
        <v>OPQ</v>
      </c>
      <c r="B143" s="86" t="str">
        <f t="shared" si="27"/>
        <v>Odyssea PQ Inc</v>
      </c>
      <c r="C143" s="74" t="str">
        <f t="shared" si="27"/>
        <v>Retail</v>
      </c>
      <c r="D143" s="84"/>
      <c r="E143" s="84"/>
      <c r="F143" s="84"/>
      <c r="G143" s="84">
        <v>200</v>
      </c>
      <c r="H143" s="84"/>
      <c r="I143" s="84"/>
      <c r="J143" s="84"/>
      <c r="K143">
        <f t="shared" si="28"/>
        <v>-200</v>
      </c>
    </row>
    <row r="144" spans="1:11" x14ac:dyDescent="0.5">
      <c r="A144" s="3" t="str">
        <f t="shared" si="29"/>
        <v>PQR</v>
      </c>
      <c r="B144" s="86" t="str">
        <f t="shared" si="27"/>
        <v>PQR Chemicals</v>
      </c>
      <c r="C144" s="74" t="str">
        <f t="shared" si="27"/>
        <v>Chemicals</v>
      </c>
      <c r="D144" s="84"/>
      <c r="E144" s="84"/>
      <c r="F144" s="84"/>
      <c r="G144" s="84"/>
      <c r="H144" s="84">
        <v>300</v>
      </c>
      <c r="I144" s="84"/>
      <c r="J144" s="84"/>
      <c r="K144">
        <f t="shared" si="28"/>
        <v>-300</v>
      </c>
    </row>
    <row r="145" spans="1:11" x14ac:dyDescent="0.5">
      <c r="A145" s="3"/>
      <c r="B145" s="74"/>
      <c r="C145" s="74"/>
      <c r="D145"/>
      <c r="I145"/>
    </row>
    <row r="146" spans="1:11" x14ac:dyDescent="0.5">
      <c r="A146" s="82" t="s">
        <v>135</v>
      </c>
      <c r="B146" s="74"/>
      <c r="D146" s="76">
        <v>0</v>
      </c>
      <c r="E146" s="76">
        <v>1</v>
      </c>
      <c r="F146" s="76">
        <v>2</v>
      </c>
      <c r="G146" s="76">
        <v>3</v>
      </c>
      <c r="H146" s="76">
        <v>4</v>
      </c>
      <c r="I146" s="76">
        <v>5</v>
      </c>
      <c r="J146" s="76">
        <v>6</v>
      </c>
      <c r="K146" s="76">
        <v>7</v>
      </c>
    </row>
    <row r="147" spans="1:11" ht="26.35" thickBot="1" x14ac:dyDescent="0.55000000000000004">
      <c r="A147" s="115" t="s">
        <v>59</v>
      </c>
      <c r="B147" s="115" t="s">
        <v>60</v>
      </c>
      <c r="C147" s="115" t="s">
        <v>61</v>
      </c>
      <c r="D147" s="116" t="str">
        <f t="shared" ref="D147:K147" si="30">+D129</f>
        <v>June 1
20x1</v>
      </c>
      <c r="E147" s="116" t="str">
        <f t="shared" si="30"/>
        <v>July 1
20x1</v>
      </c>
      <c r="F147" s="116" t="str">
        <f t="shared" si="30"/>
        <v>Aug 1
20x1</v>
      </c>
      <c r="G147" s="116" t="str">
        <f t="shared" si="30"/>
        <v>Sep 1
20x1</v>
      </c>
      <c r="H147" s="116" t="str">
        <f t="shared" si="30"/>
        <v>Oct 1
20x1</v>
      </c>
      <c r="I147" s="116" t="str">
        <f t="shared" si="30"/>
        <v>Nov 1
20x1</v>
      </c>
      <c r="J147" s="116" t="str">
        <f t="shared" si="30"/>
        <v>Dec 1
20x1</v>
      </c>
      <c r="K147" s="116" t="str">
        <f t="shared" si="30"/>
        <v>Jan 2
20x2</v>
      </c>
    </row>
    <row r="148" spans="1:11" ht="14.7" thickTop="1" x14ac:dyDescent="0.5">
      <c r="A148" s="74" t="str">
        <f t="shared" ref="A148:C162" si="31">+A130</f>
        <v>ABC</v>
      </c>
      <c r="B148" s="74" t="str">
        <f t="shared" si="31"/>
        <v>ABC Chem Inc</v>
      </c>
      <c r="C148" s="74" t="str">
        <f t="shared" si="31"/>
        <v>Chemicals</v>
      </c>
      <c r="D148" s="87">
        <f t="shared" ref="D148:K162" si="32">-D130*D94</f>
        <v>0</v>
      </c>
      <c r="E148" s="87">
        <f t="shared" si="32"/>
        <v>0</v>
      </c>
      <c r="F148" s="87">
        <f t="shared" si="32"/>
        <v>6750</v>
      </c>
      <c r="G148" s="87">
        <f t="shared" si="32"/>
        <v>0</v>
      </c>
      <c r="H148" s="87">
        <f t="shared" si="32"/>
        <v>0</v>
      </c>
      <c r="I148" s="87">
        <f t="shared" si="32"/>
        <v>0</v>
      </c>
      <c r="J148" s="87">
        <f t="shared" si="32"/>
        <v>0</v>
      </c>
      <c r="K148" s="87">
        <f t="shared" si="32"/>
        <v>3100</v>
      </c>
    </row>
    <row r="149" spans="1:11" x14ac:dyDescent="0.5">
      <c r="A149" s="74" t="str">
        <f t="shared" si="31"/>
        <v>BCD</v>
      </c>
      <c r="B149" s="74" t="str">
        <f t="shared" si="31"/>
        <v>BCD  Precision Inc</v>
      </c>
      <c r="C149" s="74" t="str">
        <f t="shared" si="31"/>
        <v>Industrial</v>
      </c>
      <c r="D149" s="87">
        <f t="shared" si="32"/>
        <v>0</v>
      </c>
      <c r="E149" s="87">
        <f t="shared" si="32"/>
        <v>0</v>
      </c>
      <c r="F149" s="87">
        <f t="shared" si="32"/>
        <v>3600</v>
      </c>
      <c r="G149" s="87">
        <f t="shared" si="32"/>
        <v>0</v>
      </c>
      <c r="H149" s="87">
        <f t="shared" si="32"/>
        <v>0</v>
      </c>
      <c r="I149" s="87">
        <f t="shared" si="32"/>
        <v>0</v>
      </c>
      <c r="J149" s="87">
        <f t="shared" si="32"/>
        <v>0</v>
      </c>
      <c r="K149" s="87">
        <f t="shared" si="32"/>
        <v>1100</v>
      </c>
    </row>
    <row r="150" spans="1:11" x14ac:dyDescent="0.5">
      <c r="A150" s="74" t="str">
        <f t="shared" si="31"/>
        <v>CDE</v>
      </c>
      <c r="B150" s="74" t="str">
        <f t="shared" si="31"/>
        <v>CDE Inc</v>
      </c>
      <c r="C150" s="74" t="str">
        <f t="shared" si="31"/>
        <v>Publishing</v>
      </c>
      <c r="D150" s="87">
        <f t="shared" si="32"/>
        <v>0</v>
      </c>
      <c r="E150" s="87">
        <f t="shared" si="32"/>
        <v>0</v>
      </c>
      <c r="F150" s="87">
        <f t="shared" si="32"/>
        <v>1800</v>
      </c>
      <c r="G150" s="87">
        <f t="shared" si="32"/>
        <v>0</v>
      </c>
      <c r="H150" s="87">
        <f t="shared" si="32"/>
        <v>0</v>
      </c>
      <c r="I150" s="87">
        <f t="shared" si="32"/>
        <v>0</v>
      </c>
      <c r="J150" s="87">
        <f t="shared" si="32"/>
        <v>0</v>
      </c>
      <c r="K150" s="87">
        <f t="shared" si="32"/>
        <v>4200</v>
      </c>
    </row>
    <row r="151" spans="1:11" x14ac:dyDescent="0.5">
      <c r="A151" s="74" t="str">
        <f t="shared" si="31"/>
        <v>DEF</v>
      </c>
      <c r="B151" s="74" t="str">
        <f t="shared" si="31"/>
        <v>DEF Inc</v>
      </c>
      <c r="C151" s="74" t="str">
        <f t="shared" si="31"/>
        <v>Hospitality</v>
      </c>
      <c r="D151" s="87">
        <f t="shared" si="32"/>
        <v>0</v>
      </c>
      <c r="E151" s="87">
        <f t="shared" si="32"/>
        <v>0</v>
      </c>
      <c r="F151" s="87">
        <f t="shared" si="32"/>
        <v>0</v>
      </c>
      <c r="G151" s="87">
        <f t="shared" si="32"/>
        <v>4500</v>
      </c>
      <c r="H151" s="87">
        <f t="shared" si="32"/>
        <v>0</v>
      </c>
      <c r="I151" s="87">
        <f t="shared" si="32"/>
        <v>0</v>
      </c>
      <c r="J151" s="87">
        <f t="shared" si="32"/>
        <v>0</v>
      </c>
      <c r="K151" s="87">
        <f t="shared" si="32"/>
        <v>9600</v>
      </c>
    </row>
    <row r="152" spans="1:11" x14ac:dyDescent="0.5">
      <c r="A152" s="74" t="str">
        <f t="shared" si="31"/>
        <v>EFG</v>
      </c>
      <c r="B152" s="74" t="str">
        <f t="shared" si="31"/>
        <v>Effective Inc</v>
      </c>
      <c r="C152" s="74" t="str">
        <f t="shared" si="31"/>
        <v>TV/Cable</v>
      </c>
      <c r="D152" s="87">
        <f t="shared" si="32"/>
        <v>0</v>
      </c>
      <c r="E152" s="87">
        <f t="shared" si="32"/>
        <v>0</v>
      </c>
      <c r="F152" s="87">
        <f t="shared" si="32"/>
        <v>0</v>
      </c>
      <c r="G152" s="87">
        <f t="shared" si="32"/>
        <v>0</v>
      </c>
      <c r="H152" s="87">
        <f t="shared" si="32"/>
        <v>0</v>
      </c>
      <c r="I152" s="87">
        <f t="shared" si="32"/>
        <v>0</v>
      </c>
      <c r="J152" s="87">
        <f t="shared" si="32"/>
        <v>0</v>
      </c>
      <c r="K152" s="87">
        <f t="shared" si="32"/>
        <v>12600</v>
      </c>
    </row>
    <row r="153" spans="1:11" x14ac:dyDescent="0.5">
      <c r="A153" s="74" t="str">
        <f t="shared" si="31"/>
        <v>FGH</v>
      </c>
      <c r="B153" s="74" t="str">
        <f t="shared" si="31"/>
        <v>FGH Inc</v>
      </c>
      <c r="C153" s="74" t="str">
        <f t="shared" si="31"/>
        <v>Techonlogy</v>
      </c>
      <c r="D153" s="87">
        <f t="shared" si="32"/>
        <v>0</v>
      </c>
      <c r="E153" s="87">
        <f t="shared" si="32"/>
        <v>0</v>
      </c>
      <c r="F153" s="87">
        <f t="shared" si="32"/>
        <v>0</v>
      </c>
      <c r="G153" s="87">
        <f t="shared" si="32"/>
        <v>0</v>
      </c>
      <c r="H153" s="87">
        <f t="shared" si="32"/>
        <v>6000</v>
      </c>
      <c r="I153" s="87">
        <f t="shared" si="32"/>
        <v>0</v>
      </c>
      <c r="J153" s="87">
        <f t="shared" si="32"/>
        <v>0</v>
      </c>
      <c r="K153" s="87">
        <f t="shared" si="32"/>
        <v>2500</v>
      </c>
    </row>
    <row r="154" spans="1:11" x14ac:dyDescent="0.5">
      <c r="A154" s="74" t="str">
        <f t="shared" si="31"/>
        <v>GHI</v>
      </c>
      <c r="B154" s="74" t="str">
        <f t="shared" si="31"/>
        <v>General HI</v>
      </c>
      <c r="C154" s="74" t="str">
        <f t="shared" si="31"/>
        <v>Service</v>
      </c>
      <c r="D154" s="87">
        <f t="shared" si="32"/>
        <v>0</v>
      </c>
      <c r="E154" s="87">
        <f t="shared" si="32"/>
        <v>0</v>
      </c>
      <c r="F154" s="87">
        <f t="shared" si="32"/>
        <v>0</v>
      </c>
      <c r="G154" s="87">
        <f t="shared" si="32"/>
        <v>0</v>
      </c>
      <c r="H154" s="87">
        <f t="shared" si="32"/>
        <v>0</v>
      </c>
      <c r="I154" s="87">
        <f t="shared" si="32"/>
        <v>0</v>
      </c>
      <c r="J154" s="87">
        <f t="shared" si="32"/>
        <v>0</v>
      </c>
      <c r="K154" s="87">
        <f t="shared" si="32"/>
        <v>12000</v>
      </c>
    </row>
    <row r="155" spans="1:11" x14ac:dyDescent="0.5">
      <c r="A155" s="74" t="str">
        <f t="shared" si="31"/>
        <v>HIK</v>
      </c>
      <c r="B155" s="74" t="str">
        <f t="shared" si="31"/>
        <v>Hicks Kental Inc</v>
      </c>
      <c r="C155" s="74" t="str">
        <f t="shared" si="31"/>
        <v>Retail</v>
      </c>
      <c r="D155" s="87">
        <f t="shared" si="32"/>
        <v>0</v>
      </c>
      <c r="E155" s="87">
        <f t="shared" si="32"/>
        <v>0</v>
      </c>
      <c r="F155" s="87">
        <f t="shared" si="32"/>
        <v>0</v>
      </c>
      <c r="G155" s="87">
        <f t="shared" si="32"/>
        <v>0</v>
      </c>
      <c r="H155" s="87">
        <f t="shared" si="32"/>
        <v>0</v>
      </c>
      <c r="I155" s="87">
        <f t="shared" si="32"/>
        <v>0</v>
      </c>
      <c r="J155" s="87">
        <f t="shared" si="32"/>
        <v>0</v>
      </c>
      <c r="K155" s="87">
        <f t="shared" si="32"/>
        <v>14500</v>
      </c>
    </row>
    <row r="156" spans="1:11" x14ac:dyDescent="0.5">
      <c r="A156" s="74" t="str">
        <f t="shared" si="31"/>
        <v>IKL</v>
      </c>
      <c r="B156" s="74" t="str">
        <f t="shared" si="31"/>
        <v>IKL Inc</v>
      </c>
      <c r="C156" s="74" t="str">
        <f t="shared" si="31"/>
        <v>Pharmaceutical</v>
      </c>
      <c r="D156" s="87">
        <f t="shared" si="32"/>
        <v>0</v>
      </c>
      <c r="E156" s="87">
        <f t="shared" si="32"/>
        <v>0</v>
      </c>
      <c r="F156" s="87">
        <f t="shared" si="32"/>
        <v>0</v>
      </c>
      <c r="G156" s="87">
        <f t="shared" si="32"/>
        <v>0</v>
      </c>
      <c r="H156" s="87">
        <f t="shared" si="32"/>
        <v>0</v>
      </c>
      <c r="I156" s="87">
        <f t="shared" si="32"/>
        <v>0</v>
      </c>
      <c r="J156" s="87">
        <f t="shared" si="32"/>
        <v>0</v>
      </c>
      <c r="K156" s="87">
        <f t="shared" si="32"/>
        <v>6000</v>
      </c>
    </row>
    <row r="157" spans="1:11" x14ac:dyDescent="0.5">
      <c r="A157" s="74" t="str">
        <f t="shared" si="31"/>
        <v>KLM</v>
      </c>
      <c r="B157" s="74" t="str">
        <f t="shared" si="31"/>
        <v>KLM Health</v>
      </c>
      <c r="C157" s="74" t="str">
        <f t="shared" si="31"/>
        <v>Healthcare</v>
      </c>
      <c r="D157" s="87">
        <f t="shared" si="32"/>
        <v>0</v>
      </c>
      <c r="E157" s="87">
        <f t="shared" si="32"/>
        <v>0</v>
      </c>
      <c r="F157" s="87">
        <f t="shared" si="32"/>
        <v>0</v>
      </c>
      <c r="G157" s="87">
        <f t="shared" si="32"/>
        <v>0</v>
      </c>
      <c r="H157" s="87">
        <f t="shared" si="32"/>
        <v>0</v>
      </c>
      <c r="I157" s="87">
        <f t="shared" si="32"/>
        <v>0</v>
      </c>
      <c r="J157" s="87">
        <f t="shared" si="32"/>
        <v>0</v>
      </c>
      <c r="K157" s="87">
        <f t="shared" si="32"/>
        <v>6000</v>
      </c>
    </row>
    <row r="158" spans="1:11" x14ac:dyDescent="0.5">
      <c r="A158" s="74" t="str">
        <f t="shared" si="31"/>
        <v>LMN</v>
      </c>
      <c r="B158" s="74" t="str">
        <f t="shared" si="31"/>
        <v>LMN Hotel &amp; Resorts</v>
      </c>
      <c r="C158" s="74" t="str">
        <f t="shared" si="31"/>
        <v>Hospitality</v>
      </c>
      <c r="D158" s="87">
        <f t="shared" si="32"/>
        <v>0</v>
      </c>
      <c r="E158" s="87">
        <f t="shared" si="32"/>
        <v>0</v>
      </c>
      <c r="F158" s="87">
        <f t="shared" si="32"/>
        <v>-3200</v>
      </c>
      <c r="G158" s="87">
        <f t="shared" si="32"/>
        <v>0</v>
      </c>
      <c r="H158" s="87">
        <f t="shared" si="32"/>
        <v>0</v>
      </c>
      <c r="I158" s="87">
        <f t="shared" si="32"/>
        <v>0</v>
      </c>
      <c r="J158" s="87">
        <f t="shared" si="32"/>
        <v>0</v>
      </c>
      <c r="K158" s="87">
        <f t="shared" si="32"/>
        <v>3500</v>
      </c>
    </row>
    <row r="159" spans="1:11" x14ac:dyDescent="0.5">
      <c r="A159" s="74" t="str">
        <f t="shared" si="31"/>
        <v>MNO</v>
      </c>
      <c r="B159" s="74" t="str">
        <f t="shared" si="31"/>
        <v>MNO Cable Inc</v>
      </c>
      <c r="C159" s="74" t="str">
        <f t="shared" si="31"/>
        <v>TV/Cable</v>
      </c>
      <c r="D159" s="87">
        <f t="shared" si="32"/>
        <v>0</v>
      </c>
      <c r="E159" s="87">
        <f t="shared" si="32"/>
        <v>0</v>
      </c>
      <c r="F159" s="87">
        <f t="shared" si="32"/>
        <v>-1900</v>
      </c>
      <c r="G159" s="87">
        <f t="shared" si="32"/>
        <v>0</v>
      </c>
      <c r="H159" s="87">
        <f t="shared" si="32"/>
        <v>0</v>
      </c>
      <c r="I159" s="87">
        <f t="shared" si="32"/>
        <v>0</v>
      </c>
      <c r="J159" s="87">
        <f t="shared" si="32"/>
        <v>0</v>
      </c>
      <c r="K159" s="87">
        <f t="shared" si="32"/>
        <v>1800</v>
      </c>
    </row>
    <row r="160" spans="1:11" x14ac:dyDescent="0.5">
      <c r="A160" s="74" t="str">
        <f t="shared" si="31"/>
        <v>NOP</v>
      </c>
      <c r="B160" s="74" t="str">
        <f t="shared" si="31"/>
        <v>Norton Optimum</v>
      </c>
      <c r="C160" s="74" t="str">
        <f t="shared" si="31"/>
        <v>Techonlogy</v>
      </c>
      <c r="D160" s="87">
        <f t="shared" si="32"/>
        <v>0</v>
      </c>
      <c r="E160" s="87">
        <f t="shared" si="32"/>
        <v>0</v>
      </c>
      <c r="F160" s="87">
        <f t="shared" si="32"/>
        <v>-5500</v>
      </c>
      <c r="G160" s="87">
        <f t="shared" si="32"/>
        <v>0</v>
      </c>
      <c r="H160" s="87">
        <f t="shared" si="32"/>
        <v>0</v>
      </c>
      <c r="I160" s="87">
        <f t="shared" si="32"/>
        <v>0</v>
      </c>
      <c r="J160" s="87">
        <f t="shared" si="32"/>
        <v>0</v>
      </c>
      <c r="K160" s="87">
        <f t="shared" si="32"/>
        <v>6100</v>
      </c>
    </row>
    <row r="161" spans="1:11" x14ac:dyDescent="0.5">
      <c r="A161" s="74" t="str">
        <f t="shared" si="31"/>
        <v>OPQ</v>
      </c>
      <c r="B161" s="74" t="str">
        <f t="shared" si="31"/>
        <v>Odyssea PQ Inc</v>
      </c>
      <c r="C161" s="74" t="str">
        <f t="shared" si="31"/>
        <v>Retail</v>
      </c>
      <c r="D161" s="87">
        <f t="shared" si="32"/>
        <v>0</v>
      </c>
      <c r="E161" s="87">
        <f t="shared" si="32"/>
        <v>0</v>
      </c>
      <c r="F161" s="87">
        <f t="shared" si="32"/>
        <v>0</v>
      </c>
      <c r="G161" s="87">
        <f t="shared" si="32"/>
        <v>-2200</v>
      </c>
      <c r="H161" s="87">
        <f t="shared" si="32"/>
        <v>0</v>
      </c>
      <c r="I161" s="87">
        <f t="shared" si="32"/>
        <v>0</v>
      </c>
      <c r="J161" s="87">
        <f t="shared" si="32"/>
        <v>0</v>
      </c>
      <c r="K161" s="87">
        <f t="shared" si="32"/>
        <v>2400</v>
      </c>
    </row>
    <row r="162" spans="1:11" x14ac:dyDescent="0.5">
      <c r="A162" s="74" t="str">
        <f t="shared" si="31"/>
        <v>PQR</v>
      </c>
      <c r="B162" s="74" t="str">
        <f t="shared" si="31"/>
        <v>PQR Chemicals</v>
      </c>
      <c r="C162" s="74" t="str">
        <f t="shared" si="31"/>
        <v>Chemicals</v>
      </c>
      <c r="D162" s="87">
        <f t="shared" si="32"/>
        <v>0</v>
      </c>
      <c r="E162" s="87">
        <f t="shared" si="32"/>
        <v>0</v>
      </c>
      <c r="F162" s="87">
        <f t="shared" si="32"/>
        <v>0</v>
      </c>
      <c r="G162" s="87">
        <f t="shared" si="32"/>
        <v>0</v>
      </c>
      <c r="H162" s="87">
        <f t="shared" si="32"/>
        <v>-6000</v>
      </c>
      <c r="I162" s="87">
        <f t="shared" si="32"/>
        <v>0</v>
      </c>
      <c r="J162" s="87">
        <f t="shared" si="32"/>
        <v>0</v>
      </c>
      <c r="K162" s="87">
        <f t="shared" si="32"/>
        <v>7200</v>
      </c>
    </row>
    <row r="163" spans="1:11" ht="14.7" thickBot="1" x14ac:dyDescent="0.55000000000000004">
      <c r="A163" s="157" t="s">
        <v>136</v>
      </c>
      <c r="B163" s="157"/>
      <c r="C163" s="157"/>
      <c r="D163" s="158">
        <f t="shared" ref="D163:K163" si="33">SUM(D148:D162)</f>
        <v>0</v>
      </c>
      <c r="E163" s="158">
        <f t="shared" si="33"/>
        <v>0</v>
      </c>
      <c r="F163" s="158">
        <f t="shared" si="33"/>
        <v>1550</v>
      </c>
      <c r="G163" s="158">
        <f t="shared" si="33"/>
        <v>2300</v>
      </c>
      <c r="H163" s="158">
        <f t="shared" si="33"/>
        <v>0</v>
      </c>
      <c r="I163" s="158">
        <f t="shared" si="33"/>
        <v>0</v>
      </c>
      <c r="J163" s="158">
        <f t="shared" si="33"/>
        <v>0</v>
      </c>
      <c r="K163" s="158">
        <f t="shared" si="33"/>
        <v>92600</v>
      </c>
    </row>
    <row r="164" spans="1:11" ht="14.7" thickTop="1" x14ac:dyDescent="0.5">
      <c r="A164" s="3"/>
      <c r="B164" s="74"/>
      <c r="C164" s="74"/>
      <c r="D164"/>
      <c r="I164"/>
    </row>
    <row r="165" spans="1:11" x14ac:dyDescent="0.5">
      <c r="A165" s="82" t="s">
        <v>137</v>
      </c>
      <c r="B165" s="74"/>
      <c r="D165" s="76">
        <v>0</v>
      </c>
      <c r="E165" s="76">
        <v>1</v>
      </c>
      <c r="F165" s="76">
        <v>2</v>
      </c>
      <c r="G165" s="76">
        <v>3</v>
      </c>
      <c r="H165" s="76">
        <v>4</v>
      </c>
      <c r="I165" s="76">
        <v>5</v>
      </c>
      <c r="J165" s="76">
        <v>6</v>
      </c>
      <c r="K165" s="76">
        <v>7</v>
      </c>
    </row>
    <row r="166" spans="1:11" ht="26.35" thickBot="1" x14ac:dyDescent="0.55000000000000004">
      <c r="A166" s="115" t="s">
        <v>59</v>
      </c>
      <c r="B166" s="115" t="s">
        <v>60</v>
      </c>
      <c r="C166" s="115" t="s">
        <v>61</v>
      </c>
      <c r="D166" s="116" t="str">
        <f t="shared" ref="D166:K166" si="34">+D147</f>
        <v>June 1
20x1</v>
      </c>
      <c r="E166" s="116" t="str">
        <f t="shared" si="34"/>
        <v>July 1
20x1</v>
      </c>
      <c r="F166" s="116" t="str">
        <f t="shared" si="34"/>
        <v>Aug 1
20x1</v>
      </c>
      <c r="G166" s="116" t="str">
        <f t="shared" si="34"/>
        <v>Sep 1
20x1</v>
      </c>
      <c r="H166" s="116" t="str">
        <f t="shared" si="34"/>
        <v>Oct 1
20x1</v>
      </c>
      <c r="I166" s="116" t="str">
        <f t="shared" si="34"/>
        <v>Nov 1
20x1</v>
      </c>
      <c r="J166" s="116" t="str">
        <f t="shared" si="34"/>
        <v>Dec 1
20x1</v>
      </c>
      <c r="K166" s="116" t="str">
        <f t="shared" si="34"/>
        <v>Jan 2
20x2</v>
      </c>
    </row>
    <row r="167" spans="1:11" ht="14.7" thickTop="1" x14ac:dyDescent="0.5">
      <c r="A167" s="74" t="str">
        <f t="shared" ref="A167:C181" si="35">+A148</f>
        <v>ABC</v>
      </c>
      <c r="B167" s="74" t="str">
        <f t="shared" si="35"/>
        <v>ABC Chem Inc</v>
      </c>
      <c r="C167" s="74" t="str">
        <f t="shared" si="35"/>
        <v>Chemicals</v>
      </c>
      <c r="D167" s="90">
        <f t="shared" ref="D167:K181" si="36">+D94*D112</f>
        <v>9200</v>
      </c>
      <c r="E167" s="87">
        <f t="shared" si="36"/>
        <v>9600</v>
      </c>
      <c r="F167" s="87">
        <f t="shared" si="36"/>
        <v>2250</v>
      </c>
      <c r="G167" s="87">
        <f t="shared" si="36"/>
        <v>2500</v>
      </c>
      <c r="H167" s="87">
        <f t="shared" si="36"/>
        <v>2600</v>
      </c>
      <c r="I167" s="87">
        <f t="shared" si="36"/>
        <v>2700</v>
      </c>
      <c r="J167" s="87">
        <f t="shared" si="36"/>
        <v>2800</v>
      </c>
      <c r="K167" s="87">
        <f t="shared" si="36"/>
        <v>0</v>
      </c>
    </row>
    <row r="168" spans="1:11" x14ac:dyDescent="0.5">
      <c r="A168" s="74" t="str">
        <f t="shared" si="35"/>
        <v>BCD</v>
      </c>
      <c r="B168" s="74" t="str">
        <f t="shared" si="35"/>
        <v>BCD  Precision Inc</v>
      </c>
      <c r="C168" s="74" t="str">
        <f t="shared" si="35"/>
        <v>Industrial</v>
      </c>
      <c r="D168" s="90">
        <f t="shared" si="36"/>
        <v>4200</v>
      </c>
      <c r="E168" s="87">
        <f t="shared" si="36"/>
        <v>3500</v>
      </c>
      <c r="F168" s="87">
        <f t="shared" si="36"/>
        <v>600</v>
      </c>
      <c r="G168" s="87">
        <f t="shared" si="36"/>
        <v>600</v>
      </c>
      <c r="H168" s="87">
        <f t="shared" si="36"/>
        <v>750</v>
      </c>
      <c r="I168" s="87">
        <f t="shared" si="36"/>
        <v>900</v>
      </c>
      <c r="J168" s="87">
        <f t="shared" si="36"/>
        <v>975</v>
      </c>
      <c r="K168" s="87">
        <f t="shared" si="36"/>
        <v>0</v>
      </c>
    </row>
    <row r="169" spans="1:11" x14ac:dyDescent="0.5">
      <c r="A169" s="74" t="str">
        <f t="shared" si="35"/>
        <v>CDE</v>
      </c>
      <c r="B169" s="74" t="str">
        <f t="shared" si="35"/>
        <v>CDE Inc</v>
      </c>
      <c r="C169" s="74" t="str">
        <f t="shared" si="35"/>
        <v>Publishing</v>
      </c>
      <c r="D169" s="90">
        <f t="shared" si="36"/>
        <v>5400</v>
      </c>
      <c r="E169" s="87">
        <f t="shared" si="36"/>
        <v>5700</v>
      </c>
      <c r="F169" s="87">
        <f t="shared" si="36"/>
        <v>3600</v>
      </c>
      <c r="G169" s="87">
        <f t="shared" si="36"/>
        <v>3800</v>
      </c>
      <c r="H169" s="87">
        <f t="shared" si="36"/>
        <v>4200</v>
      </c>
      <c r="I169" s="87">
        <f t="shared" si="36"/>
        <v>4000</v>
      </c>
      <c r="J169" s="87">
        <f t="shared" si="36"/>
        <v>3800</v>
      </c>
      <c r="K169" s="87">
        <f t="shared" si="36"/>
        <v>0</v>
      </c>
    </row>
    <row r="170" spans="1:11" x14ac:dyDescent="0.5">
      <c r="A170" s="74" t="str">
        <f t="shared" si="35"/>
        <v>DEF</v>
      </c>
      <c r="B170" s="74" t="str">
        <f t="shared" si="35"/>
        <v>DEF Inc</v>
      </c>
      <c r="C170" s="74" t="str">
        <f t="shared" si="35"/>
        <v>Hospitality</v>
      </c>
      <c r="D170" s="90">
        <f t="shared" si="36"/>
        <v>12000</v>
      </c>
      <c r="E170" s="87">
        <f t="shared" si="36"/>
        <v>12600</v>
      </c>
      <c r="F170" s="87">
        <f t="shared" si="36"/>
        <v>12900</v>
      </c>
      <c r="G170" s="87">
        <f t="shared" si="36"/>
        <v>9000</v>
      </c>
      <c r="H170" s="87">
        <f t="shared" si="36"/>
        <v>9000</v>
      </c>
      <c r="I170" s="87">
        <f t="shared" si="36"/>
        <v>9000</v>
      </c>
      <c r="J170" s="87">
        <f t="shared" si="36"/>
        <v>9200</v>
      </c>
      <c r="K170" s="87">
        <f t="shared" si="36"/>
        <v>0</v>
      </c>
    </row>
    <row r="171" spans="1:11" x14ac:dyDescent="0.5">
      <c r="A171" s="74" t="str">
        <f t="shared" si="35"/>
        <v>EFG</v>
      </c>
      <c r="B171" s="74" t="str">
        <f t="shared" si="35"/>
        <v>Effective Inc</v>
      </c>
      <c r="C171" s="74" t="str">
        <f t="shared" si="35"/>
        <v>TV/Cable</v>
      </c>
      <c r="D171" s="90">
        <f t="shared" si="36"/>
        <v>10400</v>
      </c>
      <c r="E171" s="87">
        <f t="shared" si="36"/>
        <v>12000</v>
      </c>
      <c r="F171" s="87">
        <f t="shared" si="36"/>
        <v>12000</v>
      </c>
      <c r="G171" s="87">
        <f t="shared" si="36"/>
        <v>12000</v>
      </c>
      <c r="H171" s="87">
        <f t="shared" si="36"/>
        <v>12400</v>
      </c>
      <c r="I171" s="87">
        <f t="shared" si="36"/>
        <v>12400</v>
      </c>
      <c r="J171" s="87">
        <f t="shared" si="36"/>
        <v>12200</v>
      </c>
      <c r="K171" s="87">
        <f t="shared" si="36"/>
        <v>0</v>
      </c>
    </row>
    <row r="172" spans="1:11" x14ac:dyDescent="0.5">
      <c r="A172" s="74" t="str">
        <f t="shared" si="35"/>
        <v>FGH</v>
      </c>
      <c r="B172" s="74" t="str">
        <f t="shared" si="35"/>
        <v>FGH Inc</v>
      </c>
      <c r="C172" s="74" t="str">
        <f t="shared" si="35"/>
        <v>Techonlogy</v>
      </c>
      <c r="D172" s="90">
        <f t="shared" si="36"/>
        <v>12400</v>
      </c>
      <c r="E172" s="87">
        <f t="shared" si="36"/>
        <v>8000</v>
      </c>
      <c r="F172" s="87">
        <f t="shared" si="36"/>
        <v>10000</v>
      </c>
      <c r="G172" s="87">
        <f t="shared" si="36"/>
        <v>10400</v>
      </c>
      <c r="H172" s="87">
        <f t="shared" si="36"/>
        <v>2000</v>
      </c>
      <c r="I172" s="87">
        <f t="shared" si="36"/>
        <v>2200</v>
      </c>
      <c r="J172" s="87">
        <f t="shared" si="36"/>
        <v>2400</v>
      </c>
      <c r="K172" s="87">
        <f t="shared" si="36"/>
        <v>0</v>
      </c>
    </row>
    <row r="173" spans="1:11" x14ac:dyDescent="0.5">
      <c r="A173" s="74" t="str">
        <f t="shared" si="35"/>
        <v>GHI</v>
      </c>
      <c r="B173" s="74" t="str">
        <f t="shared" si="35"/>
        <v>General HI</v>
      </c>
      <c r="C173" s="74" t="str">
        <f t="shared" si="35"/>
        <v>Service</v>
      </c>
      <c r="D173" s="90">
        <f t="shared" si="36"/>
        <v>9000</v>
      </c>
      <c r="E173" s="87">
        <f t="shared" si="36"/>
        <v>9600</v>
      </c>
      <c r="F173" s="87">
        <f t="shared" si="36"/>
        <v>10200</v>
      </c>
      <c r="G173" s="87">
        <f t="shared" si="36"/>
        <v>10800</v>
      </c>
      <c r="H173" s="87">
        <f t="shared" si="36"/>
        <v>11400</v>
      </c>
      <c r="I173" s="87">
        <f t="shared" si="36"/>
        <v>11400</v>
      </c>
      <c r="J173" s="87">
        <f t="shared" si="36"/>
        <v>10800</v>
      </c>
      <c r="K173" s="87">
        <f t="shared" si="36"/>
        <v>0</v>
      </c>
    </row>
    <row r="174" spans="1:11" x14ac:dyDescent="0.5">
      <c r="A174" s="74" t="str">
        <f t="shared" si="35"/>
        <v>HIK</v>
      </c>
      <c r="B174" s="74" t="str">
        <f t="shared" si="35"/>
        <v>Hicks Kental Inc</v>
      </c>
      <c r="C174" s="74" t="str">
        <f t="shared" si="35"/>
        <v>Retail</v>
      </c>
      <c r="D174" s="90">
        <f t="shared" si="36"/>
        <v>8000</v>
      </c>
      <c r="E174" s="87">
        <f t="shared" si="36"/>
        <v>9500</v>
      </c>
      <c r="F174" s="87">
        <f t="shared" si="36"/>
        <v>10500</v>
      </c>
      <c r="G174" s="87">
        <f t="shared" si="36"/>
        <v>11000</v>
      </c>
      <c r="H174" s="87">
        <f t="shared" si="36"/>
        <v>11500</v>
      </c>
      <c r="I174" s="87">
        <f t="shared" si="36"/>
        <v>12000</v>
      </c>
      <c r="J174" s="87">
        <f t="shared" si="36"/>
        <v>14000</v>
      </c>
      <c r="K174" s="87">
        <f t="shared" si="36"/>
        <v>0</v>
      </c>
    </row>
    <row r="175" spans="1:11" x14ac:dyDescent="0.5">
      <c r="A175" s="74" t="str">
        <f t="shared" si="35"/>
        <v>IKL</v>
      </c>
      <c r="B175" s="74" t="str">
        <f t="shared" si="35"/>
        <v>IKL Inc</v>
      </c>
      <c r="C175" s="74" t="str">
        <f t="shared" si="35"/>
        <v>Pharmaceutical</v>
      </c>
      <c r="D175" s="90">
        <f t="shared" si="36"/>
        <v>4500</v>
      </c>
      <c r="E175" s="87">
        <f t="shared" si="36"/>
        <v>3900</v>
      </c>
      <c r="F175" s="87">
        <f t="shared" si="36"/>
        <v>3600</v>
      </c>
      <c r="G175" s="87">
        <f t="shared" si="36"/>
        <v>4200</v>
      </c>
      <c r="H175" s="87">
        <f t="shared" si="36"/>
        <v>4500</v>
      </c>
      <c r="I175" s="87">
        <f t="shared" si="36"/>
        <v>5400</v>
      </c>
      <c r="J175" s="87">
        <f t="shared" si="36"/>
        <v>6600</v>
      </c>
      <c r="K175" s="87">
        <f t="shared" si="36"/>
        <v>0</v>
      </c>
    </row>
    <row r="176" spans="1:11" x14ac:dyDescent="0.5">
      <c r="A176" s="74" t="str">
        <f t="shared" si="35"/>
        <v>KLM</v>
      </c>
      <c r="B176" s="74" t="str">
        <f t="shared" si="35"/>
        <v>KLM Health</v>
      </c>
      <c r="C176" s="74" t="str">
        <f t="shared" si="35"/>
        <v>Healthcare</v>
      </c>
      <c r="D176" s="90">
        <f t="shared" si="36"/>
        <v>7500</v>
      </c>
      <c r="E176" s="87">
        <f t="shared" si="36"/>
        <v>7800</v>
      </c>
      <c r="F176" s="87">
        <f t="shared" si="36"/>
        <v>7800</v>
      </c>
      <c r="G176" s="87">
        <f t="shared" si="36"/>
        <v>7800</v>
      </c>
      <c r="H176" s="87">
        <f t="shared" si="36"/>
        <v>7800</v>
      </c>
      <c r="I176" s="87">
        <f t="shared" si="36"/>
        <v>7800</v>
      </c>
      <c r="J176" s="87">
        <f t="shared" si="36"/>
        <v>8100</v>
      </c>
      <c r="K176" s="87">
        <f t="shared" si="36"/>
        <v>0</v>
      </c>
    </row>
    <row r="177" spans="1:11" x14ac:dyDescent="0.5">
      <c r="A177" s="74" t="str">
        <f t="shared" si="35"/>
        <v>LMN</v>
      </c>
      <c r="B177" s="74" t="str">
        <f t="shared" si="35"/>
        <v>LMN Hotel &amp; Resorts</v>
      </c>
      <c r="C177" s="74" t="str">
        <f t="shared" si="35"/>
        <v>Hospitality</v>
      </c>
      <c r="D177" s="90">
        <f t="shared" si="36"/>
        <v>0</v>
      </c>
      <c r="E177" s="87">
        <f t="shared" si="36"/>
        <v>0</v>
      </c>
      <c r="F177" s="87">
        <f t="shared" si="36"/>
        <v>3200</v>
      </c>
      <c r="G177" s="87">
        <f t="shared" si="36"/>
        <v>3300</v>
      </c>
      <c r="H177" s="87">
        <f t="shared" si="36"/>
        <v>3500</v>
      </c>
      <c r="I177" s="87">
        <f t="shared" si="36"/>
        <v>3200</v>
      </c>
      <c r="J177" s="87">
        <f t="shared" si="36"/>
        <v>3400</v>
      </c>
      <c r="K177" s="87">
        <f t="shared" si="36"/>
        <v>0</v>
      </c>
    </row>
    <row r="178" spans="1:11" x14ac:dyDescent="0.5">
      <c r="A178" s="74" t="str">
        <f t="shared" si="35"/>
        <v>MNO</v>
      </c>
      <c r="B178" s="74" t="str">
        <f t="shared" si="35"/>
        <v>MNO Cable Inc</v>
      </c>
      <c r="C178" s="74" t="str">
        <f t="shared" si="35"/>
        <v>TV/Cable</v>
      </c>
      <c r="D178" s="90">
        <f t="shared" si="36"/>
        <v>0</v>
      </c>
      <c r="E178" s="87">
        <f t="shared" si="36"/>
        <v>0</v>
      </c>
      <c r="F178" s="87">
        <f t="shared" si="36"/>
        <v>1900</v>
      </c>
      <c r="G178" s="87">
        <f t="shared" si="36"/>
        <v>1800</v>
      </c>
      <c r="H178" s="87">
        <f t="shared" si="36"/>
        <v>1800</v>
      </c>
      <c r="I178" s="87">
        <f t="shared" si="36"/>
        <v>1600</v>
      </c>
      <c r="J178" s="87">
        <f t="shared" si="36"/>
        <v>2000</v>
      </c>
      <c r="K178" s="87">
        <f t="shared" si="36"/>
        <v>0</v>
      </c>
    </row>
    <row r="179" spans="1:11" x14ac:dyDescent="0.5">
      <c r="A179" s="74" t="str">
        <f t="shared" si="35"/>
        <v>NOP</v>
      </c>
      <c r="B179" s="74" t="str">
        <f t="shared" si="35"/>
        <v>Norton Optimum</v>
      </c>
      <c r="C179" s="74" t="str">
        <f t="shared" si="35"/>
        <v>Techonlogy</v>
      </c>
      <c r="D179" s="90">
        <f t="shared" si="36"/>
        <v>0</v>
      </c>
      <c r="E179" s="87">
        <f t="shared" si="36"/>
        <v>0</v>
      </c>
      <c r="F179" s="87">
        <f t="shared" si="36"/>
        <v>5500</v>
      </c>
      <c r="G179" s="87">
        <f t="shared" si="36"/>
        <v>5600</v>
      </c>
      <c r="H179" s="87">
        <f t="shared" si="36"/>
        <v>5800</v>
      </c>
      <c r="I179" s="87">
        <f t="shared" si="36"/>
        <v>5900</v>
      </c>
      <c r="J179" s="87">
        <f t="shared" si="36"/>
        <v>5900</v>
      </c>
      <c r="K179" s="87">
        <f t="shared" si="36"/>
        <v>0</v>
      </c>
    </row>
    <row r="180" spans="1:11" x14ac:dyDescent="0.5">
      <c r="A180" s="74" t="str">
        <f t="shared" si="35"/>
        <v>OPQ</v>
      </c>
      <c r="B180" s="74" t="str">
        <f t="shared" si="35"/>
        <v>Odyssea PQ Inc</v>
      </c>
      <c r="C180" s="74" t="str">
        <f t="shared" si="35"/>
        <v>Retail</v>
      </c>
      <c r="D180" s="90">
        <f t="shared" si="36"/>
        <v>0</v>
      </c>
      <c r="E180" s="87">
        <f t="shared" si="36"/>
        <v>0</v>
      </c>
      <c r="F180" s="87">
        <f t="shared" si="36"/>
        <v>0</v>
      </c>
      <c r="G180" s="87">
        <f t="shared" si="36"/>
        <v>2200</v>
      </c>
      <c r="H180" s="87">
        <f t="shared" si="36"/>
        <v>2200</v>
      </c>
      <c r="I180" s="87">
        <f t="shared" si="36"/>
        <v>2200</v>
      </c>
      <c r="J180" s="87">
        <f t="shared" si="36"/>
        <v>2300</v>
      </c>
      <c r="K180" s="87">
        <f t="shared" si="36"/>
        <v>0</v>
      </c>
    </row>
    <row r="181" spans="1:11" x14ac:dyDescent="0.5">
      <c r="A181" s="74" t="str">
        <f t="shared" si="35"/>
        <v>PQR</v>
      </c>
      <c r="B181" s="74" t="str">
        <f t="shared" si="35"/>
        <v>PQR Chemicals</v>
      </c>
      <c r="C181" s="74" t="str">
        <f t="shared" si="35"/>
        <v>Chemicals</v>
      </c>
      <c r="D181" s="90">
        <f t="shared" si="36"/>
        <v>0</v>
      </c>
      <c r="E181" s="87">
        <f t="shared" si="36"/>
        <v>0</v>
      </c>
      <c r="F181" s="87">
        <f t="shared" si="36"/>
        <v>0</v>
      </c>
      <c r="G181" s="87">
        <f t="shared" si="36"/>
        <v>0</v>
      </c>
      <c r="H181" s="87">
        <f t="shared" si="36"/>
        <v>6000</v>
      </c>
      <c r="I181" s="87">
        <f t="shared" si="36"/>
        <v>6600</v>
      </c>
      <c r="J181" s="87">
        <f t="shared" si="36"/>
        <v>7800</v>
      </c>
      <c r="K181" s="87">
        <f t="shared" si="36"/>
        <v>0</v>
      </c>
    </row>
    <row r="182" spans="1:11" ht="14.7" thickBot="1" x14ac:dyDescent="0.55000000000000004">
      <c r="A182" s="159" t="s">
        <v>104</v>
      </c>
      <c r="B182" s="157"/>
      <c r="C182" s="160"/>
      <c r="D182" s="161">
        <f t="shared" ref="D182:K182" si="37">SUM(D167:D181)</f>
        <v>82600</v>
      </c>
      <c r="E182" s="161">
        <f t="shared" si="37"/>
        <v>82200</v>
      </c>
      <c r="F182" s="161">
        <f t="shared" si="37"/>
        <v>84050</v>
      </c>
      <c r="G182" s="161">
        <f t="shared" si="37"/>
        <v>85000</v>
      </c>
      <c r="H182" s="161">
        <f t="shared" si="37"/>
        <v>85450</v>
      </c>
      <c r="I182" s="161">
        <f t="shared" si="37"/>
        <v>87300</v>
      </c>
      <c r="J182" s="161">
        <f t="shared" si="37"/>
        <v>92275</v>
      </c>
      <c r="K182" s="161">
        <f t="shared" si="37"/>
        <v>0</v>
      </c>
    </row>
    <row r="183" spans="1:11" ht="14.7" thickTop="1" x14ac:dyDescent="0.5">
      <c r="B183" s="74"/>
      <c r="C183" s="85"/>
      <c r="D183"/>
      <c r="I183"/>
    </row>
    <row r="184" spans="1:11" x14ac:dyDescent="0.5">
      <c r="A184" s="82" t="s">
        <v>105</v>
      </c>
      <c r="B184" s="74"/>
      <c r="D184" s="76">
        <v>0</v>
      </c>
      <c r="E184" s="76">
        <v>1</v>
      </c>
      <c r="F184" s="76">
        <v>2</v>
      </c>
      <c r="G184" s="76">
        <v>3</v>
      </c>
      <c r="H184" s="76">
        <v>4</v>
      </c>
      <c r="I184" s="76">
        <v>5</v>
      </c>
      <c r="J184" s="76">
        <v>6</v>
      </c>
      <c r="K184" s="76">
        <v>7</v>
      </c>
    </row>
    <row r="185" spans="1:11" ht="26.35" thickBot="1" x14ac:dyDescent="0.55000000000000004">
      <c r="A185" s="115" t="s">
        <v>59</v>
      </c>
      <c r="B185" s="115" t="s">
        <v>60</v>
      </c>
      <c r="C185" s="115" t="s">
        <v>61</v>
      </c>
      <c r="D185" s="116" t="str">
        <f>+'Portfolio Management'!D166</f>
        <v>June 1
20x1</v>
      </c>
      <c r="E185" s="116" t="str">
        <f>+'Portfolio Management'!E166</f>
        <v>July 1
20x1</v>
      </c>
      <c r="F185" s="116" t="str">
        <f>+'Portfolio Management'!F166</f>
        <v>Aug 1
20x1</v>
      </c>
      <c r="G185" s="116" t="str">
        <f>+'Portfolio Management'!G166</f>
        <v>Sep 1
20x1</v>
      </c>
      <c r="H185" s="116" t="str">
        <f>+'Portfolio Management'!H166</f>
        <v>Oct 1
20x1</v>
      </c>
      <c r="I185" s="116" t="str">
        <f>+'Portfolio Management'!I166</f>
        <v>Nov 1
20x1</v>
      </c>
      <c r="J185" s="116" t="str">
        <f>+'Portfolio Management'!J166</f>
        <v>Dec 1
20x1</v>
      </c>
      <c r="K185" s="116" t="str">
        <f>+'Portfolio Management'!K166</f>
        <v>Jan 2
20x2</v>
      </c>
    </row>
    <row r="186" spans="1:11" ht="14.7" thickTop="1" x14ac:dyDescent="0.5">
      <c r="A186" s="74" t="str">
        <f>+'Portfolio Management'!A167</f>
        <v>ABC</v>
      </c>
      <c r="B186" s="74" t="str">
        <f>+'Portfolio Management'!B167</f>
        <v>ABC Chem Inc</v>
      </c>
      <c r="C186" s="74" t="str">
        <f>+'Portfolio Management'!C167</f>
        <v>Chemicals</v>
      </c>
      <c r="D186" s="92"/>
      <c r="E186" s="92">
        <v>0.1</v>
      </c>
      <c r="F186" s="92"/>
      <c r="G186" s="92"/>
      <c r="H186" s="92"/>
      <c r="I186" s="92">
        <v>0.1</v>
      </c>
      <c r="J186" s="92"/>
      <c r="K186" s="92"/>
    </row>
    <row r="187" spans="1:11" x14ac:dyDescent="0.5">
      <c r="A187" s="74" t="str">
        <f>+'Portfolio Management'!A168</f>
        <v>BCD</v>
      </c>
      <c r="B187" s="74" t="str">
        <f>+'Portfolio Management'!B168</f>
        <v>BCD  Precision Inc</v>
      </c>
      <c r="C187" s="74" t="str">
        <f>+'Portfolio Management'!C168</f>
        <v>Industrial</v>
      </c>
      <c r="D187" s="92"/>
      <c r="E187" s="92">
        <v>0.15</v>
      </c>
      <c r="F187" s="92"/>
      <c r="G187" s="92"/>
      <c r="H187" s="92"/>
      <c r="I187" s="92">
        <v>0.15</v>
      </c>
      <c r="J187" s="92"/>
      <c r="K187" s="92"/>
    </row>
    <row r="188" spans="1:11" x14ac:dyDescent="0.5">
      <c r="A188" s="74" t="str">
        <f>+'Portfolio Management'!A169</f>
        <v>CDE</v>
      </c>
      <c r="B188" s="74" t="str">
        <f>+'Portfolio Management'!B169</f>
        <v>CDE Inc</v>
      </c>
      <c r="C188" s="74" t="str">
        <f>+'Portfolio Management'!C169</f>
        <v>Publishing</v>
      </c>
      <c r="D188" s="92"/>
      <c r="E188" s="92"/>
      <c r="F188" s="92"/>
      <c r="G188" s="92"/>
      <c r="H188" s="92"/>
      <c r="I188" s="92"/>
      <c r="J188" s="92"/>
      <c r="K188" s="92"/>
    </row>
    <row r="189" spans="1:11" x14ac:dyDescent="0.5">
      <c r="A189" s="74" t="str">
        <f>+'Portfolio Management'!A170</f>
        <v>DEF</v>
      </c>
      <c r="B189" s="74" t="str">
        <f>+'Portfolio Management'!B170</f>
        <v>DEF Inc</v>
      </c>
      <c r="C189" s="74" t="str">
        <f>+'Portfolio Management'!C170</f>
        <v>Hospitality</v>
      </c>
      <c r="D189" s="92"/>
      <c r="E189" s="92"/>
      <c r="F189" s="92">
        <v>0.3</v>
      </c>
      <c r="G189" s="92"/>
      <c r="H189" s="92"/>
      <c r="I189" s="92"/>
      <c r="J189" s="92"/>
      <c r="K189" s="92"/>
    </row>
    <row r="190" spans="1:11" x14ac:dyDescent="0.5">
      <c r="A190" s="74" t="str">
        <f>+'Portfolio Management'!A171</f>
        <v>EFG</v>
      </c>
      <c r="B190" s="74" t="str">
        <f>+'Portfolio Management'!B171</f>
        <v>Effective Inc</v>
      </c>
      <c r="C190" s="74" t="str">
        <f>+'Portfolio Management'!C171</f>
        <v>TV/Cable</v>
      </c>
      <c r="D190" s="92"/>
      <c r="E190" s="92"/>
      <c r="F190" s="92"/>
      <c r="G190" s="92">
        <v>0.3</v>
      </c>
      <c r="H190" s="92"/>
      <c r="I190" s="92"/>
      <c r="J190" s="92"/>
      <c r="K190" s="92"/>
    </row>
    <row r="191" spans="1:11" x14ac:dyDescent="0.5">
      <c r="A191" s="74" t="str">
        <f>+'Portfolio Management'!A172</f>
        <v>FGH</v>
      </c>
      <c r="B191" s="74" t="str">
        <f>+'Portfolio Management'!B172</f>
        <v>FGH Inc</v>
      </c>
      <c r="C191" s="74" t="str">
        <f>+'Portfolio Management'!C172</f>
        <v>Techonlogy</v>
      </c>
      <c r="D191" s="92"/>
      <c r="E191" s="92"/>
      <c r="F191" s="92"/>
      <c r="G191" s="92"/>
      <c r="H191" s="92"/>
      <c r="I191" s="92"/>
      <c r="J191" s="92"/>
      <c r="K191" s="92"/>
    </row>
    <row r="192" spans="1:11" x14ac:dyDescent="0.5">
      <c r="A192" s="74" t="str">
        <f>+'Portfolio Management'!A173</f>
        <v>GHI</v>
      </c>
      <c r="B192" s="74" t="str">
        <f>+'Portfolio Management'!B173</f>
        <v>General HI</v>
      </c>
      <c r="C192" s="74" t="str">
        <f>+'Portfolio Management'!C173</f>
        <v>Service</v>
      </c>
      <c r="D192" s="92"/>
      <c r="E192" s="92"/>
      <c r="F192" s="92"/>
      <c r="G192" s="92">
        <v>0.15</v>
      </c>
      <c r="H192" s="92"/>
      <c r="I192" s="92"/>
      <c r="J192" s="92"/>
      <c r="K192" s="92"/>
    </row>
    <row r="193" spans="1:11" x14ac:dyDescent="0.5">
      <c r="A193" s="74" t="str">
        <f>+'Portfolio Management'!A174</f>
        <v>HIK</v>
      </c>
      <c r="B193" s="74" t="str">
        <f>+'Portfolio Management'!B174</f>
        <v>Hicks Kental Inc</v>
      </c>
      <c r="C193" s="74" t="str">
        <f>+'Portfolio Management'!C174</f>
        <v>Retail</v>
      </c>
      <c r="D193" s="92"/>
      <c r="E193" s="92"/>
      <c r="F193" s="92"/>
      <c r="G193" s="92"/>
      <c r="H193" s="92">
        <v>0.2</v>
      </c>
      <c r="I193" s="92"/>
      <c r="J193" s="92"/>
      <c r="K193" s="92"/>
    </row>
    <row r="194" spans="1:11" x14ac:dyDescent="0.5">
      <c r="A194" s="74" t="str">
        <f>+'Portfolio Management'!A175</f>
        <v>IKL</v>
      </c>
      <c r="B194" s="74" t="str">
        <f>+'Portfolio Management'!B175</f>
        <v>IKL Inc</v>
      </c>
      <c r="C194" s="74" t="str">
        <f>+'Portfolio Management'!C175</f>
        <v>Pharmaceutical</v>
      </c>
      <c r="D194" s="92"/>
      <c r="E194" s="92"/>
      <c r="F194" s="92"/>
      <c r="G194" s="92"/>
      <c r="H194" s="92">
        <v>0.15</v>
      </c>
      <c r="I194" s="92"/>
      <c r="J194" s="92"/>
      <c r="K194" s="92"/>
    </row>
    <row r="195" spans="1:11" x14ac:dyDescent="0.5">
      <c r="A195" s="74" t="str">
        <f>+'Portfolio Management'!A176</f>
        <v>KLM</v>
      </c>
      <c r="B195" s="74" t="str">
        <f>+'Portfolio Management'!B176</f>
        <v>KLM Health</v>
      </c>
      <c r="C195" s="74" t="str">
        <f>+'Portfolio Management'!C176</f>
        <v>Healthcare</v>
      </c>
      <c r="D195" s="92"/>
      <c r="E195" s="92"/>
      <c r="F195" s="92"/>
      <c r="G195" s="92"/>
      <c r="H195" s="92"/>
      <c r="I195" s="92">
        <v>0.15</v>
      </c>
      <c r="J195" s="92"/>
      <c r="K195" s="92"/>
    </row>
    <row r="196" spans="1:11" x14ac:dyDescent="0.5">
      <c r="A196" s="74" t="str">
        <f>+'Portfolio Management'!A177</f>
        <v>LMN</v>
      </c>
      <c r="B196" s="74" t="str">
        <f>+'Portfolio Management'!B177</f>
        <v>LMN Hotel &amp; Resorts</v>
      </c>
      <c r="C196" s="74" t="str">
        <f>+'Portfolio Management'!C177</f>
        <v>Hospitality</v>
      </c>
      <c r="D196" s="92"/>
      <c r="E196" s="92"/>
      <c r="F196" s="92"/>
      <c r="G196" s="92"/>
      <c r="H196" s="92"/>
      <c r="I196" s="92"/>
      <c r="J196" s="92"/>
      <c r="K196" s="92"/>
    </row>
    <row r="197" spans="1:11" x14ac:dyDescent="0.5">
      <c r="A197" s="74" t="str">
        <f>+'Portfolio Management'!A178</f>
        <v>MNO</v>
      </c>
      <c r="B197" s="74" t="str">
        <f>+'Portfolio Management'!B178</f>
        <v>MNO Cable Inc</v>
      </c>
      <c r="C197" s="74" t="str">
        <f>+'Portfolio Management'!C178</f>
        <v>TV/Cable</v>
      </c>
      <c r="D197" s="92"/>
      <c r="E197" s="92"/>
      <c r="F197" s="92"/>
      <c r="G197" s="92"/>
      <c r="H197" s="92"/>
      <c r="I197" s="92"/>
      <c r="J197" s="92"/>
      <c r="K197" s="92"/>
    </row>
    <row r="198" spans="1:11" x14ac:dyDescent="0.5">
      <c r="A198" s="74" t="str">
        <f>+'Portfolio Management'!A179</f>
        <v>NOP</v>
      </c>
      <c r="B198" s="74" t="str">
        <f>+'Portfolio Management'!B179</f>
        <v>Norton Optimum</v>
      </c>
      <c r="C198" s="74" t="str">
        <f>+'Portfolio Management'!C179</f>
        <v>Techonlogy</v>
      </c>
      <c r="D198" s="92"/>
      <c r="E198" s="92"/>
      <c r="F198" s="92"/>
      <c r="G198" s="92"/>
      <c r="H198" s="92"/>
      <c r="I198" s="92"/>
      <c r="J198" s="92"/>
      <c r="K198" s="92"/>
    </row>
    <row r="199" spans="1:11" x14ac:dyDescent="0.5">
      <c r="A199" s="74" t="str">
        <f>+'Portfolio Management'!A180</f>
        <v>OPQ</v>
      </c>
      <c r="B199" s="74" t="str">
        <f>+'Portfolio Management'!B180</f>
        <v>Odyssea PQ Inc</v>
      </c>
      <c r="C199" s="74" t="str">
        <f>+'Portfolio Management'!C180</f>
        <v>Retail</v>
      </c>
      <c r="D199" s="92"/>
      <c r="E199" s="92"/>
      <c r="F199" s="92"/>
      <c r="G199" s="92"/>
      <c r="H199" s="92"/>
      <c r="I199" s="92"/>
      <c r="J199" s="92"/>
      <c r="K199" s="92"/>
    </row>
    <row r="200" spans="1:11" x14ac:dyDescent="0.5">
      <c r="A200" s="74" t="str">
        <f>+'Portfolio Management'!A181</f>
        <v>PQR</v>
      </c>
      <c r="B200" s="74" t="str">
        <f>+'Portfolio Management'!B181</f>
        <v>PQR Chemicals</v>
      </c>
      <c r="C200" s="74" t="str">
        <f>+'Portfolio Management'!C181</f>
        <v>Chemicals</v>
      </c>
      <c r="D200" s="92"/>
      <c r="E200" s="92"/>
      <c r="F200" s="92"/>
      <c r="G200" s="92"/>
      <c r="H200" s="92"/>
      <c r="I200" s="92"/>
      <c r="J200" s="92"/>
      <c r="K200" s="92"/>
    </row>
    <row r="201" spans="1:11" x14ac:dyDescent="0.5">
      <c r="B201" s="74"/>
      <c r="D201"/>
      <c r="I201"/>
    </row>
    <row r="202" spans="1:11" x14ac:dyDescent="0.5">
      <c r="A202" s="82" t="s">
        <v>138</v>
      </c>
      <c r="B202" s="74"/>
      <c r="D202" s="76">
        <v>0</v>
      </c>
      <c r="E202" s="76">
        <v>1</v>
      </c>
      <c r="F202" s="76">
        <v>2</v>
      </c>
      <c r="G202" s="76">
        <v>3</v>
      </c>
      <c r="H202" s="76">
        <v>4</v>
      </c>
      <c r="I202" s="76">
        <v>5</v>
      </c>
      <c r="J202" s="76">
        <v>6</v>
      </c>
      <c r="K202" s="76">
        <v>7</v>
      </c>
    </row>
    <row r="203" spans="1:11" ht="26.35" thickBot="1" x14ac:dyDescent="0.55000000000000004">
      <c r="A203" s="115" t="s">
        <v>59</v>
      </c>
      <c r="B203" s="115" t="s">
        <v>60</v>
      </c>
      <c r="C203" s="115" t="s">
        <v>61</v>
      </c>
      <c r="D203" s="116" t="str">
        <f t="shared" ref="D203:K203" si="38">+D185</f>
        <v>June 1
20x1</v>
      </c>
      <c r="E203" s="116" t="str">
        <f t="shared" si="38"/>
        <v>July 1
20x1</v>
      </c>
      <c r="F203" s="116" t="str">
        <f t="shared" si="38"/>
        <v>Aug 1
20x1</v>
      </c>
      <c r="G203" s="116" t="str">
        <f t="shared" si="38"/>
        <v>Sep 1
20x1</v>
      </c>
      <c r="H203" s="116" t="str">
        <f t="shared" si="38"/>
        <v>Oct 1
20x1</v>
      </c>
      <c r="I203" s="116" t="str">
        <f t="shared" si="38"/>
        <v>Nov 1
20x1</v>
      </c>
      <c r="J203" s="116" t="str">
        <f t="shared" si="38"/>
        <v>Dec 1
20x1</v>
      </c>
      <c r="K203" s="116" t="str">
        <f t="shared" si="38"/>
        <v>Jan 2
20x2</v>
      </c>
    </row>
    <row r="204" spans="1:11" ht="14.7" thickTop="1" x14ac:dyDescent="0.5">
      <c r="A204" s="74" t="str">
        <f t="shared" ref="A204:C218" si="39">+A186</f>
        <v>ABC</v>
      </c>
      <c r="B204" s="74" t="str">
        <f t="shared" si="39"/>
        <v>ABC Chem Inc</v>
      </c>
      <c r="C204" s="74" t="str">
        <f t="shared" si="39"/>
        <v>Chemicals</v>
      </c>
      <c r="D204" s="93"/>
      <c r="E204" s="87">
        <f>+E186*'Portfolio Management'!E112</f>
        <v>40</v>
      </c>
      <c r="F204" s="87">
        <f>+F186*'Portfolio Management'!F112</f>
        <v>0</v>
      </c>
      <c r="G204" s="87">
        <f>+G186*'Portfolio Management'!G112</f>
        <v>0</v>
      </c>
      <c r="H204" s="87">
        <f>+H186*'Portfolio Management'!H112</f>
        <v>0</v>
      </c>
      <c r="I204" s="87">
        <f>+I186*'Portfolio Management'!I112</f>
        <v>10</v>
      </c>
      <c r="J204" s="87">
        <f>+J186*'Portfolio Management'!J112</f>
        <v>0</v>
      </c>
      <c r="K204" s="87">
        <f>+K186*'Portfolio Management'!K112</f>
        <v>0</v>
      </c>
    </row>
    <row r="205" spans="1:11" x14ac:dyDescent="0.5">
      <c r="A205" s="74" t="str">
        <f t="shared" si="39"/>
        <v>BCD</v>
      </c>
      <c r="B205" s="74" t="str">
        <f t="shared" si="39"/>
        <v>BCD  Precision Inc</v>
      </c>
      <c r="C205" s="74" t="str">
        <f t="shared" si="39"/>
        <v>Industrial</v>
      </c>
      <c r="D205" s="93"/>
      <c r="E205" s="87">
        <f>+E187*'Portfolio Management'!E113</f>
        <v>52.5</v>
      </c>
      <c r="F205" s="87">
        <f>+F187*'Portfolio Management'!F113</f>
        <v>0</v>
      </c>
      <c r="G205" s="87">
        <f>+G187*'Portfolio Management'!G113</f>
        <v>0</v>
      </c>
      <c r="H205" s="87">
        <f>+H187*'Portfolio Management'!H113</f>
        <v>0</v>
      </c>
      <c r="I205" s="87">
        <f>+I187*'Portfolio Management'!I113</f>
        <v>7.5</v>
      </c>
      <c r="J205" s="87">
        <f>+J187*'Portfolio Management'!J113</f>
        <v>0</v>
      </c>
      <c r="K205" s="87">
        <f>+K187*'Portfolio Management'!K113</f>
        <v>0</v>
      </c>
    </row>
    <row r="206" spans="1:11" x14ac:dyDescent="0.5">
      <c r="A206" s="74" t="str">
        <f t="shared" si="39"/>
        <v>CDE</v>
      </c>
      <c r="B206" s="74" t="str">
        <f t="shared" si="39"/>
        <v>CDE Inc</v>
      </c>
      <c r="C206" s="74" t="str">
        <f t="shared" si="39"/>
        <v>Publishing</v>
      </c>
      <c r="D206" s="93"/>
      <c r="E206" s="87">
        <f>+E188*'Portfolio Management'!E114</f>
        <v>0</v>
      </c>
      <c r="F206" s="87">
        <f>+F188*'Portfolio Management'!F114</f>
        <v>0</v>
      </c>
      <c r="G206" s="87">
        <f>+G188*'Portfolio Management'!G114</f>
        <v>0</v>
      </c>
      <c r="H206" s="87">
        <f>+H188*'Portfolio Management'!H114</f>
        <v>0</v>
      </c>
      <c r="I206" s="87">
        <f>+I188*'Portfolio Management'!I114</f>
        <v>0</v>
      </c>
      <c r="J206" s="87">
        <f>+J188*'Portfolio Management'!J114</f>
        <v>0</v>
      </c>
      <c r="K206" s="87">
        <f>+K188*'Portfolio Management'!K114</f>
        <v>0</v>
      </c>
    </row>
    <row r="207" spans="1:11" x14ac:dyDescent="0.5">
      <c r="A207" s="74" t="str">
        <f t="shared" si="39"/>
        <v>DEF</v>
      </c>
      <c r="B207" s="74" t="str">
        <f t="shared" si="39"/>
        <v>DEF Inc</v>
      </c>
      <c r="C207" s="74" t="str">
        <f t="shared" si="39"/>
        <v>Hospitality</v>
      </c>
      <c r="D207" s="93"/>
      <c r="E207" s="87">
        <f>+E189*'Portfolio Management'!E115</f>
        <v>0</v>
      </c>
      <c r="F207" s="87">
        <f>+F189*'Portfolio Management'!F115</f>
        <v>90</v>
      </c>
      <c r="G207" s="87">
        <f>+G189*'Portfolio Management'!G115</f>
        <v>0</v>
      </c>
      <c r="H207" s="87">
        <f>+H189*'Portfolio Management'!H115</f>
        <v>0</v>
      </c>
      <c r="I207" s="87">
        <f>+I189*'Portfolio Management'!I115</f>
        <v>0</v>
      </c>
      <c r="J207" s="87">
        <f>+J189*'Portfolio Management'!J115</f>
        <v>0</v>
      </c>
      <c r="K207" s="87">
        <f>+K189*'Portfolio Management'!K115</f>
        <v>0</v>
      </c>
    </row>
    <row r="208" spans="1:11" x14ac:dyDescent="0.5">
      <c r="A208" s="74" t="str">
        <f t="shared" si="39"/>
        <v>EFG</v>
      </c>
      <c r="B208" s="74" t="str">
        <f t="shared" si="39"/>
        <v>Effective Inc</v>
      </c>
      <c r="C208" s="74" t="str">
        <f t="shared" si="39"/>
        <v>TV/Cable</v>
      </c>
      <c r="D208" s="93"/>
      <c r="E208" s="87">
        <f>+E190*'Portfolio Management'!E116</f>
        <v>0</v>
      </c>
      <c r="F208" s="87">
        <f>+F190*'Portfolio Management'!F116</f>
        <v>0</v>
      </c>
      <c r="G208" s="87">
        <f>+G190*'Portfolio Management'!G116</f>
        <v>60</v>
      </c>
      <c r="H208" s="87">
        <f>+H190*'Portfolio Management'!H116</f>
        <v>0</v>
      </c>
      <c r="I208" s="87">
        <f>+I190*'Portfolio Management'!I116</f>
        <v>0</v>
      </c>
      <c r="J208" s="87">
        <f>+J190*'Portfolio Management'!J116</f>
        <v>0</v>
      </c>
      <c r="K208" s="87">
        <f>+K190*'Portfolio Management'!K116</f>
        <v>0</v>
      </c>
    </row>
    <row r="209" spans="1:11" x14ac:dyDescent="0.5">
      <c r="A209" s="74" t="str">
        <f t="shared" si="39"/>
        <v>FGH</v>
      </c>
      <c r="B209" s="74" t="str">
        <f t="shared" si="39"/>
        <v>FGH Inc</v>
      </c>
      <c r="C209" s="74" t="str">
        <f t="shared" si="39"/>
        <v>Techonlogy</v>
      </c>
      <c r="D209" s="93"/>
      <c r="E209" s="87">
        <f>+E191*'Portfolio Management'!E117</f>
        <v>0</v>
      </c>
      <c r="F209" s="87">
        <f>+F191*'Portfolio Management'!F117</f>
        <v>0</v>
      </c>
      <c r="G209" s="87">
        <f>+G191*'Portfolio Management'!G117</f>
        <v>0</v>
      </c>
      <c r="H209" s="87">
        <f>+H191*'Portfolio Management'!H117</f>
        <v>0</v>
      </c>
      <c r="I209" s="87">
        <f>+I191*'Portfolio Management'!I117</f>
        <v>0</v>
      </c>
      <c r="J209" s="87">
        <f>+J191*'Portfolio Management'!J117</f>
        <v>0</v>
      </c>
      <c r="K209" s="87">
        <f>+K191*'Portfolio Management'!K117</f>
        <v>0</v>
      </c>
    </row>
    <row r="210" spans="1:11" x14ac:dyDescent="0.5">
      <c r="A210" s="74" t="str">
        <f t="shared" si="39"/>
        <v>GHI</v>
      </c>
      <c r="B210" s="74" t="str">
        <f t="shared" si="39"/>
        <v>General HI</v>
      </c>
      <c r="C210" s="74" t="str">
        <f t="shared" si="39"/>
        <v>Service</v>
      </c>
      <c r="D210" s="93"/>
      <c r="E210" s="87">
        <f>+E192*'Portfolio Management'!E118</f>
        <v>0</v>
      </c>
      <c r="F210" s="87">
        <f>+F192*'Portfolio Management'!F118</f>
        <v>0</v>
      </c>
      <c r="G210" s="87">
        <f>+G192*'Portfolio Management'!G118</f>
        <v>90</v>
      </c>
      <c r="H210" s="87">
        <f>+H192*'Portfolio Management'!H118</f>
        <v>0</v>
      </c>
      <c r="I210" s="87">
        <f>+I192*'Portfolio Management'!I118</f>
        <v>0</v>
      </c>
      <c r="J210" s="87">
        <f>+J192*'Portfolio Management'!J118</f>
        <v>0</v>
      </c>
      <c r="K210" s="87">
        <f>+K192*'Portfolio Management'!K118</f>
        <v>0</v>
      </c>
    </row>
    <row r="211" spans="1:11" x14ac:dyDescent="0.5">
      <c r="A211" s="74" t="str">
        <f t="shared" si="39"/>
        <v>HIK</v>
      </c>
      <c r="B211" s="74" t="str">
        <f t="shared" si="39"/>
        <v>Hicks Kental Inc</v>
      </c>
      <c r="C211" s="74" t="str">
        <f t="shared" si="39"/>
        <v>Retail</v>
      </c>
      <c r="D211" s="93"/>
      <c r="E211" s="87">
        <f>+E193*'Portfolio Management'!E119</f>
        <v>0</v>
      </c>
      <c r="F211" s="87">
        <f>+F193*'Portfolio Management'!F119</f>
        <v>0</v>
      </c>
      <c r="G211" s="87">
        <f>+G193*'Portfolio Management'!G119</f>
        <v>0</v>
      </c>
      <c r="H211" s="87">
        <f>+H193*'Portfolio Management'!H119</f>
        <v>200</v>
      </c>
      <c r="I211" s="87">
        <f>+I193*'Portfolio Management'!I119</f>
        <v>0</v>
      </c>
      <c r="J211" s="87">
        <f>+J193*'Portfolio Management'!J119</f>
        <v>0</v>
      </c>
      <c r="K211" s="87">
        <f>+K193*'Portfolio Management'!K119</f>
        <v>0</v>
      </c>
    </row>
    <row r="212" spans="1:11" x14ac:dyDescent="0.5">
      <c r="A212" s="74" t="str">
        <f t="shared" si="39"/>
        <v>IKL</v>
      </c>
      <c r="B212" s="74" t="str">
        <f t="shared" si="39"/>
        <v>IKL Inc</v>
      </c>
      <c r="C212" s="74" t="str">
        <f t="shared" si="39"/>
        <v>Pharmaceutical</v>
      </c>
      <c r="D212" s="93"/>
      <c r="E212" s="87">
        <f>+E194*'Portfolio Management'!E120</f>
        <v>0</v>
      </c>
      <c r="F212" s="87">
        <f>+F194*'Portfolio Management'!F120</f>
        <v>0</v>
      </c>
      <c r="G212" s="87">
        <f>+G194*'Portfolio Management'!G120</f>
        <v>0</v>
      </c>
      <c r="H212" s="87">
        <f>+H194*'Portfolio Management'!H120</f>
        <v>45</v>
      </c>
      <c r="I212" s="87">
        <f>+I194*'Portfolio Management'!I120</f>
        <v>0</v>
      </c>
      <c r="J212" s="87">
        <f>+J194*'Portfolio Management'!J120</f>
        <v>0</v>
      </c>
      <c r="K212" s="87">
        <f>+K194*'Portfolio Management'!K120</f>
        <v>0</v>
      </c>
    </row>
    <row r="213" spans="1:11" x14ac:dyDescent="0.5">
      <c r="A213" s="74" t="str">
        <f t="shared" si="39"/>
        <v>KLM</v>
      </c>
      <c r="B213" s="74" t="str">
        <f t="shared" si="39"/>
        <v>KLM Health</v>
      </c>
      <c r="C213" s="74" t="str">
        <f t="shared" si="39"/>
        <v>Healthcare</v>
      </c>
      <c r="D213" s="93"/>
      <c r="E213" s="87">
        <f>+E195*'Portfolio Management'!E121</f>
        <v>0</v>
      </c>
      <c r="F213" s="87">
        <f>+F195*'Portfolio Management'!F121</f>
        <v>0</v>
      </c>
      <c r="G213" s="87">
        <f>+G195*'Portfolio Management'!G121</f>
        <v>0</v>
      </c>
      <c r="H213" s="87">
        <f>+H195*'Portfolio Management'!H121</f>
        <v>0</v>
      </c>
      <c r="I213" s="87">
        <f>+I195*'Portfolio Management'!I121</f>
        <v>45</v>
      </c>
      <c r="J213" s="87">
        <f>+J195*'Portfolio Management'!J121</f>
        <v>0</v>
      </c>
      <c r="K213" s="87">
        <f>+K195*'Portfolio Management'!K121</f>
        <v>0</v>
      </c>
    </row>
    <row r="214" spans="1:11" x14ac:dyDescent="0.5">
      <c r="A214" s="74" t="str">
        <f t="shared" si="39"/>
        <v>LMN</v>
      </c>
      <c r="B214" s="74" t="str">
        <f t="shared" si="39"/>
        <v>LMN Hotel &amp; Resorts</v>
      </c>
      <c r="C214" s="74" t="str">
        <f t="shared" si="39"/>
        <v>Hospitality</v>
      </c>
      <c r="D214" s="93"/>
      <c r="E214" s="87">
        <f>+E196*'Portfolio Management'!E122</f>
        <v>0</v>
      </c>
      <c r="F214" s="87">
        <f>+F196*'Portfolio Management'!F122</f>
        <v>0</v>
      </c>
      <c r="G214" s="87">
        <f>+G196*'Portfolio Management'!G122</f>
        <v>0</v>
      </c>
      <c r="H214" s="87">
        <f>+H196*'Portfolio Management'!H122</f>
        <v>0</v>
      </c>
      <c r="I214" s="87">
        <f>+I196*'Portfolio Management'!I122</f>
        <v>0</v>
      </c>
      <c r="J214" s="87">
        <f>+J196*'Portfolio Management'!J122</f>
        <v>0</v>
      </c>
      <c r="K214" s="87">
        <f>+K196*'Portfolio Management'!K122</f>
        <v>0</v>
      </c>
    </row>
    <row r="215" spans="1:11" x14ac:dyDescent="0.5">
      <c r="A215" s="74" t="str">
        <f t="shared" si="39"/>
        <v>MNO</v>
      </c>
      <c r="B215" s="74" t="str">
        <f t="shared" si="39"/>
        <v>MNO Cable Inc</v>
      </c>
      <c r="C215" s="74" t="str">
        <f t="shared" si="39"/>
        <v>TV/Cable</v>
      </c>
      <c r="D215" s="93"/>
      <c r="E215" s="87">
        <f>+E197*'Portfolio Management'!E123</f>
        <v>0</v>
      </c>
      <c r="F215" s="87">
        <f>+F197*'Portfolio Management'!F123</f>
        <v>0</v>
      </c>
      <c r="G215" s="87">
        <f>+G197*'Portfolio Management'!G123</f>
        <v>0</v>
      </c>
      <c r="H215" s="87">
        <f>+H197*'Portfolio Management'!H123</f>
        <v>0</v>
      </c>
      <c r="I215" s="87">
        <f>+I197*'Portfolio Management'!I123</f>
        <v>0</v>
      </c>
      <c r="J215" s="87">
        <f>+J197*'Portfolio Management'!J123</f>
        <v>0</v>
      </c>
      <c r="K215" s="87">
        <f>+K197*'Portfolio Management'!K123</f>
        <v>0</v>
      </c>
    </row>
    <row r="216" spans="1:11" x14ac:dyDescent="0.5">
      <c r="A216" s="74" t="str">
        <f t="shared" si="39"/>
        <v>NOP</v>
      </c>
      <c r="B216" s="74" t="str">
        <f t="shared" si="39"/>
        <v>Norton Optimum</v>
      </c>
      <c r="C216" s="74" t="str">
        <f t="shared" si="39"/>
        <v>Techonlogy</v>
      </c>
      <c r="D216" s="93"/>
      <c r="E216" s="87">
        <f>+E198*'Portfolio Management'!E124</f>
        <v>0</v>
      </c>
      <c r="F216" s="87">
        <f>+F198*'Portfolio Management'!F124</f>
        <v>0</v>
      </c>
      <c r="G216" s="87">
        <f>+G198*'Portfolio Management'!G124</f>
        <v>0</v>
      </c>
      <c r="H216" s="87">
        <f>+H198*'Portfolio Management'!H124</f>
        <v>0</v>
      </c>
      <c r="I216" s="87">
        <f>+I198*'Portfolio Management'!I124</f>
        <v>0</v>
      </c>
      <c r="J216" s="87">
        <f>+J198*'Portfolio Management'!J124</f>
        <v>0</v>
      </c>
      <c r="K216" s="87">
        <f>+K198*'Portfolio Management'!K124</f>
        <v>0</v>
      </c>
    </row>
    <row r="217" spans="1:11" x14ac:dyDescent="0.5">
      <c r="A217" s="74" t="str">
        <f t="shared" si="39"/>
        <v>OPQ</v>
      </c>
      <c r="B217" s="74" t="str">
        <f t="shared" si="39"/>
        <v>Odyssea PQ Inc</v>
      </c>
      <c r="C217" s="74" t="str">
        <f t="shared" si="39"/>
        <v>Retail</v>
      </c>
      <c r="D217" s="93"/>
      <c r="E217" s="87">
        <f>+E199*'Portfolio Management'!E125</f>
        <v>0</v>
      </c>
      <c r="F217" s="87">
        <f>+F199*'Portfolio Management'!F125</f>
        <v>0</v>
      </c>
      <c r="G217" s="87">
        <f>+G199*'Portfolio Management'!G125</f>
        <v>0</v>
      </c>
      <c r="H217" s="87">
        <f>+H199*'Portfolio Management'!H125</f>
        <v>0</v>
      </c>
      <c r="I217" s="87">
        <f>+I199*'Portfolio Management'!I125</f>
        <v>0</v>
      </c>
      <c r="J217" s="87">
        <f>+J199*'Portfolio Management'!J125</f>
        <v>0</v>
      </c>
      <c r="K217" s="87">
        <f>+K199*'Portfolio Management'!K125</f>
        <v>0</v>
      </c>
    </row>
    <row r="218" spans="1:11" x14ac:dyDescent="0.5">
      <c r="A218" s="74" t="str">
        <f t="shared" si="39"/>
        <v>PQR</v>
      </c>
      <c r="B218" s="74" t="str">
        <f t="shared" si="39"/>
        <v>PQR Chemicals</v>
      </c>
      <c r="C218" s="74" t="str">
        <f t="shared" si="39"/>
        <v>Chemicals</v>
      </c>
      <c r="D218" s="93"/>
      <c r="E218" s="87">
        <f>+E200*'Portfolio Management'!E126</f>
        <v>0</v>
      </c>
      <c r="F218" s="87">
        <f>+F200*'Portfolio Management'!F126</f>
        <v>0</v>
      </c>
      <c r="G218" s="87">
        <f>+G200*'Portfolio Management'!G126</f>
        <v>0</v>
      </c>
      <c r="H218" s="87">
        <f>+H200*'Portfolio Management'!H126</f>
        <v>0</v>
      </c>
      <c r="I218" s="87">
        <f>+I200*'Portfolio Management'!I126</f>
        <v>0</v>
      </c>
      <c r="J218" s="87">
        <f>+J200*'Portfolio Management'!J126</f>
        <v>0</v>
      </c>
      <c r="K218" s="87">
        <f>+K200*'Portfolio Management'!K126</f>
        <v>0</v>
      </c>
    </row>
    <row r="219" spans="1:11" ht="14.7" thickBot="1" x14ac:dyDescent="0.55000000000000004">
      <c r="A219" s="3"/>
      <c r="B219" s="74"/>
      <c r="C219" s="88" t="s">
        <v>106</v>
      </c>
      <c r="D219" s="94"/>
      <c r="E219" s="89">
        <f t="shared" ref="E219:K219" si="40">SUM(E204:E218)</f>
        <v>92.5</v>
      </c>
      <c r="F219" s="89">
        <f t="shared" si="40"/>
        <v>90</v>
      </c>
      <c r="G219" s="89">
        <f t="shared" si="40"/>
        <v>150</v>
      </c>
      <c r="H219" s="89">
        <f t="shared" si="40"/>
        <v>245</v>
      </c>
      <c r="I219" s="89">
        <f t="shared" si="40"/>
        <v>62.5</v>
      </c>
      <c r="J219" s="89">
        <f t="shared" si="40"/>
        <v>0</v>
      </c>
      <c r="K219" s="89">
        <f t="shared" si="40"/>
        <v>0</v>
      </c>
    </row>
    <row r="220" spans="1:11" ht="14.7" thickTop="1" x14ac:dyDescent="0.5"/>
    <row r="221" spans="1:11" ht="17.7" x14ac:dyDescent="0.55000000000000004">
      <c r="A221" s="36" t="s">
        <v>139</v>
      </c>
      <c r="B221" s="71"/>
      <c r="C221" s="73"/>
      <c r="D221" s="71"/>
      <c r="E221" s="71"/>
      <c r="F221" s="71"/>
      <c r="G221" s="71"/>
      <c r="H221" s="71"/>
      <c r="I221" s="71"/>
      <c r="J221" s="71"/>
      <c r="K221" s="71"/>
    </row>
    <row r="222" spans="1:11" x14ac:dyDescent="0.5">
      <c r="A222" s="35"/>
      <c r="B222" s="35"/>
      <c r="C222" s="118"/>
      <c r="D222" s="35"/>
      <c r="E222" s="35"/>
      <c r="F222" s="35"/>
      <c r="G222" s="35"/>
      <c r="H222" s="35"/>
      <c r="I222" s="35"/>
      <c r="J222" s="35"/>
      <c r="K222" s="35"/>
    </row>
    <row r="223" spans="1:11" x14ac:dyDescent="0.5">
      <c r="A223" s="35" t="s">
        <v>202</v>
      </c>
      <c r="B223" s="63"/>
      <c r="C223" s="63"/>
      <c r="D223" s="35"/>
      <c r="E223" s="119"/>
      <c r="F223" s="120"/>
      <c r="G223" s="35"/>
      <c r="H223" s="35"/>
      <c r="I223" s="35"/>
      <c r="J223" s="35"/>
      <c r="K223" s="35"/>
    </row>
    <row r="224" spans="1:11" ht="39" thickBot="1" x14ac:dyDescent="0.55000000000000004">
      <c r="A224" s="78" t="s">
        <v>59</v>
      </c>
      <c r="B224" s="78" t="s">
        <v>60</v>
      </c>
      <c r="C224" s="78" t="s">
        <v>61</v>
      </c>
      <c r="D224" s="2" t="s">
        <v>200</v>
      </c>
      <c r="E224" s="2" t="s">
        <v>199</v>
      </c>
      <c r="F224" s="2" t="s">
        <v>201</v>
      </c>
      <c r="G224" s="2" t="s">
        <v>141</v>
      </c>
      <c r="H224" s="2" t="s">
        <v>142</v>
      </c>
      <c r="I224" s="2" t="s">
        <v>143</v>
      </c>
      <c r="J224" s="2" t="s">
        <v>144</v>
      </c>
      <c r="K224" s="2" t="s">
        <v>145</v>
      </c>
    </row>
    <row r="225" spans="1:11" ht="14.7" thickTop="1" x14ac:dyDescent="0.5">
      <c r="A225" s="127" t="s">
        <v>147</v>
      </c>
      <c r="B225" s="127" t="s">
        <v>148</v>
      </c>
      <c r="C225" s="127" t="s">
        <v>91</v>
      </c>
      <c r="D225" s="128">
        <v>1000</v>
      </c>
      <c r="E225" s="129">
        <v>45153</v>
      </c>
      <c r="F225" s="130" t="s">
        <v>149</v>
      </c>
      <c r="G225" s="130" t="s">
        <v>150</v>
      </c>
      <c r="H225" s="131">
        <v>5.2499999999999998E-2</v>
      </c>
      <c r="I225" s="129">
        <v>42781</v>
      </c>
      <c r="J225" s="129">
        <v>42962</v>
      </c>
      <c r="K225" s="132">
        <f t="shared" ref="K225:K230" si="41">+H225*D225</f>
        <v>52.5</v>
      </c>
    </row>
    <row r="226" spans="1:11" x14ac:dyDescent="0.5">
      <c r="A226" s="127" t="s">
        <v>151</v>
      </c>
      <c r="B226" s="127" t="s">
        <v>152</v>
      </c>
      <c r="C226" s="127" t="s">
        <v>85</v>
      </c>
      <c r="D226" s="128">
        <v>1000</v>
      </c>
      <c r="E226" s="129">
        <v>44013</v>
      </c>
      <c r="F226" s="130" t="s">
        <v>153</v>
      </c>
      <c r="G226" s="130" t="s">
        <v>154</v>
      </c>
      <c r="H226" s="131">
        <v>4.4999999999999998E-2</v>
      </c>
      <c r="I226" s="129">
        <v>42736</v>
      </c>
      <c r="J226" s="129">
        <v>42917</v>
      </c>
      <c r="K226" s="132">
        <f t="shared" si="41"/>
        <v>45</v>
      </c>
    </row>
    <row r="227" spans="1:11" x14ac:dyDescent="0.5">
      <c r="A227" s="127" t="s">
        <v>155</v>
      </c>
      <c r="B227" s="127" t="s">
        <v>156</v>
      </c>
      <c r="C227" s="127" t="s">
        <v>67</v>
      </c>
      <c r="D227" s="128">
        <v>1000</v>
      </c>
      <c r="E227" s="129">
        <v>45915</v>
      </c>
      <c r="F227" s="130" t="s">
        <v>19</v>
      </c>
      <c r="G227" s="130" t="s">
        <v>157</v>
      </c>
      <c r="H227" s="131">
        <v>7.0000000000000007E-2</v>
      </c>
      <c r="I227" s="129">
        <v>42809</v>
      </c>
      <c r="J227" s="129">
        <v>42993</v>
      </c>
      <c r="K227" s="132">
        <f t="shared" si="41"/>
        <v>70</v>
      </c>
    </row>
    <row r="228" spans="1:11" x14ac:dyDescent="0.5">
      <c r="A228" s="127" t="s">
        <v>158</v>
      </c>
      <c r="B228" s="127" t="s">
        <v>159</v>
      </c>
      <c r="C228" s="127" t="s">
        <v>73</v>
      </c>
      <c r="D228" s="128">
        <v>1000</v>
      </c>
      <c r="E228" s="129">
        <v>43661</v>
      </c>
      <c r="F228" s="130" t="s">
        <v>151</v>
      </c>
      <c r="G228" s="130" t="s">
        <v>160</v>
      </c>
      <c r="H228" s="131">
        <v>3.5000000000000003E-2</v>
      </c>
      <c r="I228" s="129">
        <v>42750</v>
      </c>
      <c r="J228" s="129">
        <v>42931</v>
      </c>
      <c r="K228" s="132">
        <f t="shared" si="41"/>
        <v>35</v>
      </c>
    </row>
    <row r="229" spans="1:11" x14ac:dyDescent="0.5">
      <c r="A229" s="127" t="s">
        <v>161</v>
      </c>
      <c r="B229" s="127" t="s">
        <v>162</v>
      </c>
      <c r="C229" s="127" t="s">
        <v>163</v>
      </c>
      <c r="D229" s="128">
        <v>1000</v>
      </c>
      <c r="E229" s="129">
        <v>46296</v>
      </c>
      <c r="F229" s="130" t="s">
        <v>164</v>
      </c>
      <c r="G229" s="130" t="s">
        <v>165</v>
      </c>
      <c r="H229" s="131">
        <v>4.7500000000000001E-2</v>
      </c>
      <c r="I229" s="129">
        <v>42826</v>
      </c>
      <c r="J229" s="129">
        <v>43009</v>
      </c>
      <c r="K229" s="132">
        <f t="shared" si="41"/>
        <v>47.5</v>
      </c>
    </row>
    <row r="230" spans="1:11" x14ac:dyDescent="0.5">
      <c r="A230" s="127" t="s">
        <v>166</v>
      </c>
      <c r="B230" s="127" t="s">
        <v>167</v>
      </c>
      <c r="C230" s="127" t="s">
        <v>85</v>
      </c>
      <c r="D230" s="128">
        <v>1000</v>
      </c>
      <c r="E230" s="129">
        <v>46249</v>
      </c>
      <c r="F230" s="130" t="s">
        <v>168</v>
      </c>
      <c r="G230" s="130" t="s">
        <v>169</v>
      </c>
      <c r="H230" s="131">
        <v>0.08</v>
      </c>
      <c r="I230" s="129">
        <v>42781</v>
      </c>
      <c r="J230" s="129">
        <v>42962</v>
      </c>
      <c r="K230" s="132">
        <f t="shared" si="41"/>
        <v>80</v>
      </c>
    </row>
    <row r="232" spans="1:11" x14ac:dyDescent="0.5">
      <c r="A232" s="11" t="s">
        <v>173</v>
      </c>
      <c r="B232" s="70"/>
      <c r="C232" s="70"/>
      <c r="D232" s="76">
        <v>0</v>
      </c>
      <c r="E232" s="76">
        <v>1</v>
      </c>
      <c r="F232" s="76">
        <v>2</v>
      </c>
      <c r="G232" s="76">
        <v>3</v>
      </c>
      <c r="H232" s="76">
        <v>4</v>
      </c>
      <c r="I232" s="76">
        <v>5</v>
      </c>
      <c r="J232" s="76">
        <v>6</v>
      </c>
      <c r="K232" s="76">
        <v>7</v>
      </c>
    </row>
    <row r="233" spans="1:11" s="68" customFormat="1" ht="29" customHeight="1" thickBot="1" x14ac:dyDescent="0.55000000000000004">
      <c r="A233" s="162" t="s">
        <v>59</v>
      </c>
      <c r="B233" s="162" t="s">
        <v>60</v>
      </c>
      <c r="C233" s="162" t="s">
        <v>61</v>
      </c>
      <c r="D233" s="113" t="s">
        <v>125</v>
      </c>
      <c r="E233" s="113" t="s">
        <v>126</v>
      </c>
      <c r="F233" s="113" t="s">
        <v>127</v>
      </c>
      <c r="G233" s="113" t="s">
        <v>128</v>
      </c>
      <c r="H233" s="113" t="s">
        <v>129</v>
      </c>
      <c r="I233" s="113" t="s">
        <v>130</v>
      </c>
      <c r="J233" s="113" t="s">
        <v>131</v>
      </c>
      <c r="K233" s="113" t="s">
        <v>132</v>
      </c>
    </row>
    <row r="234" spans="1:11" ht="14.7" thickTop="1" x14ac:dyDescent="0.5">
      <c r="A234" s="127" t="s">
        <v>147</v>
      </c>
      <c r="B234" s="127" t="s">
        <v>148</v>
      </c>
      <c r="C234" s="127" t="s">
        <v>91</v>
      </c>
      <c r="D234">
        <v>890</v>
      </c>
      <c r="E234">
        <v>893</v>
      </c>
      <c r="F234">
        <v>895</v>
      </c>
      <c r="G234">
        <v>905</v>
      </c>
      <c r="H234">
        <v>910</v>
      </c>
      <c r="I234">
        <v>912</v>
      </c>
      <c r="J234">
        <v>915</v>
      </c>
      <c r="K234">
        <v>910</v>
      </c>
    </row>
    <row r="235" spans="1:11" x14ac:dyDescent="0.5">
      <c r="A235" s="127" t="s">
        <v>151</v>
      </c>
      <c r="B235" s="127" t="s">
        <v>152</v>
      </c>
      <c r="C235" s="127" t="s">
        <v>85</v>
      </c>
      <c r="D235">
        <v>910</v>
      </c>
      <c r="E235">
        <v>925</v>
      </c>
      <c r="F235">
        <v>915</v>
      </c>
      <c r="G235">
        <v>925</v>
      </c>
      <c r="H235">
        <v>915</v>
      </c>
      <c r="I235">
        <v>922</v>
      </c>
      <c r="J235">
        <v>935</v>
      </c>
      <c r="K235">
        <v>930</v>
      </c>
    </row>
    <row r="236" spans="1:11" x14ac:dyDescent="0.5">
      <c r="A236" s="127" t="s">
        <v>155</v>
      </c>
      <c r="B236" s="127" t="s">
        <v>156</v>
      </c>
      <c r="C236" s="127" t="s">
        <v>67</v>
      </c>
      <c r="D236">
        <v>790</v>
      </c>
      <c r="E236">
        <v>800</v>
      </c>
      <c r="F236">
        <v>810</v>
      </c>
      <c r="G236">
        <v>815</v>
      </c>
      <c r="H236">
        <v>820</v>
      </c>
      <c r="I236">
        <v>822</v>
      </c>
      <c r="J236">
        <v>815</v>
      </c>
      <c r="K236">
        <v>800</v>
      </c>
    </row>
    <row r="237" spans="1:11" x14ac:dyDescent="0.5">
      <c r="A237" s="127" t="s">
        <v>158</v>
      </c>
      <c r="B237" s="127" t="s">
        <v>159</v>
      </c>
      <c r="C237" s="127" t="s">
        <v>73</v>
      </c>
      <c r="D237">
        <v>1010</v>
      </c>
      <c r="E237">
        <v>1015</v>
      </c>
      <c r="F237">
        <v>1020</v>
      </c>
      <c r="G237">
        <v>1022</v>
      </c>
      <c r="H237">
        <v>1026</v>
      </c>
      <c r="I237">
        <v>1025</v>
      </c>
      <c r="J237">
        <v>1020</v>
      </c>
      <c r="K237">
        <v>1027</v>
      </c>
    </row>
    <row r="238" spans="1:11" x14ac:dyDescent="0.5">
      <c r="A238" s="127" t="s">
        <v>161</v>
      </c>
      <c r="B238" s="127" t="s">
        <v>162</v>
      </c>
      <c r="C238" s="127" t="s">
        <v>163</v>
      </c>
      <c r="D238">
        <v>950</v>
      </c>
      <c r="E238">
        <v>965</v>
      </c>
      <c r="F238">
        <v>975</v>
      </c>
      <c r="G238">
        <v>980</v>
      </c>
      <c r="H238">
        <v>982</v>
      </c>
      <c r="I238">
        <v>995</v>
      </c>
      <c r="J238">
        <v>1000</v>
      </c>
      <c r="K238">
        <v>1010</v>
      </c>
    </row>
    <row r="239" spans="1:11" x14ac:dyDescent="0.5">
      <c r="A239" s="127" t="s">
        <v>166</v>
      </c>
      <c r="B239" s="127" t="s">
        <v>167</v>
      </c>
      <c r="C239" s="127" t="s">
        <v>85</v>
      </c>
      <c r="D239">
        <v>640</v>
      </c>
      <c r="E239">
        <v>680</v>
      </c>
      <c r="F239">
        <v>687</v>
      </c>
      <c r="G239">
        <v>695</v>
      </c>
      <c r="H239">
        <v>710</v>
      </c>
      <c r="I239">
        <v>720</v>
      </c>
      <c r="J239">
        <v>710</v>
      </c>
      <c r="K239">
        <v>700</v>
      </c>
    </row>
    <row r="240" spans="1:11" ht="14.7" thickBot="1" x14ac:dyDescent="0.55000000000000004">
      <c r="A240" s="135"/>
      <c r="B240" s="135"/>
      <c r="C240" s="135"/>
      <c r="D240" s="117">
        <f t="shared" ref="D240:K240" si="42">SUM(D234:D239)</f>
        <v>5190</v>
      </c>
      <c r="E240" s="117">
        <f t="shared" si="42"/>
        <v>5278</v>
      </c>
      <c r="F240" s="117">
        <f t="shared" si="42"/>
        <v>5302</v>
      </c>
      <c r="G240" s="117">
        <f t="shared" si="42"/>
        <v>5342</v>
      </c>
      <c r="H240" s="117">
        <f t="shared" si="42"/>
        <v>5363</v>
      </c>
      <c r="I240" s="117">
        <f t="shared" si="42"/>
        <v>5396</v>
      </c>
      <c r="J240" s="117">
        <f t="shared" si="42"/>
        <v>5395</v>
      </c>
      <c r="K240" s="117">
        <f t="shared" si="42"/>
        <v>5377</v>
      </c>
    </row>
    <row r="241" spans="1:11" ht="14.7" thickTop="1" x14ac:dyDescent="0.5">
      <c r="B241"/>
      <c r="C241" s="75"/>
      <c r="D241"/>
      <c r="I241"/>
    </row>
    <row r="242" spans="1:11" x14ac:dyDescent="0.5">
      <c r="A242" s="82" t="s">
        <v>177</v>
      </c>
      <c r="B242"/>
      <c r="D242" s="76">
        <v>0</v>
      </c>
      <c r="E242" s="76">
        <v>1</v>
      </c>
      <c r="F242" s="76">
        <v>2</v>
      </c>
      <c r="G242" s="76">
        <v>3</v>
      </c>
      <c r="H242" s="76">
        <v>4</v>
      </c>
      <c r="I242" s="76">
        <v>5</v>
      </c>
      <c r="J242" s="76">
        <v>6</v>
      </c>
      <c r="K242" s="76">
        <v>7</v>
      </c>
    </row>
    <row r="243" spans="1:11" s="68" customFormat="1" ht="26.7" customHeight="1" thickBot="1" x14ac:dyDescent="0.55000000000000004">
      <c r="A243" s="162" t="s">
        <v>59</v>
      </c>
      <c r="B243" s="162" t="s">
        <v>60</v>
      </c>
      <c r="C243" s="162" t="s">
        <v>61</v>
      </c>
      <c r="D243" s="114" t="str">
        <f t="shared" ref="D243:K243" si="43">+D233</f>
        <v>June 1
20x1</v>
      </c>
      <c r="E243" s="114" t="str">
        <f t="shared" si="43"/>
        <v>July 1
20x1</v>
      </c>
      <c r="F243" s="114" t="str">
        <f t="shared" si="43"/>
        <v>Aug 1
20x1</v>
      </c>
      <c r="G243" s="114" t="str">
        <f t="shared" si="43"/>
        <v>Sep 1
20x1</v>
      </c>
      <c r="H243" s="114" t="str">
        <f t="shared" si="43"/>
        <v>Oct 1
20x1</v>
      </c>
      <c r="I243" s="114" t="str">
        <f t="shared" si="43"/>
        <v>Nov 1
20x1</v>
      </c>
      <c r="J243" s="114" t="str">
        <f t="shared" si="43"/>
        <v>Dec 1
20x1</v>
      </c>
      <c r="K243" s="114" t="str">
        <f t="shared" si="43"/>
        <v>Jan 2
20x2</v>
      </c>
    </row>
    <row r="244" spans="1:11" ht="14.7" thickTop="1" x14ac:dyDescent="0.5">
      <c r="A244" s="135" t="str">
        <f t="shared" ref="A244:C249" si="44">+A234</f>
        <v>AAA</v>
      </c>
      <c r="B244" s="135" t="str">
        <f t="shared" si="44"/>
        <v>Alpha Inc.</v>
      </c>
      <c r="C244" s="135" t="str">
        <f t="shared" si="44"/>
        <v>Healthcare</v>
      </c>
      <c r="D244" s="140">
        <v>15</v>
      </c>
      <c r="E244">
        <f t="shared" ref="E244:K249" si="45">+D244+E253</f>
        <v>15</v>
      </c>
      <c r="F244">
        <f t="shared" si="45"/>
        <v>15</v>
      </c>
      <c r="G244">
        <f t="shared" si="45"/>
        <v>15</v>
      </c>
      <c r="H244">
        <f t="shared" si="45"/>
        <v>15</v>
      </c>
      <c r="I244">
        <f t="shared" si="45"/>
        <v>15</v>
      </c>
      <c r="J244">
        <f t="shared" si="45"/>
        <v>15</v>
      </c>
      <c r="K244">
        <f t="shared" si="45"/>
        <v>0</v>
      </c>
    </row>
    <row r="245" spans="1:11" x14ac:dyDescent="0.5">
      <c r="A245" s="135" t="str">
        <f t="shared" si="44"/>
        <v>BBB</v>
      </c>
      <c r="B245" s="135" t="str">
        <f t="shared" si="44"/>
        <v>Beta Inc.</v>
      </c>
      <c r="C245" s="135" t="str">
        <f t="shared" si="44"/>
        <v>Retail</v>
      </c>
      <c r="D245" s="140">
        <v>20</v>
      </c>
      <c r="E245">
        <f t="shared" si="45"/>
        <v>8</v>
      </c>
      <c r="F245">
        <f t="shared" si="45"/>
        <v>0</v>
      </c>
      <c r="G245">
        <f t="shared" si="45"/>
        <v>0</v>
      </c>
      <c r="H245">
        <f t="shared" si="45"/>
        <v>0</v>
      </c>
      <c r="I245">
        <f t="shared" si="45"/>
        <v>0</v>
      </c>
      <c r="J245">
        <f t="shared" si="45"/>
        <v>0</v>
      </c>
      <c r="K245">
        <f t="shared" si="45"/>
        <v>0</v>
      </c>
    </row>
    <row r="246" spans="1:11" x14ac:dyDescent="0.5">
      <c r="A246" s="135" t="str">
        <f t="shared" si="44"/>
        <v>CCC</v>
      </c>
      <c r="B246" s="135" t="str">
        <f t="shared" si="44"/>
        <v>CC Corporation</v>
      </c>
      <c r="C246" s="135" t="str">
        <f t="shared" si="44"/>
        <v>Industrial</v>
      </c>
      <c r="D246" s="140">
        <v>30</v>
      </c>
      <c r="E246">
        <f t="shared" si="45"/>
        <v>30</v>
      </c>
      <c r="F246">
        <f t="shared" si="45"/>
        <v>30</v>
      </c>
      <c r="G246">
        <f t="shared" si="45"/>
        <v>35</v>
      </c>
      <c r="H246">
        <f t="shared" si="45"/>
        <v>35</v>
      </c>
      <c r="I246">
        <f t="shared" si="45"/>
        <v>40</v>
      </c>
      <c r="J246">
        <f t="shared" si="45"/>
        <v>40</v>
      </c>
      <c r="K246">
        <f t="shared" si="45"/>
        <v>0</v>
      </c>
    </row>
    <row r="247" spans="1:11" x14ac:dyDescent="0.5">
      <c r="A247" s="135" t="str">
        <f t="shared" si="44"/>
        <v>DDD</v>
      </c>
      <c r="B247" s="135" t="str">
        <f t="shared" si="44"/>
        <v>Delta D Inc.</v>
      </c>
      <c r="C247" s="135" t="str">
        <f t="shared" si="44"/>
        <v>Hospitality</v>
      </c>
      <c r="D247" s="140">
        <v>40</v>
      </c>
      <c r="E247">
        <f t="shared" si="45"/>
        <v>40</v>
      </c>
      <c r="F247">
        <f t="shared" si="45"/>
        <v>50</v>
      </c>
      <c r="G247">
        <f t="shared" si="45"/>
        <v>50</v>
      </c>
      <c r="H247">
        <f t="shared" si="45"/>
        <v>50</v>
      </c>
      <c r="I247">
        <f t="shared" si="45"/>
        <v>50</v>
      </c>
      <c r="J247">
        <f t="shared" si="45"/>
        <v>50</v>
      </c>
      <c r="K247">
        <f t="shared" si="45"/>
        <v>0</v>
      </c>
    </row>
    <row r="248" spans="1:11" x14ac:dyDescent="0.5">
      <c r="A248" s="135" t="str">
        <f t="shared" si="44"/>
        <v>EEE</v>
      </c>
      <c r="B248" s="135" t="str">
        <f t="shared" si="44"/>
        <v>Epsilon Inc</v>
      </c>
      <c r="C248" s="135" t="str">
        <f t="shared" si="44"/>
        <v>Technology</v>
      </c>
      <c r="D248" s="140">
        <v>0</v>
      </c>
      <c r="E248">
        <f t="shared" si="45"/>
        <v>5</v>
      </c>
      <c r="F248">
        <f t="shared" si="45"/>
        <v>5</v>
      </c>
      <c r="G248">
        <f t="shared" si="45"/>
        <v>5</v>
      </c>
      <c r="H248">
        <f t="shared" si="45"/>
        <v>5</v>
      </c>
      <c r="I248">
        <f t="shared" si="45"/>
        <v>0</v>
      </c>
      <c r="J248">
        <f t="shared" si="45"/>
        <v>0</v>
      </c>
      <c r="K248">
        <f t="shared" si="45"/>
        <v>0</v>
      </c>
    </row>
    <row r="249" spans="1:11" x14ac:dyDescent="0.5">
      <c r="A249" s="135" t="str">
        <f t="shared" si="44"/>
        <v>FFF</v>
      </c>
      <c r="B249" s="135" t="str">
        <f t="shared" si="44"/>
        <v>Fusbol For Friends</v>
      </c>
      <c r="C249" s="135" t="str">
        <f t="shared" si="44"/>
        <v>Retail</v>
      </c>
      <c r="D249" s="140">
        <v>0</v>
      </c>
      <c r="E249">
        <f t="shared" si="45"/>
        <v>5</v>
      </c>
      <c r="F249">
        <f t="shared" si="45"/>
        <v>5</v>
      </c>
      <c r="G249">
        <f t="shared" si="45"/>
        <v>5</v>
      </c>
      <c r="H249">
        <f t="shared" si="45"/>
        <v>5</v>
      </c>
      <c r="I249">
        <f t="shared" si="45"/>
        <v>5</v>
      </c>
      <c r="J249">
        <f t="shared" si="45"/>
        <v>0</v>
      </c>
      <c r="K249">
        <f t="shared" si="45"/>
        <v>0</v>
      </c>
    </row>
    <row r="250" spans="1:11" x14ac:dyDescent="0.5">
      <c r="B250"/>
      <c r="C250" s="75"/>
      <c r="D250"/>
      <c r="I250"/>
    </row>
    <row r="251" spans="1:11" x14ac:dyDescent="0.5">
      <c r="A251" s="82" t="s">
        <v>103</v>
      </c>
      <c r="B251"/>
      <c r="C251" s="75"/>
      <c r="D251" s="76"/>
      <c r="E251" s="76"/>
      <c r="F251" s="76"/>
      <c r="G251" s="76"/>
      <c r="H251" s="76"/>
      <c r="I251" s="76"/>
      <c r="J251" s="76"/>
      <c r="K251" s="76"/>
    </row>
    <row r="252" spans="1:11" s="68" customFormat="1" ht="27.45" customHeight="1" thickBot="1" x14ac:dyDescent="0.55000000000000004">
      <c r="A252" s="162" t="s">
        <v>59</v>
      </c>
      <c r="B252" s="162" t="s">
        <v>60</v>
      </c>
      <c r="C252" s="162" t="s">
        <v>61</v>
      </c>
      <c r="D252" s="114" t="str">
        <f t="shared" ref="D252:K252" si="46">+D243</f>
        <v>June 1
20x1</v>
      </c>
      <c r="E252" s="114" t="str">
        <f t="shared" si="46"/>
        <v>July 1
20x1</v>
      </c>
      <c r="F252" s="114" t="str">
        <f t="shared" si="46"/>
        <v>Aug 1
20x1</v>
      </c>
      <c r="G252" s="114" t="str">
        <f t="shared" si="46"/>
        <v>Sep 1
20x1</v>
      </c>
      <c r="H252" s="114" t="str">
        <f t="shared" si="46"/>
        <v>Oct 1
20x1</v>
      </c>
      <c r="I252" s="114" t="str">
        <f t="shared" si="46"/>
        <v>Nov 1
20x1</v>
      </c>
      <c r="J252" s="114" t="str">
        <f t="shared" si="46"/>
        <v>Dec 1
20x1</v>
      </c>
      <c r="K252" s="114" t="str">
        <f t="shared" si="46"/>
        <v>Jan 2
20x2</v>
      </c>
    </row>
    <row r="253" spans="1:11" ht="14.7" thickTop="1" x14ac:dyDescent="0.5">
      <c r="A253" s="135" t="str">
        <f t="shared" ref="A253:C258" si="47">+A244</f>
        <v>AAA</v>
      </c>
      <c r="B253" s="135" t="str">
        <f t="shared" si="47"/>
        <v>Alpha Inc.</v>
      </c>
      <c r="C253" s="135" t="str">
        <f t="shared" si="47"/>
        <v>Healthcare</v>
      </c>
      <c r="D253">
        <f t="shared" ref="D253:D258" si="48">D244</f>
        <v>15</v>
      </c>
      <c r="E253" s="140"/>
      <c r="F253" s="140"/>
      <c r="G253" s="140"/>
      <c r="H253" s="140"/>
      <c r="I253" s="140"/>
      <c r="J253" s="140"/>
      <c r="K253" s="140">
        <f t="shared" ref="K253:K258" si="49">-J244</f>
        <v>-15</v>
      </c>
    </row>
    <row r="254" spans="1:11" x14ac:dyDescent="0.5">
      <c r="A254" s="135" t="str">
        <f t="shared" si="47"/>
        <v>BBB</v>
      </c>
      <c r="B254" s="135" t="str">
        <f t="shared" si="47"/>
        <v>Beta Inc.</v>
      </c>
      <c r="C254" s="135" t="str">
        <f t="shared" si="47"/>
        <v>Retail</v>
      </c>
      <c r="D254">
        <f t="shared" si="48"/>
        <v>20</v>
      </c>
      <c r="E254" s="140">
        <v>-12</v>
      </c>
      <c r="F254" s="140">
        <v>-8</v>
      </c>
      <c r="G254" s="140"/>
      <c r="H254" s="140"/>
      <c r="I254" s="140"/>
      <c r="J254" s="140"/>
      <c r="K254" s="140">
        <f t="shared" si="49"/>
        <v>0</v>
      </c>
    </row>
    <row r="255" spans="1:11" x14ac:dyDescent="0.5">
      <c r="A255" s="135" t="str">
        <f t="shared" si="47"/>
        <v>CCC</v>
      </c>
      <c r="B255" s="135" t="str">
        <f t="shared" si="47"/>
        <v>CC Corporation</v>
      </c>
      <c r="C255" s="135" t="str">
        <f t="shared" si="47"/>
        <v>Industrial</v>
      </c>
      <c r="D255">
        <f t="shared" si="48"/>
        <v>30</v>
      </c>
      <c r="E255" s="140"/>
      <c r="F255" s="140"/>
      <c r="G255" s="140">
        <v>5</v>
      </c>
      <c r="H255" s="140"/>
      <c r="I255" s="140">
        <v>5</v>
      </c>
      <c r="J255" s="140"/>
      <c r="K255" s="140">
        <f t="shared" si="49"/>
        <v>-40</v>
      </c>
    </row>
    <row r="256" spans="1:11" x14ac:dyDescent="0.5">
      <c r="A256" s="135" t="str">
        <f t="shared" si="47"/>
        <v>DDD</v>
      </c>
      <c r="B256" s="135" t="str">
        <f t="shared" si="47"/>
        <v>Delta D Inc.</v>
      </c>
      <c r="C256" s="135" t="str">
        <f t="shared" si="47"/>
        <v>Hospitality</v>
      </c>
      <c r="D256">
        <f t="shared" si="48"/>
        <v>40</v>
      </c>
      <c r="E256" s="140"/>
      <c r="F256" s="140">
        <v>10</v>
      </c>
      <c r="G256" s="140"/>
      <c r="H256" s="140"/>
      <c r="I256" s="140"/>
      <c r="J256" s="140"/>
      <c r="K256" s="140">
        <f t="shared" si="49"/>
        <v>-50</v>
      </c>
    </row>
    <row r="257" spans="1:11" x14ac:dyDescent="0.5">
      <c r="A257" s="135" t="str">
        <f t="shared" si="47"/>
        <v>EEE</v>
      </c>
      <c r="B257" s="135" t="str">
        <f t="shared" si="47"/>
        <v>Epsilon Inc</v>
      </c>
      <c r="C257" s="135" t="str">
        <f t="shared" si="47"/>
        <v>Technology</v>
      </c>
      <c r="D257">
        <f t="shared" si="48"/>
        <v>0</v>
      </c>
      <c r="E257" s="140">
        <v>5</v>
      </c>
      <c r="F257" s="140"/>
      <c r="G257" s="140"/>
      <c r="H257" s="140"/>
      <c r="I257" s="140">
        <v>-5</v>
      </c>
      <c r="J257" s="140"/>
      <c r="K257" s="140">
        <f t="shared" si="49"/>
        <v>0</v>
      </c>
    </row>
    <row r="258" spans="1:11" x14ac:dyDescent="0.5">
      <c r="A258" s="135" t="str">
        <f t="shared" si="47"/>
        <v>FFF</v>
      </c>
      <c r="B258" s="135" t="str">
        <f t="shared" si="47"/>
        <v>Fusbol For Friends</v>
      </c>
      <c r="C258" s="135" t="str">
        <f t="shared" si="47"/>
        <v>Retail</v>
      </c>
      <c r="D258">
        <f t="shared" si="48"/>
        <v>0</v>
      </c>
      <c r="E258" s="140">
        <v>5</v>
      </c>
      <c r="F258" s="140"/>
      <c r="G258" s="140"/>
      <c r="H258" s="140"/>
      <c r="I258" s="140"/>
      <c r="J258" s="140">
        <v>-5</v>
      </c>
      <c r="K258" s="140">
        <f t="shared" si="49"/>
        <v>0</v>
      </c>
    </row>
    <row r="259" spans="1:11" x14ac:dyDescent="0.5">
      <c r="B259"/>
      <c r="C259" s="75"/>
      <c r="D259" s="141"/>
      <c r="E259" s="141"/>
      <c r="F259" s="141"/>
      <c r="G259" s="141"/>
      <c r="H259" s="141"/>
      <c r="I259" s="141"/>
      <c r="J259" s="141"/>
      <c r="K259" s="141"/>
    </row>
    <row r="260" spans="1:11" x14ac:dyDescent="0.5">
      <c r="A260" s="82" t="s">
        <v>103</v>
      </c>
      <c r="B260"/>
      <c r="C260" s="75"/>
      <c r="D260" s="76"/>
      <c r="E260" s="76"/>
      <c r="F260" s="76"/>
      <c r="G260" s="76"/>
      <c r="H260" s="76"/>
      <c r="I260" s="76"/>
      <c r="J260" s="76"/>
      <c r="K260" s="76"/>
    </row>
    <row r="261" spans="1:11" s="68" customFormat="1" ht="27" customHeight="1" thickBot="1" x14ac:dyDescent="0.55000000000000004">
      <c r="A261" s="162" t="s">
        <v>59</v>
      </c>
      <c r="B261" s="162" t="s">
        <v>60</v>
      </c>
      <c r="C261" s="162" t="s">
        <v>61</v>
      </c>
      <c r="D261" s="114" t="str">
        <f t="shared" ref="D261:K261" si="50">+D252</f>
        <v>June 1
20x1</v>
      </c>
      <c r="E261" s="114" t="str">
        <f t="shared" si="50"/>
        <v>July 1
20x1</v>
      </c>
      <c r="F261" s="114" t="str">
        <f t="shared" si="50"/>
        <v>Aug 1
20x1</v>
      </c>
      <c r="G261" s="114" t="str">
        <f t="shared" si="50"/>
        <v>Sep 1
20x1</v>
      </c>
      <c r="H261" s="114" t="str">
        <f t="shared" si="50"/>
        <v>Oct 1
20x1</v>
      </c>
      <c r="I261" s="114" t="str">
        <f t="shared" si="50"/>
        <v>Nov 1
20x1</v>
      </c>
      <c r="J261" s="114" t="str">
        <f t="shared" si="50"/>
        <v>Dec 1
20x1</v>
      </c>
      <c r="K261" s="114" t="str">
        <f t="shared" si="50"/>
        <v>Jan 2
20x2</v>
      </c>
    </row>
    <row r="262" spans="1:11" ht="14.7" thickTop="1" x14ac:dyDescent="0.5">
      <c r="A262" s="135" t="str">
        <f t="shared" ref="A262:C267" si="51">+A253</f>
        <v>AAA</v>
      </c>
      <c r="B262" s="135" t="str">
        <f t="shared" si="51"/>
        <v>Alpha Inc.</v>
      </c>
      <c r="C262" s="135" t="str">
        <f t="shared" si="51"/>
        <v>Healthcare</v>
      </c>
      <c r="D262"/>
      <c r="E262" s="10">
        <f t="shared" ref="E262:K267" si="52">-E253*E234</f>
        <v>0</v>
      </c>
      <c r="F262" s="10">
        <f t="shared" si="52"/>
        <v>0</v>
      </c>
      <c r="G262" s="10">
        <f t="shared" si="52"/>
        <v>0</v>
      </c>
      <c r="H262" s="10">
        <f t="shared" si="52"/>
        <v>0</v>
      </c>
      <c r="I262" s="10">
        <f t="shared" si="52"/>
        <v>0</v>
      </c>
      <c r="J262" s="10">
        <f t="shared" si="52"/>
        <v>0</v>
      </c>
      <c r="K262" s="10">
        <f t="shared" si="52"/>
        <v>13650</v>
      </c>
    </row>
    <row r="263" spans="1:11" x14ac:dyDescent="0.5">
      <c r="A263" s="135" t="str">
        <f t="shared" si="51"/>
        <v>BBB</v>
      </c>
      <c r="B263" s="135" t="str">
        <f t="shared" si="51"/>
        <v>Beta Inc.</v>
      </c>
      <c r="C263" s="135" t="str">
        <f t="shared" si="51"/>
        <v>Retail</v>
      </c>
      <c r="D263"/>
      <c r="E263" s="10">
        <f t="shared" si="52"/>
        <v>11100</v>
      </c>
      <c r="F263" s="10">
        <f t="shared" si="52"/>
        <v>7320</v>
      </c>
      <c r="G263" s="10">
        <f t="shared" si="52"/>
        <v>0</v>
      </c>
      <c r="H263" s="10">
        <f t="shared" si="52"/>
        <v>0</v>
      </c>
      <c r="I263" s="10">
        <f t="shared" si="52"/>
        <v>0</v>
      </c>
      <c r="J263" s="10">
        <f t="shared" si="52"/>
        <v>0</v>
      </c>
      <c r="K263" s="10">
        <f t="shared" si="52"/>
        <v>0</v>
      </c>
    </row>
    <row r="264" spans="1:11" x14ac:dyDescent="0.5">
      <c r="A264" s="135" t="str">
        <f t="shared" si="51"/>
        <v>CCC</v>
      </c>
      <c r="B264" s="135" t="str">
        <f t="shared" si="51"/>
        <v>CC Corporation</v>
      </c>
      <c r="C264" s="135" t="str">
        <f t="shared" si="51"/>
        <v>Industrial</v>
      </c>
      <c r="D264"/>
      <c r="E264" s="10">
        <f t="shared" si="52"/>
        <v>0</v>
      </c>
      <c r="F264" s="10">
        <f t="shared" si="52"/>
        <v>0</v>
      </c>
      <c r="G264" s="10">
        <f t="shared" si="52"/>
        <v>-4075</v>
      </c>
      <c r="H264" s="10">
        <f t="shared" si="52"/>
        <v>0</v>
      </c>
      <c r="I264" s="10">
        <f t="shared" si="52"/>
        <v>-4110</v>
      </c>
      <c r="J264" s="10">
        <f t="shared" si="52"/>
        <v>0</v>
      </c>
      <c r="K264" s="10">
        <f t="shared" si="52"/>
        <v>32000</v>
      </c>
    </row>
    <row r="265" spans="1:11" x14ac:dyDescent="0.5">
      <c r="A265" s="135" t="str">
        <f t="shared" si="51"/>
        <v>DDD</v>
      </c>
      <c r="B265" s="135" t="str">
        <f t="shared" si="51"/>
        <v>Delta D Inc.</v>
      </c>
      <c r="C265" s="135" t="str">
        <f t="shared" si="51"/>
        <v>Hospitality</v>
      </c>
      <c r="D265"/>
      <c r="E265" s="10">
        <f t="shared" si="52"/>
        <v>0</v>
      </c>
      <c r="F265" s="10">
        <f t="shared" si="52"/>
        <v>-10200</v>
      </c>
      <c r="G265" s="10">
        <f t="shared" si="52"/>
        <v>0</v>
      </c>
      <c r="H265" s="10">
        <f t="shared" si="52"/>
        <v>0</v>
      </c>
      <c r="I265" s="10">
        <f t="shared" si="52"/>
        <v>0</v>
      </c>
      <c r="J265" s="10">
        <f t="shared" si="52"/>
        <v>0</v>
      </c>
      <c r="K265" s="10">
        <f t="shared" si="52"/>
        <v>51350</v>
      </c>
    </row>
    <row r="266" spans="1:11" x14ac:dyDescent="0.5">
      <c r="A266" s="135" t="str">
        <f t="shared" si="51"/>
        <v>EEE</v>
      </c>
      <c r="B266" s="135" t="str">
        <f t="shared" si="51"/>
        <v>Epsilon Inc</v>
      </c>
      <c r="C266" s="135" t="str">
        <f t="shared" si="51"/>
        <v>Technology</v>
      </c>
      <c r="D266"/>
      <c r="E266" s="10">
        <f t="shared" si="52"/>
        <v>-4825</v>
      </c>
      <c r="F266" s="10">
        <f t="shared" si="52"/>
        <v>0</v>
      </c>
      <c r="G266" s="10">
        <f t="shared" si="52"/>
        <v>0</v>
      </c>
      <c r="H266" s="10">
        <f t="shared" si="52"/>
        <v>0</v>
      </c>
      <c r="I266" s="10">
        <f t="shared" si="52"/>
        <v>4975</v>
      </c>
      <c r="J266" s="10">
        <f t="shared" si="52"/>
        <v>0</v>
      </c>
      <c r="K266" s="10">
        <f t="shared" si="52"/>
        <v>0</v>
      </c>
    </row>
    <row r="267" spans="1:11" x14ac:dyDescent="0.5">
      <c r="A267" s="135" t="str">
        <f t="shared" si="51"/>
        <v>FFF</v>
      </c>
      <c r="B267" s="135" t="str">
        <f t="shared" si="51"/>
        <v>Fusbol For Friends</v>
      </c>
      <c r="C267" s="135" t="str">
        <f t="shared" si="51"/>
        <v>Retail</v>
      </c>
      <c r="D267"/>
      <c r="E267" s="10">
        <f t="shared" si="52"/>
        <v>-3400</v>
      </c>
      <c r="F267" s="10">
        <f t="shared" si="52"/>
        <v>0</v>
      </c>
      <c r="G267" s="10">
        <f t="shared" si="52"/>
        <v>0</v>
      </c>
      <c r="H267" s="10">
        <f t="shared" si="52"/>
        <v>0</v>
      </c>
      <c r="I267" s="10">
        <f t="shared" si="52"/>
        <v>0</v>
      </c>
      <c r="J267" s="10">
        <f t="shared" si="52"/>
        <v>3550</v>
      </c>
      <c r="K267" s="10">
        <f t="shared" si="52"/>
        <v>0</v>
      </c>
    </row>
    <row r="268" spans="1:11" ht="14.7" thickBot="1" x14ac:dyDescent="0.55000000000000004">
      <c r="A268" s="70" t="s">
        <v>178</v>
      </c>
      <c r="B268"/>
      <c r="C268" s="75"/>
      <c r="D268" s="142">
        <f t="shared" ref="D268:K268" si="53">SUM(D262:D267)</f>
        <v>0</v>
      </c>
      <c r="E268" s="142">
        <f t="shared" si="53"/>
        <v>2875</v>
      </c>
      <c r="F268" s="142">
        <f t="shared" si="53"/>
        <v>-2880</v>
      </c>
      <c r="G268" s="142">
        <f t="shared" si="53"/>
        <v>-4075</v>
      </c>
      <c r="H268" s="142">
        <f t="shared" si="53"/>
        <v>0</v>
      </c>
      <c r="I268" s="142">
        <f t="shared" si="53"/>
        <v>865</v>
      </c>
      <c r="J268" s="142">
        <f t="shared" si="53"/>
        <v>3550</v>
      </c>
      <c r="K268" s="142">
        <f t="shared" si="53"/>
        <v>97000</v>
      </c>
    </row>
    <row r="269" spans="1:11" ht="14.7" thickTop="1" x14ac:dyDescent="0.5">
      <c r="B269"/>
      <c r="C269" s="75"/>
      <c r="D269"/>
      <c r="I269"/>
    </row>
    <row r="270" spans="1:11" x14ac:dyDescent="0.5">
      <c r="B270"/>
      <c r="D270"/>
      <c r="I270"/>
    </row>
    <row r="271" spans="1:11" x14ac:dyDescent="0.5">
      <c r="A271" s="82" t="s">
        <v>179</v>
      </c>
      <c r="B271"/>
      <c r="C271" s="75"/>
      <c r="D271"/>
      <c r="I271"/>
    </row>
    <row r="272" spans="1:11" s="68" customFormat="1" ht="25.45" customHeight="1" thickBot="1" x14ac:dyDescent="0.55000000000000004">
      <c r="A272" s="162" t="s">
        <v>59</v>
      </c>
      <c r="B272" s="162" t="s">
        <v>60</v>
      </c>
      <c r="C272" s="162" t="s">
        <v>61</v>
      </c>
      <c r="D272" s="114" t="str">
        <f t="shared" ref="D272:K272" si="54">+D261</f>
        <v>June 1
20x1</v>
      </c>
      <c r="E272" s="114" t="str">
        <f t="shared" si="54"/>
        <v>July 1
20x1</v>
      </c>
      <c r="F272" s="114" t="str">
        <f t="shared" si="54"/>
        <v>Aug 1
20x1</v>
      </c>
      <c r="G272" s="114" t="str">
        <f t="shared" si="54"/>
        <v>Sep 1
20x1</v>
      </c>
      <c r="H272" s="114" t="str">
        <f t="shared" si="54"/>
        <v>Oct 1
20x1</v>
      </c>
      <c r="I272" s="114" t="str">
        <f t="shared" si="54"/>
        <v>Nov 1
20x1</v>
      </c>
      <c r="J272" s="114" t="str">
        <f t="shared" si="54"/>
        <v>Dec 1
20x1</v>
      </c>
      <c r="K272" s="114" t="str">
        <f t="shared" si="54"/>
        <v>Jan 2
20x2</v>
      </c>
    </row>
    <row r="273" spans="1:12" ht="14.7" thickTop="1" x14ac:dyDescent="0.5">
      <c r="A273" s="135" t="str">
        <f t="shared" ref="A273:C278" si="55">+A262</f>
        <v>AAA</v>
      </c>
      <c r="B273" s="135" t="str">
        <f t="shared" si="55"/>
        <v>Alpha Inc.</v>
      </c>
      <c r="C273" s="135" t="str">
        <f t="shared" si="55"/>
        <v>Healthcare</v>
      </c>
      <c r="D273" s="10">
        <f t="shared" ref="D273:K278" si="56">+D244*D234</f>
        <v>13350</v>
      </c>
      <c r="E273" s="10">
        <f t="shared" si="56"/>
        <v>13395</v>
      </c>
      <c r="F273" s="10">
        <f t="shared" si="56"/>
        <v>13425</v>
      </c>
      <c r="G273" s="10">
        <f t="shared" si="56"/>
        <v>13575</v>
      </c>
      <c r="H273" s="10">
        <f t="shared" si="56"/>
        <v>13650</v>
      </c>
      <c r="I273" s="10">
        <f t="shared" si="56"/>
        <v>13680</v>
      </c>
      <c r="J273" s="10">
        <f t="shared" si="56"/>
        <v>13725</v>
      </c>
      <c r="K273" s="10">
        <f t="shared" si="56"/>
        <v>0</v>
      </c>
    </row>
    <row r="274" spans="1:12" x14ac:dyDescent="0.5">
      <c r="A274" s="135" t="str">
        <f t="shared" si="55"/>
        <v>BBB</v>
      </c>
      <c r="B274" s="135" t="str">
        <f t="shared" si="55"/>
        <v>Beta Inc.</v>
      </c>
      <c r="C274" s="135" t="str">
        <f t="shared" si="55"/>
        <v>Retail</v>
      </c>
      <c r="D274" s="10">
        <f t="shared" si="56"/>
        <v>18200</v>
      </c>
      <c r="E274" s="10">
        <f t="shared" si="56"/>
        <v>7400</v>
      </c>
      <c r="F274" s="10">
        <f t="shared" si="56"/>
        <v>0</v>
      </c>
      <c r="G274" s="10">
        <f t="shared" si="56"/>
        <v>0</v>
      </c>
      <c r="H274" s="10">
        <f t="shared" si="56"/>
        <v>0</v>
      </c>
      <c r="I274" s="10">
        <f t="shared" si="56"/>
        <v>0</v>
      </c>
      <c r="J274" s="10">
        <f t="shared" si="56"/>
        <v>0</v>
      </c>
      <c r="K274" s="10">
        <f t="shared" si="56"/>
        <v>0</v>
      </c>
    </row>
    <row r="275" spans="1:12" x14ac:dyDescent="0.5">
      <c r="A275" s="135" t="str">
        <f t="shared" si="55"/>
        <v>CCC</v>
      </c>
      <c r="B275" s="135" t="str">
        <f t="shared" si="55"/>
        <v>CC Corporation</v>
      </c>
      <c r="C275" s="135" t="str">
        <f t="shared" si="55"/>
        <v>Industrial</v>
      </c>
      <c r="D275" s="10">
        <f t="shared" si="56"/>
        <v>23700</v>
      </c>
      <c r="E275" s="10">
        <f t="shared" si="56"/>
        <v>24000</v>
      </c>
      <c r="F275" s="10">
        <f t="shared" si="56"/>
        <v>24300</v>
      </c>
      <c r="G275" s="10">
        <f t="shared" si="56"/>
        <v>28525</v>
      </c>
      <c r="H275" s="10">
        <f t="shared" si="56"/>
        <v>28700</v>
      </c>
      <c r="I275" s="10">
        <f t="shared" si="56"/>
        <v>32880</v>
      </c>
      <c r="J275" s="10">
        <f t="shared" si="56"/>
        <v>32600</v>
      </c>
      <c r="K275" s="10">
        <f t="shared" si="56"/>
        <v>0</v>
      </c>
    </row>
    <row r="276" spans="1:12" x14ac:dyDescent="0.5">
      <c r="A276" s="135" t="str">
        <f t="shared" si="55"/>
        <v>DDD</v>
      </c>
      <c r="B276" s="135" t="str">
        <f t="shared" si="55"/>
        <v>Delta D Inc.</v>
      </c>
      <c r="C276" s="135" t="str">
        <f t="shared" si="55"/>
        <v>Hospitality</v>
      </c>
      <c r="D276" s="10">
        <f t="shared" si="56"/>
        <v>40400</v>
      </c>
      <c r="E276" s="10">
        <f t="shared" si="56"/>
        <v>40600</v>
      </c>
      <c r="F276" s="10">
        <f t="shared" si="56"/>
        <v>51000</v>
      </c>
      <c r="G276" s="10">
        <f t="shared" si="56"/>
        <v>51100</v>
      </c>
      <c r="H276" s="10">
        <f t="shared" si="56"/>
        <v>51300</v>
      </c>
      <c r="I276" s="10">
        <f t="shared" si="56"/>
        <v>51250</v>
      </c>
      <c r="J276" s="10">
        <f t="shared" si="56"/>
        <v>51000</v>
      </c>
      <c r="K276" s="10">
        <f t="shared" si="56"/>
        <v>0</v>
      </c>
    </row>
    <row r="277" spans="1:12" x14ac:dyDescent="0.5">
      <c r="A277" s="135" t="str">
        <f t="shared" si="55"/>
        <v>EEE</v>
      </c>
      <c r="B277" s="135" t="str">
        <f t="shared" si="55"/>
        <v>Epsilon Inc</v>
      </c>
      <c r="C277" s="135" t="str">
        <f t="shared" si="55"/>
        <v>Technology</v>
      </c>
      <c r="D277" s="10">
        <f t="shared" si="56"/>
        <v>0</v>
      </c>
      <c r="E277" s="10">
        <f t="shared" si="56"/>
        <v>4825</v>
      </c>
      <c r="F277" s="10">
        <f t="shared" si="56"/>
        <v>4875</v>
      </c>
      <c r="G277" s="10">
        <f t="shared" si="56"/>
        <v>4900</v>
      </c>
      <c r="H277" s="10">
        <f t="shared" si="56"/>
        <v>4910</v>
      </c>
      <c r="I277" s="10">
        <f t="shared" si="56"/>
        <v>0</v>
      </c>
      <c r="J277" s="10">
        <f t="shared" si="56"/>
        <v>0</v>
      </c>
      <c r="K277" s="10">
        <f t="shared" si="56"/>
        <v>0</v>
      </c>
    </row>
    <row r="278" spans="1:12" x14ac:dyDescent="0.5">
      <c r="A278" s="135" t="str">
        <f t="shared" si="55"/>
        <v>FFF</v>
      </c>
      <c r="B278" s="135" t="str">
        <f t="shared" si="55"/>
        <v>Fusbol For Friends</v>
      </c>
      <c r="C278" s="135" t="str">
        <f t="shared" si="55"/>
        <v>Retail</v>
      </c>
      <c r="D278" s="10">
        <f t="shared" si="56"/>
        <v>0</v>
      </c>
      <c r="E278" s="10">
        <f t="shared" si="56"/>
        <v>3400</v>
      </c>
      <c r="F278" s="10">
        <f t="shared" si="56"/>
        <v>3435</v>
      </c>
      <c r="G278" s="10">
        <f t="shared" si="56"/>
        <v>3475</v>
      </c>
      <c r="H278" s="10">
        <f t="shared" si="56"/>
        <v>3550</v>
      </c>
      <c r="I278" s="10">
        <f t="shared" si="56"/>
        <v>3600</v>
      </c>
      <c r="J278" s="10">
        <f t="shared" si="56"/>
        <v>0</v>
      </c>
      <c r="K278" s="10">
        <f t="shared" si="56"/>
        <v>0</v>
      </c>
    </row>
    <row r="279" spans="1:12" ht="14.7" thickBot="1" x14ac:dyDescent="0.55000000000000004">
      <c r="A279" s="70" t="s">
        <v>104</v>
      </c>
      <c r="B279"/>
      <c r="C279" s="75"/>
      <c r="D279" s="142">
        <f t="shared" ref="D279:K279" si="57">SUM(D273:D278)</f>
        <v>95650</v>
      </c>
      <c r="E279" s="142">
        <f t="shared" si="57"/>
        <v>93620</v>
      </c>
      <c r="F279" s="142">
        <f t="shared" si="57"/>
        <v>97035</v>
      </c>
      <c r="G279" s="142">
        <f t="shared" si="57"/>
        <v>101575</v>
      </c>
      <c r="H279" s="142">
        <f t="shared" si="57"/>
        <v>102110</v>
      </c>
      <c r="I279" s="142">
        <f t="shared" si="57"/>
        <v>101410</v>
      </c>
      <c r="J279" s="142">
        <f t="shared" si="57"/>
        <v>97325</v>
      </c>
      <c r="K279" s="142">
        <f t="shared" si="57"/>
        <v>0</v>
      </c>
    </row>
    <row r="280" spans="1:12" ht="14.7" thickTop="1" x14ac:dyDescent="0.5">
      <c r="A280" s="70"/>
      <c r="B280"/>
      <c r="C280" s="75"/>
      <c r="D280" s="143"/>
      <c r="E280" s="143"/>
      <c r="F280" s="143"/>
      <c r="G280" s="143"/>
      <c r="H280" s="143"/>
      <c r="I280" s="143"/>
      <c r="J280" s="143"/>
      <c r="K280" s="143"/>
    </row>
    <row r="281" spans="1:12" ht="14.7" thickBot="1" x14ac:dyDescent="0.55000000000000004">
      <c r="A281" s="82" t="s">
        <v>183</v>
      </c>
      <c r="B281"/>
      <c r="C281" s="75"/>
      <c r="D281" s="76"/>
      <c r="E281" s="76"/>
      <c r="F281" s="76"/>
      <c r="G281" s="76"/>
      <c r="H281" s="76"/>
      <c r="I281" s="76"/>
      <c r="J281" s="76"/>
      <c r="K281" s="76"/>
    </row>
    <row r="282" spans="1:12" ht="14.7" thickBot="1" x14ac:dyDescent="0.55000000000000004">
      <c r="A282" s="78" t="s">
        <v>59</v>
      </c>
      <c r="B282" s="77" t="s">
        <v>184</v>
      </c>
      <c r="C282" s="78"/>
      <c r="D282" s="79">
        <f>+'Portfolio Management'!E408</f>
        <v>43252</v>
      </c>
      <c r="E282" s="79">
        <f>+'Portfolio Management'!F408</f>
        <v>43282</v>
      </c>
      <c r="F282" s="79">
        <f>+'Portfolio Management'!G408</f>
        <v>43313</v>
      </c>
      <c r="G282" s="79">
        <f>+'Portfolio Management'!H408</f>
        <v>43344</v>
      </c>
      <c r="H282" s="79">
        <f>+'Portfolio Management'!I408</f>
        <v>43374</v>
      </c>
      <c r="I282" s="79">
        <f>+'Portfolio Management'!J408</f>
        <v>43405</v>
      </c>
      <c r="J282" s="79">
        <f>+'Portfolio Management'!K408</f>
        <v>43435</v>
      </c>
      <c r="K282" s="79">
        <f>+'Portfolio Management'!L408</f>
        <v>43466</v>
      </c>
      <c r="L282" s="148" t="s">
        <v>174</v>
      </c>
    </row>
    <row r="283" spans="1:12" ht="14.7" thickTop="1" x14ac:dyDescent="0.5">
      <c r="A283" s="135" t="str">
        <f>+'Portfolio Management'!A409</f>
        <v>AAA</v>
      </c>
      <c r="B283" s="149">
        <f>+'Portfolio Management'!I359</f>
        <v>42781</v>
      </c>
      <c r="C283" s="149">
        <f>+'Portfolio Management'!J359</f>
        <v>42962</v>
      </c>
      <c r="D283" s="48"/>
      <c r="E283" s="48"/>
      <c r="F283" s="48"/>
      <c r="G283" s="48">
        <f>+'Portfolio Management'!H359*'Portfolio Management'!D359/2</f>
        <v>26.25</v>
      </c>
      <c r="H283" s="48"/>
      <c r="I283" s="48"/>
      <c r="J283" s="48"/>
      <c r="K283" s="48"/>
      <c r="L283" s="150">
        <f>SUM(D283:K283)*'Portfolio Management'!H421</f>
        <v>3.5081836081713016</v>
      </c>
    </row>
    <row r="284" spans="1:12" x14ac:dyDescent="0.5">
      <c r="A284" s="135" t="str">
        <f>+'Portfolio Management'!A410</f>
        <v>BBB</v>
      </c>
      <c r="B284" s="149">
        <f>+'Portfolio Management'!I360</f>
        <v>42736</v>
      </c>
      <c r="C284" s="149">
        <f>+'Portfolio Management'!J360</f>
        <v>42917</v>
      </c>
      <c r="D284" s="48"/>
      <c r="E284" s="48"/>
      <c r="F284" s="48">
        <f>+'Portfolio Management'!H360*'Portfolio Management'!D360/2</f>
        <v>22.5</v>
      </c>
      <c r="G284" s="48"/>
      <c r="H284" s="48"/>
      <c r="I284" s="48"/>
      <c r="J284" s="48"/>
      <c r="K284" s="48"/>
      <c r="L284" s="150">
        <f>SUM(D284:K284)*'Portfolio Management'!H422</f>
        <v>0</v>
      </c>
    </row>
    <row r="285" spans="1:12" x14ac:dyDescent="0.5">
      <c r="A285" s="135" t="str">
        <f>+'Portfolio Management'!A411</f>
        <v>CCC</v>
      </c>
      <c r="B285" s="149">
        <f>+'Portfolio Management'!I361</f>
        <v>42809</v>
      </c>
      <c r="C285" s="149">
        <f>+'Portfolio Management'!J361</f>
        <v>42993</v>
      </c>
      <c r="D285" s="48"/>
      <c r="E285" s="48"/>
      <c r="F285" s="48"/>
      <c r="G285" s="48"/>
      <c r="H285" s="48">
        <f>+'Portfolio Management'!H361*'Portfolio Management'!D361/2</f>
        <v>35</v>
      </c>
      <c r="I285" s="48"/>
      <c r="J285" s="48"/>
      <c r="K285" s="48"/>
      <c r="L285" s="150">
        <f>SUM(D285:K285)*'Portfolio Management'!H423</f>
        <v>9.8289441299532374</v>
      </c>
    </row>
    <row r="286" spans="1:12" x14ac:dyDescent="0.5">
      <c r="A286" s="135" t="str">
        <f>+'Portfolio Management'!A412</f>
        <v>DDD</v>
      </c>
      <c r="B286" s="149">
        <f>+'Portfolio Management'!I362</f>
        <v>42750</v>
      </c>
      <c r="C286" s="149">
        <f>+'Portfolio Management'!J362</f>
        <v>42931</v>
      </c>
      <c r="D286" s="48"/>
      <c r="E286" s="48"/>
      <c r="F286" s="48">
        <f>+'Portfolio Management'!H362*'Portfolio Management'!D362/2</f>
        <v>17.5</v>
      </c>
      <c r="G286" s="48"/>
      <c r="H286" s="48"/>
      <c r="I286" s="48"/>
      <c r="J286" s="48"/>
      <c r="K286" s="48"/>
      <c r="L286" s="150">
        <f>SUM(D286:K286)*'Portfolio Management'!H424</f>
        <v>8.8038395274427756</v>
      </c>
    </row>
    <row r="287" spans="1:12" x14ac:dyDescent="0.5">
      <c r="A287" s="135" t="str">
        <f>+'Portfolio Management'!A413</f>
        <v>EEE</v>
      </c>
      <c r="B287" s="149">
        <f>+'Portfolio Management'!I363</f>
        <v>42826</v>
      </c>
      <c r="C287" s="149">
        <f>+'Portfolio Management'!J363</f>
        <v>43009</v>
      </c>
      <c r="D287" s="48"/>
      <c r="E287" s="48"/>
      <c r="F287" s="48"/>
      <c r="G287" s="48"/>
      <c r="H287" s="48">
        <f>'Portfolio Management'!H363*'Portfolio Management'!D363/2</f>
        <v>23.75</v>
      </c>
      <c r="I287" s="48"/>
      <c r="J287" s="48"/>
      <c r="K287" s="48"/>
      <c r="L287" s="150">
        <f>SUM(D287:K287)*'Portfolio Management'!H425</f>
        <v>1.1457051439822792</v>
      </c>
    </row>
    <row r="288" spans="1:12" x14ac:dyDescent="0.5">
      <c r="A288" s="135" t="str">
        <f>+'Portfolio Management'!A414</f>
        <v>FFF</v>
      </c>
      <c r="B288" s="149">
        <f>+'Portfolio Management'!I364</f>
        <v>42781</v>
      </c>
      <c r="C288" s="149">
        <f>+'Portfolio Management'!J364</f>
        <v>42962</v>
      </c>
      <c r="D288" s="48"/>
      <c r="E288" s="48"/>
      <c r="F288" s="48"/>
      <c r="G288" s="48">
        <f>+'Portfolio Management'!H364*'Portfolio Management'!D364/2</f>
        <v>40</v>
      </c>
      <c r="H288" s="48"/>
      <c r="I288" s="48"/>
      <c r="J288" s="48"/>
      <c r="K288" s="48"/>
      <c r="L288" s="150">
        <f>SUM(D288:K288)*'Portfolio Management'!H426</f>
        <v>1.3684469603741078</v>
      </c>
    </row>
    <row r="289" spans="1:12" ht="14.7" thickBot="1" x14ac:dyDescent="0.55000000000000004">
      <c r="A289" s="117"/>
      <c r="B289" s="171"/>
      <c r="C289" s="172"/>
      <c r="D289" s="173">
        <f t="shared" ref="D289:L289" si="58">SUM(D283:D288)</f>
        <v>0</v>
      </c>
      <c r="E289" s="173">
        <f t="shared" si="58"/>
        <v>0</v>
      </c>
      <c r="F289" s="173">
        <f t="shared" si="58"/>
        <v>40</v>
      </c>
      <c r="G289" s="173">
        <f t="shared" si="58"/>
        <v>66.25</v>
      </c>
      <c r="H289" s="173">
        <f t="shared" si="58"/>
        <v>58.75</v>
      </c>
      <c r="I289" s="173">
        <f t="shared" si="58"/>
        <v>0</v>
      </c>
      <c r="J289" s="173">
        <f t="shared" si="58"/>
        <v>0</v>
      </c>
      <c r="K289" s="173">
        <f t="shared" si="58"/>
        <v>0</v>
      </c>
      <c r="L289" s="174">
        <f t="shared" si="58"/>
        <v>24.655119369923703</v>
      </c>
    </row>
    <row r="290" spans="1:12" ht="15" thickTop="1" thickBot="1" x14ac:dyDescent="0.55000000000000004">
      <c r="B290" s="151"/>
      <c r="C290" s="75"/>
      <c r="D290"/>
      <c r="I290"/>
      <c r="K290" s="70" t="s">
        <v>185</v>
      </c>
      <c r="L290" s="170">
        <f>+L289*2</f>
        <v>49.310238739847406</v>
      </c>
    </row>
    <row r="291" spans="1:12" x14ac:dyDescent="0.5">
      <c r="A291" s="82" t="s">
        <v>183</v>
      </c>
      <c r="B291"/>
      <c r="C291" s="75"/>
      <c r="D291" s="76">
        <v>0</v>
      </c>
      <c r="E291" s="76">
        <v>1</v>
      </c>
      <c r="F291" s="76">
        <v>2</v>
      </c>
      <c r="G291" s="76">
        <v>3</v>
      </c>
      <c r="H291" s="76">
        <v>4</v>
      </c>
      <c r="I291" s="76">
        <v>5</v>
      </c>
      <c r="J291" s="76">
        <v>6</v>
      </c>
      <c r="K291" s="76">
        <v>7</v>
      </c>
    </row>
    <row r="292" spans="1:12" ht="14.7" thickBot="1" x14ac:dyDescent="0.55000000000000004">
      <c r="A292" s="78" t="s">
        <v>59</v>
      </c>
      <c r="B292" s="77" t="s">
        <v>184</v>
      </c>
      <c r="C292" s="78"/>
      <c r="D292" s="79">
        <f t="shared" ref="D292:K292" si="59">+D282</f>
        <v>43252</v>
      </c>
      <c r="E292" s="79">
        <f t="shared" si="59"/>
        <v>43282</v>
      </c>
      <c r="F292" s="79">
        <f t="shared" si="59"/>
        <v>43313</v>
      </c>
      <c r="G292" s="79">
        <f t="shared" si="59"/>
        <v>43344</v>
      </c>
      <c r="H292" s="79">
        <f t="shared" si="59"/>
        <v>43374</v>
      </c>
      <c r="I292" s="79">
        <f t="shared" si="59"/>
        <v>43405</v>
      </c>
      <c r="J292" s="79">
        <f t="shared" si="59"/>
        <v>43435</v>
      </c>
      <c r="K292" s="79">
        <f t="shared" si="59"/>
        <v>43466</v>
      </c>
    </row>
    <row r="293" spans="1:12" ht="14.7" thickTop="1" x14ac:dyDescent="0.5">
      <c r="A293" s="135" t="str">
        <f t="shared" ref="A293:C298" si="60">+A283</f>
        <v>AAA</v>
      </c>
      <c r="B293" s="149">
        <f t="shared" si="60"/>
        <v>42781</v>
      </c>
      <c r="C293" s="149">
        <f t="shared" si="60"/>
        <v>42962</v>
      </c>
      <c r="D293"/>
      <c r="E293" s="152">
        <f>+E283*'Portfolio Management'!F381</f>
        <v>0</v>
      </c>
      <c r="F293" s="152">
        <f>+F283*'Portfolio Management'!G381</f>
        <v>0</v>
      </c>
      <c r="G293" s="152">
        <f>+G283*'Portfolio Management'!H381</f>
        <v>393.75</v>
      </c>
      <c r="H293" s="152">
        <f>+H283*'Portfolio Management'!I381</f>
        <v>0</v>
      </c>
      <c r="I293" s="152">
        <f>+I283*'Portfolio Management'!J381</f>
        <v>0</v>
      </c>
      <c r="J293" s="152">
        <f>+J283*'Portfolio Management'!K381</f>
        <v>0</v>
      </c>
      <c r="K293" s="152">
        <f>+K283*'Portfolio Management'!L381</f>
        <v>0</v>
      </c>
    </row>
    <row r="294" spans="1:12" x14ac:dyDescent="0.5">
      <c r="A294" s="135" t="str">
        <f t="shared" si="60"/>
        <v>BBB</v>
      </c>
      <c r="B294" s="149">
        <f t="shared" si="60"/>
        <v>42736</v>
      </c>
      <c r="C294" s="149">
        <f t="shared" si="60"/>
        <v>42917</v>
      </c>
      <c r="D294"/>
      <c r="E294" s="152">
        <f>+E284*'Portfolio Management'!F382</f>
        <v>0</v>
      </c>
      <c r="F294" s="152">
        <f>+F284*'Portfolio Management'!G382</f>
        <v>0</v>
      </c>
      <c r="G294" s="152">
        <f>+G284*'Portfolio Management'!H382</f>
        <v>0</v>
      </c>
      <c r="H294" s="152">
        <f>+H284*'Portfolio Management'!I382</f>
        <v>0</v>
      </c>
      <c r="I294" s="152">
        <f>+I284*'Portfolio Management'!J382</f>
        <v>0</v>
      </c>
      <c r="J294" s="152">
        <f>+J284*'Portfolio Management'!K382</f>
        <v>0</v>
      </c>
      <c r="K294" s="152">
        <f>+K284*'Portfolio Management'!L382</f>
        <v>0</v>
      </c>
    </row>
    <row r="295" spans="1:12" x14ac:dyDescent="0.5">
      <c r="A295" s="135" t="str">
        <f t="shared" si="60"/>
        <v>CCC</v>
      </c>
      <c r="B295" s="149">
        <f t="shared" si="60"/>
        <v>42809</v>
      </c>
      <c r="C295" s="149">
        <f t="shared" si="60"/>
        <v>42993</v>
      </c>
      <c r="D295"/>
      <c r="E295" s="152">
        <f>+E285*'Portfolio Management'!F383</f>
        <v>0</v>
      </c>
      <c r="F295" s="152">
        <f>+F285*'Portfolio Management'!G383</f>
        <v>0</v>
      </c>
      <c r="G295" s="152">
        <f>+G285*'Portfolio Management'!H383</f>
        <v>0</v>
      </c>
      <c r="H295" s="152">
        <f>+H285*'Portfolio Management'!I383</f>
        <v>1225</v>
      </c>
      <c r="I295" s="152">
        <f>+I285*'Portfolio Management'!J383</f>
        <v>0</v>
      </c>
      <c r="J295" s="152">
        <f>+J285*'Portfolio Management'!K383</f>
        <v>0</v>
      </c>
      <c r="K295" s="152">
        <f>+K285*'Portfolio Management'!L383</f>
        <v>0</v>
      </c>
    </row>
    <row r="296" spans="1:12" x14ac:dyDescent="0.5">
      <c r="A296" s="135" t="str">
        <f t="shared" si="60"/>
        <v>DDD</v>
      </c>
      <c r="B296" s="149">
        <f t="shared" si="60"/>
        <v>42750</v>
      </c>
      <c r="C296" s="149">
        <f t="shared" si="60"/>
        <v>42931</v>
      </c>
      <c r="D296"/>
      <c r="E296" s="152">
        <f>+E286*'Portfolio Management'!F384</f>
        <v>0</v>
      </c>
      <c r="F296" s="152">
        <f>+F286*'Portfolio Management'!G384</f>
        <v>875</v>
      </c>
      <c r="G296" s="152">
        <f>+G286*'Portfolio Management'!H384</f>
        <v>0</v>
      </c>
      <c r="H296" s="152">
        <f>+H286*'Portfolio Management'!I384</f>
        <v>0</v>
      </c>
      <c r="I296" s="152">
        <f>+I286*'Portfolio Management'!J384</f>
        <v>0</v>
      </c>
      <c r="J296" s="152">
        <f>+J286*'Portfolio Management'!K384</f>
        <v>0</v>
      </c>
      <c r="K296" s="152">
        <f>+K286*'Portfolio Management'!L384</f>
        <v>0</v>
      </c>
    </row>
    <row r="297" spans="1:12" x14ac:dyDescent="0.5">
      <c r="A297" s="135" t="str">
        <f t="shared" si="60"/>
        <v>EEE</v>
      </c>
      <c r="B297" s="149">
        <f t="shared" si="60"/>
        <v>42826</v>
      </c>
      <c r="C297" s="149">
        <f t="shared" si="60"/>
        <v>43009</v>
      </c>
      <c r="D297"/>
      <c r="E297" s="152">
        <f>+E287*'Portfolio Management'!F385</f>
        <v>0</v>
      </c>
      <c r="F297" s="152">
        <f>+F287*'Portfolio Management'!G385</f>
        <v>0</v>
      </c>
      <c r="G297" s="152">
        <f>+G287*'Portfolio Management'!H385</f>
        <v>0</v>
      </c>
      <c r="H297" s="152">
        <f>+H287*'Portfolio Management'!I385</f>
        <v>118.75</v>
      </c>
      <c r="I297" s="152">
        <f>+I287*'Portfolio Management'!J385</f>
        <v>0</v>
      </c>
      <c r="J297" s="152">
        <f>+J287*'Portfolio Management'!K385</f>
        <v>0</v>
      </c>
      <c r="K297" s="152">
        <f>+K287*'Portfolio Management'!L385</f>
        <v>0</v>
      </c>
    </row>
    <row r="298" spans="1:12" x14ac:dyDescent="0.5">
      <c r="A298" s="135" t="str">
        <f t="shared" si="60"/>
        <v>FFF</v>
      </c>
      <c r="B298" s="149">
        <f t="shared" si="60"/>
        <v>42781</v>
      </c>
      <c r="C298" s="149">
        <f t="shared" si="60"/>
        <v>42962</v>
      </c>
      <c r="D298"/>
      <c r="E298" s="153"/>
      <c r="F298" s="152">
        <f>+F288*'Portfolio Management'!G386</f>
        <v>0</v>
      </c>
      <c r="G298" s="152">
        <f>+G288*'Portfolio Management'!H386</f>
        <v>200</v>
      </c>
      <c r="H298" s="152">
        <f>+H288*'Portfolio Management'!I386</f>
        <v>0</v>
      </c>
      <c r="I298" s="152">
        <f>+I288*'Portfolio Management'!J386</f>
        <v>0</v>
      </c>
      <c r="J298" s="152">
        <f>+J288*'Portfolio Management'!K386</f>
        <v>0</v>
      </c>
      <c r="K298" s="152">
        <f>+K288*'Portfolio Management'!L386</f>
        <v>0</v>
      </c>
    </row>
    <row r="299" spans="1:12" ht="14.7" thickBot="1" x14ac:dyDescent="0.55000000000000004">
      <c r="A299" s="175" t="s">
        <v>104</v>
      </c>
      <c r="B299" s="176"/>
      <c r="C299" s="176"/>
      <c r="D299" s="117"/>
      <c r="E299" s="177">
        <f t="shared" ref="E299:K299" si="61">SUM(E293:E298)</f>
        <v>0</v>
      </c>
      <c r="F299" s="177">
        <f t="shared" si="61"/>
        <v>875</v>
      </c>
      <c r="G299" s="177">
        <f t="shared" si="61"/>
        <v>593.75</v>
      </c>
      <c r="H299" s="154">
        <f t="shared" si="61"/>
        <v>1343.75</v>
      </c>
      <c r="I299" s="154">
        <f t="shared" si="61"/>
        <v>0</v>
      </c>
      <c r="J299" s="154">
        <f t="shared" si="61"/>
        <v>0</v>
      </c>
      <c r="K299" s="154">
        <f t="shared" si="61"/>
        <v>0</v>
      </c>
    </row>
    <row r="300" spans="1:12" ht="14.7" thickTop="1" x14ac:dyDescent="0.5">
      <c r="B300" s="151"/>
      <c r="C300" s="75"/>
      <c r="D300"/>
      <c r="I300"/>
    </row>
    <row r="301" spans="1:12" x14ac:dyDescent="0.5">
      <c r="A301" s="82" t="s">
        <v>186</v>
      </c>
      <c r="B301" s="151"/>
      <c r="C301" s="75"/>
      <c r="D301"/>
      <c r="I301"/>
    </row>
    <row r="302" spans="1:12" ht="14.7" thickBot="1" x14ac:dyDescent="0.55000000000000004">
      <c r="A302" s="78" t="s">
        <v>59</v>
      </c>
      <c r="B302" s="77" t="s">
        <v>184</v>
      </c>
      <c r="C302" s="78"/>
      <c r="D302" s="79">
        <f>+'Portfolio Management'!E389</f>
        <v>43252</v>
      </c>
      <c r="E302" s="79">
        <f>+'Portfolio Management'!F389</f>
        <v>43282</v>
      </c>
      <c r="F302" s="79">
        <f>+'Portfolio Management'!G389</f>
        <v>43313</v>
      </c>
      <c r="G302" s="79">
        <f>+'Portfolio Management'!H389</f>
        <v>43344</v>
      </c>
      <c r="H302" s="79">
        <f>+'Portfolio Management'!I389</f>
        <v>43374</v>
      </c>
      <c r="I302" s="79">
        <f>+'Portfolio Management'!J389</f>
        <v>43405</v>
      </c>
      <c r="J302" s="79">
        <f>+'Portfolio Management'!K389</f>
        <v>43435</v>
      </c>
      <c r="K302" s="79">
        <f>+'Portfolio Management'!L389</f>
        <v>43466</v>
      </c>
    </row>
    <row r="303" spans="1:12" ht="14.7" thickTop="1" x14ac:dyDescent="0.5">
      <c r="A303" s="135" t="str">
        <f t="shared" ref="A303:A308" si="62">+A293</f>
        <v>AAA</v>
      </c>
      <c r="B303" s="149">
        <f t="shared" ref="B303:C308" si="63">+B283</f>
        <v>42781</v>
      </c>
      <c r="C303" s="149">
        <f t="shared" si="63"/>
        <v>42962</v>
      </c>
      <c r="D303" s="155">
        <f>14+30+30+30+1</f>
        <v>105</v>
      </c>
      <c r="E303" s="155">
        <f>+D303+30</f>
        <v>135</v>
      </c>
      <c r="F303" s="155">
        <f>+E303+30</f>
        <v>165</v>
      </c>
      <c r="G303" s="155">
        <v>15</v>
      </c>
      <c r="H303" s="155">
        <f>G303+30</f>
        <v>45</v>
      </c>
      <c r="I303" s="155">
        <f>H303+30</f>
        <v>75</v>
      </c>
      <c r="J303" s="155">
        <f>I303+30</f>
        <v>105</v>
      </c>
      <c r="K303" s="155">
        <f>J303+30</f>
        <v>135</v>
      </c>
    </row>
    <row r="304" spans="1:12" x14ac:dyDescent="0.5">
      <c r="A304" s="135" t="str">
        <f t="shared" si="62"/>
        <v>BBB</v>
      </c>
      <c r="B304" s="149">
        <f t="shared" si="63"/>
        <v>42736</v>
      </c>
      <c r="C304" s="149">
        <f t="shared" si="63"/>
        <v>42917</v>
      </c>
      <c r="D304" s="155">
        <f>29+30+30+30+30+1</f>
        <v>150</v>
      </c>
      <c r="E304" s="155">
        <v>0</v>
      </c>
      <c r="F304" s="155">
        <f>+E304+30</f>
        <v>30</v>
      </c>
      <c r="G304" s="155">
        <f>+F304+30</f>
        <v>60</v>
      </c>
      <c r="H304" s="155">
        <f>+G304+30</f>
        <v>90</v>
      </c>
      <c r="I304" s="155">
        <f>+H304+30</f>
        <v>120</v>
      </c>
      <c r="J304" s="155">
        <f>+I304+30</f>
        <v>150</v>
      </c>
      <c r="K304" s="155">
        <v>0</v>
      </c>
    </row>
    <row r="305" spans="1:11" x14ac:dyDescent="0.5">
      <c r="A305" s="135" t="str">
        <f t="shared" si="62"/>
        <v>CCC</v>
      </c>
      <c r="B305" s="149">
        <f t="shared" si="63"/>
        <v>42809</v>
      </c>
      <c r="C305" s="149">
        <f t="shared" si="63"/>
        <v>42993</v>
      </c>
      <c r="D305" s="155">
        <f>15+30+30+1</f>
        <v>76</v>
      </c>
      <c r="E305" s="155">
        <f>+D305+30</f>
        <v>106</v>
      </c>
      <c r="F305" s="155">
        <f>+E305+30</f>
        <v>136</v>
      </c>
      <c r="G305" s="155">
        <f>+F305+30</f>
        <v>166</v>
      </c>
      <c r="H305" s="155">
        <v>16</v>
      </c>
      <c r="I305" s="155">
        <f t="shared" ref="I305:K308" si="64">+H305+30</f>
        <v>46</v>
      </c>
      <c r="J305" s="155">
        <f t="shared" si="64"/>
        <v>76</v>
      </c>
      <c r="K305" s="155">
        <f t="shared" si="64"/>
        <v>106</v>
      </c>
    </row>
    <row r="306" spans="1:11" x14ac:dyDescent="0.5">
      <c r="A306" s="135" t="str">
        <f t="shared" si="62"/>
        <v>DDD</v>
      </c>
      <c r="B306" s="149">
        <f t="shared" si="63"/>
        <v>42750</v>
      </c>
      <c r="C306" s="149">
        <f t="shared" si="63"/>
        <v>42931</v>
      </c>
      <c r="D306" s="155">
        <f>15+30+30+30+30+1</f>
        <v>136</v>
      </c>
      <c r="E306" s="155">
        <f>+D306+30</f>
        <v>166</v>
      </c>
      <c r="F306" s="155">
        <v>16</v>
      </c>
      <c r="G306" s="155">
        <f>+F306+30</f>
        <v>46</v>
      </c>
      <c r="H306" s="155">
        <f>+G306+30</f>
        <v>76</v>
      </c>
      <c r="I306" s="155">
        <f t="shared" si="64"/>
        <v>106</v>
      </c>
      <c r="J306" s="155">
        <f t="shared" si="64"/>
        <v>136</v>
      </c>
      <c r="K306" s="155">
        <f t="shared" si="64"/>
        <v>166</v>
      </c>
    </row>
    <row r="307" spans="1:11" x14ac:dyDescent="0.5">
      <c r="A307" s="135" t="str">
        <f t="shared" si="62"/>
        <v>EEE</v>
      </c>
      <c r="B307" s="149">
        <f t="shared" si="63"/>
        <v>42826</v>
      </c>
      <c r="C307" s="149">
        <f t="shared" si="63"/>
        <v>43009</v>
      </c>
      <c r="D307" s="155">
        <f>29+30+1</f>
        <v>60</v>
      </c>
      <c r="E307" s="155">
        <f>+D307+30</f>
        <v>90</v>
      </c>
      <c r="F307" s="155">
        <f>+E307+30</f>
        <v>120</v>
      </c>
      <c r="G307" s="155">
        <f>+F307+30</f>
        <v>150</v>
      </c>
      <c r="H307" s="155">
        <v>0</v>
      </c>
      <c r="I307" s="155">
        <f t="shared" si="64"/>
        <v>30</v>
      </c>
      <c r="J307" s="155">
        <f t="shared" si="64"/>
        <v>60</v>
      </c>
      <c r="K307" s="155">
        <f t="shared" si="64"/>
        <v>90</v>
      </c>
    </row>
    <row r="308" spans="1:11" x14ac:dyDescent="0.5">
      <c r="A308" s="135" t="str">
        <f t="shared" si="62"/>
        <v>FFF</v>
      </c>
      <c r="B308" s="149">
        <f t="shared" si="63"/>
        <v>42781</v>
      </c>
      <c r="C308" s="149">
        <f t="shared" si="63"/>
        <v>42962</v>
      </c>
      <c r="D308" s="155">
        <f>14+30+30+30+1</f>
        <v>105</v>
      </c>
      <c r="E308" s="155">
        <f>+D308+30</f>
        <v>135</v>
      </c>
      <c r="F308" s="155">
        <f>+E308+30</f>
        <v>165</v>
      </c>
      <c r="G308" s="155">
        <v>15</v>
      </c>
      <c r="H308" s="155">
        <f>+G308+30</f>
        <v>45</v>
      </c>
      <c r="I308" s="155">
        <f t="shared" si="64"/>
        <v>75</v>
      </c>
      <c r="J308" s="155">
        <f t="shared" si="64"/>
        <v>105</v>
      </c>
      <c r="K308" s="155">
        <f t="shared" si="64"/>
        <v>135</v>
      </c>
    </row>
    <row r="309" spans="1:11" x14ac:dyDescent="0.5">
      <c r="A309" s="70"/>
      <c r="B309"/>
      <c r="C309" s="75"/>
      <c r="D309" s="155"/>
      <c r="E309" s="155"/>
      <c r="F309" s="155"/>
      <c r="G309" s="155"/>
      <c r="H309" s="155"/>
      <c r="I309" s="155"/>
      <c r="J309" s="155"/>
      <c r="K309" s="155"/>
    </row>
    <row r="310" spans="1:11" x14ac:dyDescent="0.5">
      <c r="A310" s="82" t="s">
        <v>187</v>
      </c>
      <c r="B310" s="151"/>
      <c r="C310" s="75"/>
      <c r="D310"/>
      <c r="I310"/>
    </row>
    <row r="311" spans="1:11" ht="14.7" thickBot="1" x14ac:dyDescent="0.55000000000000004">
      <c r="A311" s="78" t="s">
        <v>59</v>
      </c>
      <c r="B311" s="77" t="s">
        <v>184</v>
      </c>
      <c r="C311" s="78"/>
      <c r="D311" s="79">
        <f>+'Portfolio Management'!E398</f>
        <v>43252</v>
      </c>
      <c r="E311" s="79">
        <f>+'Portfolio Management'!F398</f>
        <v>43282</v>
      </c>
      <c r="F311" s="79">
        <f>+'Portfolio Management'!G398</f>
        <v>43313</v>
      </c>
      <c r="G311" s="79">
        <f>+'Portfolio Management'!H398</f>
        <v>43344</v>
      </c>
      <c r="H311" s="79">
        <f>+'Portfolio Management'!I398</f>
        <v>43374</v>
      </c>
      <c r="I311" s="79">
        <f>+'Portfolio Management'!J398</f>
        <v>43405</v>
      </c>
      <c r="J311" s="79">
        <f>+'Portfolio Management'!K398</f>
        <v>43435</v>
      </c>
      <c r="K311" s="79">
        <f>+'Portfolio Management'!L398</f>
        <v>43466</v>
      </c>
    </row>
    <row r="312" spans="1:11" ht="14.7" thickTop="1" x14ac:dyDescent="0.5">
      <c r="A312" s="135" t="str">
        <f t="shared" ref="A312:A317" si="65">+A303</f>
        <v>AAA</v>
      </c>
      <c r="B312" s="149">
        <f t="shared" ref="B312:C317" si="66">+B293</f>
        <v>42781</v>
      </c>
      <c r="C312" s="149">
        <f t="shared" si="66"/>
        <v>42962</v>
      </c>
      <c r="D312" s="48">
        <f>-(D303/180)*('Portfolio Management'!$H359*'Portfolio Management'!$D359/2)</f>
        <v>-15.312500000000002</v>
      </c>
      <c r="E312" s="48">
        <f>-(E303/180)*('Portfolio Management'!$H359*'Portfolio Management'!$D359/2)</f>
        <v>-19.6875</v>
      </c>
      <c r="F312" s="48">
        <f>-(F303/180)*('Portfolio Management'!$H359*'Portfolio Management'!$D359/2)</f>
        <v>-24.0625</v>
      </c>
      <c r="G312" s="48">
        <f>-(G303/180)*('Portfolio Management'!$H359*'Portfolio Management'!$D359/2)</f>
        <v>-2.1875</v>
      </c>
      <c r="H312" s="48">
        <f>-(H303/180)*('Portfolio Management'!$H359*'Portfolio Management'!$D359/2)</f>
        <v>-6.5625</v>
      </c>
      <c r="I312" s="48">
        <f>-(I303/180)*('Portfolio Management'!$H359*'Portfolio Management'!$D359/2)</f>
        <v>-10.9375</v>
      </c>
      <c r="J312" s="48">
        <f>-(J303/180)*('Portfolio Management'!$H359*'Portfolio Management'!$D359/2)</f>
        <v>-15.312500000000002</v>
      </c>
      <c r="K312" s="48">
        <f>-(K303/180)*('Portfolio Management'!$H359*'Portfolio Management'!$D359/2)</f>
        <v>-19.6875</v>
      </c>
    </row>
    <row r="313" spans="1:11" x14ac:dyDescent="0.5">
      <c r="A313" s="135" t="str">
        <f t="shared" si="65"/>
        <v>BBB</v>
      </c>
      <c r="B313" s="149">
        <f t="shared" si="66"/>
        <v>42736</v>
      </c>
      <c r="C313" s="149">
        <f t="shared" si="66"/>
        <v>42917</v>
      </c>
      <c r="D313" s="48">
        <f>-(D304/180)*('Portfolio Management'!$H360*'Portfolio Management'!$D360/2)</f>
        <v>-18.75</v>
      </c>
      <c r="E313" s="48">
        <f>-(E304/180)*('Portfolio Management'!$H360*'Portfolio Management'!$D360/2)</f>
        <v>0</v>
      </c>
      <c r="F313" s="48">
        <f>-(F304/180)*('Portfolio Management'!$H360*'Portfolio Management'!$D360/2)</f>
        <v>-3.75</v>
      </c>
      <c r="G313" s="48">
        <f>-(G304/180)*('Portfolio Management'!$H360*'Portfolio Management'!$D360/2)</f>
        <v>-7.5</v>
      </c>
      <c r="H313" s="48">
        <f>-(H304/180)*('Portfolio Management'!$H360*'Portfolio Management'!$D360/2)</f>
        <v>-11.25</v>
      </c>
      <c r="I313" s="48">
        <f>-(I304/180)*('Portfolio Management'!$H360*'Portfolio Management'!$D360/2)</f>
        <v>-15</v>
      </c>
      <c r="J313" s="48">
        <f>-(J304/180)*('Portfolio Management'!$H360*'Portfolio Management'!$D360/2)</f>
        <v>-18.75</v>
      </c>
      <c r="K313" s="48">
        <f>-(K304/180)*('Portfolio Management'!$H360*'Portfolio Management'!$D360/2)</f>
        <v>0</v>
      </c>
    </row>
    <row r="314" spans="1:11" x14ac:dyDescent="0.5">
      <c r="A314" s="135" t="str">
        <f t="shared" si="65"/>
        <v>CCC</v>
      </c>
      <c r="B314" s="149">
        <f t="shared" si="66"/>
        <v>42809</v>
      </c>
      <c r="C314" s="149">
        <f t="shared" si="66"/>
        <v>42993</v>
      </c>
      <c r="D314" s="48">
        <f>-(D305/180)*('Portfolio Management'!$H361*'Portfolio Management'!$D361/2)</f>
        <v>-14.777777777777779</v>
      </c>
      <c r="E314" s="48">
        <f>-(E305/180)*('Portfolio Management'!$H361*'Portfolio Management'!$D361/2)</f>
        <v>-20.611111111111111</v>
      </c>
      <c r="F314" s="48">
        <f>-(F305/180)*('Portfolio Management'!$H361*'Portfolio Management'!$D361/2)</f>
        <v>-26.444444444444443</v>
      </c>
      <c r="G314" s="48">
        <f>-(G305/180)*('Portfolio Management'!$H361*'Portfolio Management'!$D361/2)</f>
        <v>-32.277777777777779</v>
      </c>
      <c r="H314" s="48">
        <f>-(H305/180)*('Portfolio Management'!$H361*'Portfolio Management'!$D361/2)</f>
        <v>-3.1111111111111112</v>
      </c>
      <c r="I314" s="48">
        <f>-(I305/180)*('Portfolio Management'!$H361*'Portfolio Management'!$D361/2)</f>
        <v>-8.9444444444444429</v>
      </c>
      <c r="J314" s="48">
        <f>-(J305/180)*('Portfolio Management'!$H361*'Portfolio Management'!$D361/2)</f>
        <v>-14.777777777777779</v>
      </c>
      <c r="K314" s="48">
        <f>-(K305/180)*('Portfolio Management'!$H361*'Portfolio Management'!$D361/2)</f>
        <v>-20.611111111111111</v>
      </c>
    </row>
    <row r="315" spans="1:11" x14ac:dyDescent="0.5">
      <c r="A315" s="135" t="str">
        <f t="shared" si="65"/>
        <v>DDD</v>
      </c>
      <c r="B315" s="149">
        <f t="shared" si="66"/>
        <v>42750</v>
      </c>
      <c r="C315" s="149">
        <f t="shared" si="66"/>
        <v>42931</v>
      </c>
      <c r="D315" s="48">
        <f>-(D306/180)*('Portfolio Management'!$H362*'Portfolio Management'!$D362/2)</f>
        <v>-13.222222222222221</v>
      </c>
      <c r="E315" s="48">
        <f>-(E306/180)*('Portfolio Management'!$H362*'Portfolio Management'!$D362/2)</f>
        <v>-16.138888888888889</v>
      </c>
      <c r="F315" s="48">
        <f>-(F306/180)*('Portfolio Management'!$H362*'Portfolio Management'!$D362/2)</f>
        <v>-1.5555555555555556</v>
      </c>
      <c r="G315" s="48">
        <f>-(G306/180)*('Portfolio Management'!$H362*'Portfolio Management'!$D362/2)</f>
        <v>-4.4722222222222214</v>
      </c>
      <c r="H315" s="48">
        <f>-(H306/180)*('Portfolio Management'!$H362*'Portfolio Management'!$D362/2)</f>
        <v>-7.3888888888888893</v>
      </c>
      <c r="I315" s="48">
        <f>-(I306/180)*('Portfolio Management'!$H362*'Portfolio Management'!$D362/2)</f>
        <v>-10.305555555555555</v>
      </c>
      <c r="J315" s="48">
        <f>-(J306/180)*('Portfolio Management'!$H362*'Portfolio Management'!$D362/2)</f>
        <v>-13.222222222222221</v>
      </c>
      <c r="K315" s="48">
        <f>-(K306/180)*('Portfolio Management'!$H362*'Portfolio Management'!$D362/2)</f>
        <v>-16.138888888888889</v>
      </c>
    </row>
    <row r="316" spans="1:11" x14ac:dyDescent="0.5">
      <c r="A316" s="135" t="str">
        <f t="shared" si="65"/>
        <v>EEE</v>
      </c>
      <c r="B316" s="149">
        <f t="shared" si="66"/>
        <v>42826</v>
      </c>
      <c r="C316" s="149">
        <f t="shared" si="66"/>
        <v>43009</v>
      </c>
      <c r="D316" s="48">
        <f>-(D307/180)*('Portfolio Management'!$H363*'Portfolio Management'!$D363/2)</f>
        <v>-7.9166666666666661</v>
      </c>
      <c r="E316" s="48">
        <f>-(E307/180)*('Portfolio Management'!$H363*'Portfolio Management'!$D363/2)</f>
        <v>-11.875</v>
      </c>
      <c r="F316" s="48">
        <f>-(F307/180)*('Portfolio Management'!$H363*'Portfolio Management'!$D363/2)</f>
        <v>-15.833333333333332</v>
      </c>
      <c r="G316" s="48">
        <f>-(G307/180)*('Portfolio Management'!$H363*'Portfolio Management'!$D363/2)</f>
        <v>-19.791666666666668</v>
      </c>
      <c r="H316" s="48">
        <f>-(H307/180)*('Portfolio Management'!$H363*'Portfolio Management'!$D363/2)</f>
        <v>0</v>
      </c>
      <c r="I316" s="48">
        <f>-(I307/180)*('Portfolio Management'!$H363*'Portfolio Management'!$D363/2)</f>
        <v>-3.958333333333333</v>
      </c>
      <c r="J316" s="48">
        <f>-(J307/180)*('Portfolio Management'!$H363*'Portfolio Management'!$D363/2)</f>
        <v>-7.9166666666666661</v>
      </c>
      <c r="K316" s="48">
        <f>-(K307/180)*('Portfolio Management'!$H363*'Portfolio Management'!$D363/2)</f>
        <v>-11.875</v>
      </c>
    </row>
    <row r="317" spans="1:11" x14ac:dyDescent="0.5">
      <c r="A317" s="135" t="str">
        <f t="shared" si="65"/>
        <v>FFF</v>
      </c>
      <c r="B317" s="149">
        <f t="shared" si="66"/>
        <v>42781</v>
      </c>
      <c r="C317" s="149">
        <f t="shared" si="66"/>
        <v>42962</v>
      </c>
      <c r="D317" s="48">
        <f>-(D308/180)*('Portfolio Management'!$H364*'Portfolio Management'!$D364/2)</f>
        <v>-23.333333333333336</v>
      </c>
      <c r="E317" s="48">
        <f>-(E308/180)*('Portfolio Management'!$H364*'Portfolio Management'!$D364/2)</f>
        <v>-30</v>
      </c>
      <c r="F317" s="48">
        <f>-(F308/180)*('Portfolio Management'!$H364*'Portfolio Management'!$D364/2)</f>
        <v>-36.666666666666664</v>
      </c>
      <c r="G317" s="48">
        <f>-(G308/180)*('Portfolio Management'!$H364*'Portfolio Management'!$D364/2)</f>
        <v>-3.333333333333333</v>
      </c>
      <c r="H317" s="48">
        <f>-(H308/180)*('Portfolio Management'!$H364*'Portfolio Management'!$D364/2)</f>
        <v>-10</v>
      </c>
      <c r="I317" s="48">
        <f>-(I308/180)*('Portfolio Management'!$H364*'Portfolio Management'!$D364/2)</f>
        <v>-16.666666666666668</v>
      </c>
      <c r="J317" s="48">
        <f>-(J308/180)*('Portfolio Management'!$H364*'Portfolio Management'!$D364/2)</f>
        <v>-23.333333333333336</v>
      </c>
      <c r="K317" s="48">
        <f>-(K308/180)*('Portfolio Management'!$H364*'Portfolio Management'!$D364/2)</f>
        <v>-30</v>
      </c>
    </row>
    <row r="318" spans="1:11" x14ac:dyDescent="0.5">
      <c r="B318"/>
      <c r="C318" s="75"/>
      <c r="D318"/>
      <c r="I318"/>
    </row>
    <row r="319" spans="1:11" x14ac:dyDescent="0.5">
      <c r="A319" s="82" t="s">
        <v>188</v>
      </c>
      <c r="B319" s="151"/>
      <c r="C319" s="75"/>
      <c r="D319"/>
      <c r="I319"/>
    </row>
    <row r="320" spans="1:11" ht="14.7" thickBot="1" x14ac:dyDescent="0.55000000000000004">
      <c r="A320" s="78" t="s">
        <v>59</v>
      </c>
      <c r="B320" s="77" t="s">
        <v>184</v>
      </c>
      <c r="C320" s="78"/>
      <c r="D320" s="79">
        <f t="shared" ref="D320:K320" si="67">+D311</f>
        <v>43252</v>
      </c>
      <c r="E320" s="79">
        <f t="shared" si="67"/>
        <v>43282</v>
      </c>
      <c r="F320" s="79">
        <f t="shared" si="67"/>
        <v>43313</v>
      </c>
      <c r="G320" s="79">
        <f t="shared" si="67"/>
        <v>43344</v>
      </c>
      <c r="H320" s="79">
        <f t="shared" si="67"/>
        <v>43374</v>
      </c>
      <c r="I320" s="79">
        <f t="shared" si="67"/>
        <v>43405</v>
      </c>
      <c r="J320" s="79">
        <f t="shared" si="67"/>
        <v>43435</v>
      </c>
      <c r="K320" s="79">
        <f t="shared" si="67"/>
        <v>43466</v>
      </c>
    </row>
    <row r="321" spans="1:12" ht="14.7" thickTop="1" x14ac:dyDescent="0.5">
      <c r="A321" s="135" t="str">
        <f t="shared" ref="A321:C326" si="68">+A312</f>
        <v>AAA</v>
      </c>
      <c r="B321" s="149">
        <f t="shared" si="68"/>
        <v>42781</v>
      </c>
      <c r="C321" s="149">
        <f t="shared" si="68"/>
        <v>42962</v>
      </c>
      <c r="D321" s="81">
        <f>D312*'Portfolio Management'!E390</f>
        <v>-229.68750000000003</v>
      </c>
      <c r="E321" s="81">
        <f>E312*'Portfolio Management'!F390</f>
        <v>0</v>
      </c>
      <c r="F321" s="81">
        <f>F312*'Portfolio Management'!G390</f>
        <v>0</v>
      </c>
      <c r="G321" s="81">
        <f>G312*'Portfolio Management'!H390</f>
        <v>0</v>
      </c>
      <c r="H321" s="81">
        <f>H312*'Portfolio Management'!I390</f>
        <v>0</v>
      </c>
      <c r="I321" s="81">
        <f>I312*'Portfolio Management'!J390</f>
        <v>0</v>
      </c>
      <c r="J321" s="81">
        <f>J312*'Portfolio Management'!K390</f>
        <v>0</v>
      </c>
      <c r="K321" s="81">
        <f>K312*'Portfolio Management'!L390</f>
        <v>295.3125</v>
      </c>
    </row>
    <row r="322" spans="1:12" x14ac:dyDescent="0.5">
      <c r="A322" s="135" t="str">
        <f t="shared" si="68"/>
        <v>BBB</v>
      </c>
      <c r="B322" s="149">
        <f t="shared" si="68"/>
        <v>42736</v>
      </c>
      <c r="C322" s="149">
        <f t="shared" si="68"/>
        <v>42917</v>
      </c>
      <c r="D322" s="81">
        <f>D313*'Portfolio Management'!E391</f>
        <v>-375</v>
      </c>
      <c r="E322" s="81">
        <f>E313*'Portfolio Management'!F391</f>
        <v>0</v>
      </c>
      <c r="F322" s="81">
        <f>F313*'Portfolio Management'!G391</f>
        <v>30</v>
      </c>
      <c r="G322" s="81">
        <f>G313*'Portfolio Management'!H391</f>
        <v>0</v>
      </c>
      <c r="H322" s="81">
        <f>H313*'Portfolio Management'!I391</f>
        <v>0</v>
      </c>
      <c r="I322" s="81">
        <f>I313*'Portfolio Management'!J391</f>
        <v>0</v>
      </c>
      <c r="J322" s="81">
        <f>J313*'Portfolio Management'!K391</f>
        <v>0</v>
      </c>
      <c r="K322" s="81">
        <f>K313*'Portfolio Management'!L391</f>
        <v>0</v>
      </c>
    </row>
    <row r="323" spans="1:12" x14ac:dyDescent="0.5">
      <c r="A323" s="135" t="str">
        <f t="shared" si="68"/>
        <v>CCC</v>
      </c>
      <c r="B323" s="149">
        <f t="shared" si="68"/>
        <v>42809</v>
      </c>
      <c r="C323" s="149">
        <f t="shared" si="68"/>
        <v>42993</v>
      </c>
      <c r="D323" s="81">
        <f>D314*'Portfolio Management'!E392</f>
        <v>-443.33333333333337</v>
      </c>
      <c r="E323" s="81">
        <f>E314*'Portfolio Management'!F392</f>
        <v>0</v>
      </c>
      <c r="F323" s="81">
        <f>F314*'Portfolio Management'!G392</f>
        <v>0</v>
      </c>
      <c r="G323" s="81">
        <f>G314*'Portfolio Management'!H392</f>
        <v>-161.38888888888889</v>
      </c>
      <c r="H323" s="81">
        <f>H314*'Portfolio Management'!I392</f>
        <v>0</v>
      </c>
      <c r="I323" s="81">
        <f>I314*'Portfolio Management'!J392</f>
        <v>-44.722222222222214</v>
      </c>
      <c r="J323" s="81">
        <f>J314*'Portfolio Management'!K392</f>
        <v>0</v>
      </c>
      <c r="K323" s="81">
        <f>K314*'Portfolio Management'!L392</f>
        <v>824.44444444444446</v>
      </c>
    </row>
    <row r="324" spans="1:12" x14ac:dyDescent="0.5">
      <c r="A324" s="135" t="str">
        <f t="shared" si="68"/>
        <v>DDD</v>
      </c>
      <c r="B324" s="149">
        <f t="shared" si="68"/>
        <v>42750</v>
      </c>
      <c r="C324" s="149">
        <f t="shared" si="68"/>
        <v>42931</v>
      </c>
      <c r="D324" s="81">
        <f>D315*'Portfolio Management'!E393</f>
        <v>-528.88888888888891</v>
      </c>
      <c r="E324" s="81">
        <f>E315*'Portfolio Management'!F393</f>
        <v>0</v>
      </c>
      <c r="F324" s="81">
        <f>F315*'Portfolio Management'!G393</f>
        <v>-15.555555555555555</v>
      </c>
      <c r="G324" s="81">
        <f>G315*'Portfolio Management'!H393</f>
        <v>0</v>
      </c>
      <c r="H324" s="81">
        <f>H315*'Portfolio Management'!I393</f>
        <v>0</v>
      </c>
      <c r="I324" s="81">
        <f>I315*'Portfolio Management'!J393</f>
        <v>0</v>
      </c>
      <c r="J324" s="81">
        <f>J315*'Portfolio Management'!K393</f>
        <v>0</v>
      </c>
      <c r="K324" s="81">
        <f>K315*'Portfolio Management'!L393</f>
        <v>806.94444444444446</v>
      </c>
    </row>
    <row r="325" spans="1:12" x14ac:dyDescent="0.5">
      <c r="A325" s="135" t="str">
        <f t="shared" si="68"/>
        <v>EEE</v>
      </c>
      <c r="B325" s="149">
        <f t="shared" si="68"/>
        <v>42826</v>
      </c>
      <c r="C325" s="149">
        <f t="shared" si="68"/>
        <v>43009</v>
      </c>
      <c r="D325" s="81">
        <f>D316*'Portfolio Management'!E394</f>
        <v>0</v>
      </c>
      <c r="E325" s="81">
        <f>E316*'Portfolio Management'!F394</f>
        <v>-59.375</v>
      </c>
      <c r="F325" s="81">
        <f>F316*'Portfolio Management'!G394</f>
        <v>0</v>
      </c>
      <c r="G325" s="81">
        <f>G316*'Portfolio Management'!H394</f>
        <v>0</v>
      </c>
      <c r="H325" s="81">
        <f>H316*'Portfolio Management'!I394</f>
        <v>0</v>
      </c>
      <c r="I325" s="81">
        <f>I316*'Portfolio Management'!J394</f>
        <v>19.791666666666664</v>
      </c>
      <c r="J325" s="81">
        <f>J316*'Portfolio Management'!K394</f>
        <v>0</v>
      </c>
      <c r="K325" s="81">
        <f>K316*'Portfolio Management'!L394</f>
        <v>0</v>
      </c>
    </row>
    <row r="326" spans="1:12" x14ac:dyDescent="0.5">
      <c r="A326" s="135" t="str">
        <f t="shared" si="68"/>
        <v>FFF</v>
      </c>
      <c r="B326" s="149">
        <f t="shared" si="68"/>
        <v>42781</v>
      </c>
      <c r="C326" s="149">
        <f t="shared" si="68"/>
        <v>42962</v>
      </c>
      <c r="D326" s="81">
        <f>D317*'Portfolio Management'!E395</f>
        <v>0</v>
      </c>
      <c r="E326" s="81">
        <f>E317*'Portfolio Management'!F395</f>
        <v>-150</v>
      </c>
      <c r="F326" s="81">
        <f>F317*'Portfolio Management'!G395</f>
        <v>0</v>
      </c>
      <c r="G326" s="81">
        <f>G317*'Portfolio Management'!H395</f>
        <v>0</v>
      </c>
      <c r="H326" s="81">
        <f>H317*'Portfolio Management'!I395</f>
        <v>0</v>
      </c>
      <c r="I326" s="81">
        <f>I317*'Portfolio Management'!J395</f>
        <v>0</v>
      </c>
      <c r="J326" s="81">
        <f>J317*'Portfolio Management'!K395</f>
        <v>116.66666666666669</v>
      </c>
      <c r="K326" s="81">
        <f>K317*'Portfolio Management'!L395</f>
        <v>0</v>
      </c>
    </row>
    <row r="327" spans="1:12" ht="14.7" thickBot="1" x14ac:dyDescent="0.55000000000000004">
      <c r="A327" s="70" t="s">
        <v>189</v>
      </c>
      <c r="B327"/>
      <c r="D327" s="156">
        <f t="shared" ref="D327:K327" si="69">SUM(D321:D326)</f>
        <v>-1576.9097222222224</v>
      </c>
      <c r="E327" s="156">
        <f t="shared" si="69"/>
        <v>-209.375</v>
      </c>
      <c r="F327" s="156">
        <f t="shared" si="69"/>
        <v>14.444444444444445</v>
      </c>
      <c r="G327" s="156">
        <f t="shared" si="69"/>
        <v>-161.38888888888889</v>
      </c>
      <c r="H327" s="156">
        <f t="shared" si="69"/>
        <v>0</v>
      </c>
      <c r="I327" s="156">
        <f t="shared" si="69"/>
        <v>-24.93055555555555</v>
      </c>
      <c r="J327" s="156">
        <f t="shared" si="69"/>
        <v>116.66666666666669</v>
      </c>
      <c r="K327" s="156">
        <f t="shared" si="69"/>
        <v>1926.7013888888887</v>
      </c>
    </row>
    <row r="328" spans="1:12" x14ac:dyDescent="0.5">
      <c r="B328"/>
      <c r="D328"/>
      <c r="I328"/>
    </row>
    <row r="329" spans="1:12" x14ac:dyDescent="0.5">
      <c r="A329" s="11" t="s">
        <v>193</v>
      </c>
      <c r="B329"/>
      <c r="D329"/>
      <c r="I329"/>
    </row>
    <row r="330" spans="1:12" ht="26.35" thickBot="1" x14ac:dyDescent="0.55000000000000004">
      <c r="A330" s="162" t="s">
        <v>59</v>
      </c>
      <c r="B330" s="115" t="s">
        <v>194</v>
      </c>
      <c r="C330" s="162"/>
      <c r="D330" s="114">
        <f t="shared" ref="D330:K330" si="70">+D320</f>
        <v>43252</v>
      </c>
      <c r="E330" s="114">
        <f t="shared" si="70"/>
        <v>43282</v>
      </c>
      <c r="F330" s="114">
        <f t="shared" si="70"/>
        <v>43313</v>
      </c>
      <c r="G330" s="114">
        <f t="shared" si="70"/>
        <v>43344</v>
      </c>
      <c r="H330" s="114">
        <f t="shared" si="70"/>
        <v>43374</v>
      </c>
      <c r="I330" s="114">
        <f t="shared" si="70"/>
        <v>43405</v>
      </c>
      <c r="J330" s="114">
        <f t="shared" si="70"/>
        <v>43435</v>
      </c>
      <c r="K330" s="114">
        <f t="shared" si="70"/>
        <v>43466</v>
      </c>
      <c r="L330" s="68"/>
    </row>
    <row r="331" spans="1:12" ht="14.7" thickTop="1" x14ac:dyDescent="0.5">
      <c r="A331" s="48" t="str">
        <f t="shared" ref="A331:A336" si="71">+A321</f>
        <v>AAA</v>
      </c>
      <c r="B331" s="164">
        <f>+'Portfolio Management'!H359*'Portfolio Management'!D359</f>
        <v>52.5</v>
      </c>
      <c r="D331" s="13">
        <f>+$B331/'Portfolio Management'!E369</f>
        <v>5.8988764044943819E-2</v>
      </c>
      <c r="E331" s="13">
        <f>+$B331/'Portfolio Management'!F369</f>
        <v>5.8790593505039193E-2</v>
      </c>
      <c r="F331" s="13">
        <f>+$B331/'Portfolio Management'!G369</f>
        <v>5.8659217877094973E-2</v>
      </c>
      <c r="G331" s="13">
        <f>+$B331/'Portfolio Management'!H369</f>
        <v>5.8011049723756904E-2</v>
      </c>
      <c r="H331" s="13">
        <f>+$B331/'Portfolio Management'!I369</f>
        <v>5.7692307692307696E-2</v>
      </c>
      <c r="I331" s="13">
        <f>+$B331/'Portfolio Management'!J369</f>
        <v>5.7565789473684209E-2</v>
      </c>
      <c r="J331" s="13">
        <f>+$B331/'Portfolio Management'!K369</f>
        <v>5.737704918032787E-2</v>
      </c>
      <c r="K331" s="13">
        <f>+$B331/'Portfolio Management'!L369</f>
        <v>5.7692307692307696E-2</v>
      </c>
    </row>
    <row r="332" spans="1:12" x14ac:dyDescent="0.5">
      <c r="A332" s="48" t="str">
        <f t="shared" si="71"/>
        <v>BBB</v>
      </c>
      <c r="B332" s="164">
        <f>+'Portfolio Management'!H360*'Portfolio Management'!D360</f>
        <v>45</v>
      </c>
      <c r="D332" s="13">
        <f>+$B332/'Portfolio Management'!E370</f>
        <v>4.9450549450549448E-2</v>
      </c>
      <c r="E332" s="13">
        <f>+$B332/'Portfolio Management'!F370</f>
        <v>4.8648648648648651E-2</v>
      </c>
      <c r="F332" s="13">
        <f>+$B332/'Portfolio Management'!G370</f>
        <v>4.9180327868852458E-2</v>
      </c>
      <c r="G332" s="13">
        <f>+$B332/'Portfolio Management'!H370</f>
        <v>4.8648648648648651E-2</v>
      </c>
      <c r="H332" s="13">
        <f>+$B332/'Portfolio Management'!I370</f>
        <v>4.9180327868852458E-2</v>
      </c>
      <c r="I332" s="13">
        <f>+$B332/'Portfolio Management'!J370</f>
        <v>4.8806941431670282E-2</v>
      </c>
      <c r="J332" s="13">
        <f>+$B332/'Portfolio Management'!K370</f>
        <v>4.8128342245989303E-2</v>
      </c>
      <c r="K332" s="13">
        <f>+$B332/'Portfolio Management'!L370</f>
        <v>4.8387096774193547E-2</v>
      </c>
    </row>
    <row r="333" spans="1:12" x14ac:dyDescent="0.5">
      <c r="A333" s="48" t="str">
        <f t="shared" si="71"/>
        <v>CCC</v>
      </c>
      <c r="B333" s="164">
        <f>+'Portfolio Management'!H361*'Portfolio Management'!D361</f>
        <v>70</v>
      </c>
      <c r="D333" s="13">
        <f>+$B333/'Portfolio Management'!E371</f>
        <v>8.8607594936708861E-2</v>
      </c>
      <c r="E333" s="13">
        <f>+$B333/'Portfolio Management'!F371</f>
        <v>8.7499999999999994E-2</v>
      </c>
      <c r="F333" s="13">
        <f>+$B333/'Portfolio Management'!G371</f>
        <v>8.6419753086419748E-2</v>
      </c>
      <c r="G333" s="13">
        <f>+$B333/'Portfolio Management'!H371</f>
        <v>8.5889570552147243E-2</v>
      </c>
      <c r="H333" s="13">
        <f>+$B333/'Portfolio Management'!I371</f>
        <v>8.5365853658536592E-2</v>
      </c>
      <c r="I333" s="13">
        <f>+$B333/'Portfolio Management'!J371</f>
        <v>8.5158150851581502E-2</v>
      </c>
      <c r="J333" s="13">
        <f>+$B333/'Portfolio Management'!K371</f>
        <v>8.5889570552147243E-2</v>
      </c>
      <c r="K333" s="13">
        <f>+$B333/'Portfolio Management'!L371</f>
        <v>8.7499999999999994E-2</v>
      </c>
    </row>
    <row r="334" spans="1:12" x14ac:dyDescent="0.5">
      <c r="A334" s="48" t="str">
        <f t="shared" si="71"/>
        <v>DDD</v>
      </c>
      <c r="B334" s="164">
        <f>+'Portfolio Management'!H362*'Portfolio Management'!D362</f>
        <v>35</v>
      </c>
      <c r="D334" s="13">
        <f>+$B334/'Portfolio Management'!E372</f>
        <v>3.4653465346534656E-2</v>
      </c>
      <c r="E334" s="13">
        <f>+$B334/'Portfolio Management'!F372</f>
        <v>3.4482758620689655E-2</v>
      </c>
      <c r="F334" s="13">
        <f>+$B334/'Portfolio Management'!G372</f>
        <v>3.4313725490196081E-2</v>
      </c>
      <c r="G334" s="13">
        <f>+$B334/'Portfolio Management'!H372</f>
        <v>3.4246575342465752E-2</v>
      </c>
      <c r="H334" s="13">
        <f>+$B334/'Portfolio Management'!I372</f>
        <v>3.4113060428849901E-2</v>
      </c>
      <c r="I334" s="13">
        <f>+$B334/'Portfolio Management'!J372</f>
        <v>3.4146341463414637E-2</v>
      </c>
      <c r="J334" s="13">
        <f>+$B334/'Portfolio Management'!K372</f>
        <v>3.4313725490196081E-2</v>
      </c>
      <c r="K334" s="13">
        <f>+$B334/'Portfolio Management'!L372</f>
        <v>3.4079844206426485E-2</v>
      </c>
    </row>
    <row r="335" spans="1:12" x14ac:dyDescent="0.5">
      <c r="A335" s="48" t="str">
        <f t="shared" si="71"/>
        <v>EEE</v>
      </c>
      <c r="B335" s="164">
        <f>+'Portfolio Management'!H363*'Portfolio Management'!D363</f>
        <v>47.5</v>
      </c>
      <c r="D335" s="13">
        <f>+$B335/'Portfolio Management'!E373</f>
        <v>0.05</v>
      </c>
      <c r="E335" s="13">
        <f>+$B335/'Portfolio Management'!F373</f>
        <v>4.9222797927461141E-2</v>
      </c>
      <c r="F335" s="13">
        <f>+$B335/'Portfolio Management'!G373</f>
        <v>4.8717948717948718E-2</v>
      </c>
      <c r="G335" s="13">
        <f>+$B335/'Portfolio Management'!H373</f>
        <v>4.8469387755102039E-2</v>
      </c>
      <c r="H335" s="13">
        <f>+$B335/'Portfolio Management'!I373</f>
        <v>4.8370672097759672E-2</v>
      </c>
      <c r="I335" s="13">
        <f>+$B335/'Portfolio Management'!J373</f>
        <v>4.7738693467336682E-2</v>
      </c>
      <c r="J335" s="13">
        <f>+$B335/'Portfolio Management'!K373</f>
        <v>4.7500000000000001E-2</v>
      </c>
      <c r="K335" s="13">
        <f>+$B335/'Portfolio Management'!L373</f>
        <v>4.702970297029703E-2</v>
      </c>
    </row>
    <row r="336" spans="1:12" x14ac:dyDescent="0.5">
      <c r="A336" s="48" t="str">
        <f t="shared" si="71"/>
        <v>FFF</v>
      </c>
      <c r="B336" s="164">
        <f>+'Portfolio Management'!H364*'Portfolio Management'!D364</f>
        <v>80</v>
      </c>
      <c r="D336" s="13">
        <f>+$B336/'Portfolio Management'!E374</f>
        <v>0.125</v>
      </c>
      <c r="E336" s="13">
        <f>+$B336/'Portfolio Management'!F374</f>
        <v>0.11764705882352941</v>
      </c>
      <c r="F336" s="13">
        <f>+$B336/'Portfolio Management'!G374</f>
        <v>0.11644832605531295</v>
      </c>
      <c r="G336" s="13">
        <f>+$B336/'Portfolio Management'!H374</f>
        <v>0.11510791366906475</v>
      </c>
      <c r="H336" s="13">
        <f>+$B336/'Portfolio Management'!I374</f>
        <v>0.11267605633802817</v>
      </c>
      <c r="I336" s="13">
        <f>+$B336/'Portfolio Management'!J374</f>
        <v>0.1111111111111111</v>
      </c>
      <c r="J336" s="13">
        <f>+$B336/'Portfolio Management'!K374</f>
        <v>0.11267605633802817</v>
      </c>
      <c r="K336" s="13">
        <f>+$B336/'Portfolio Management'!L374</f>
        <v>0.11428571428571428</v>
      </c>
    </row>
    <row r="337" spans="1:12" x14ac:dyDescent="0.5">
      <c r="B337"/>
      <c r="D337"/>
      <c r="I337"/>
    </row>
    <row r="338" spans="1:12" x14ac:dyDescent="0.5">
      <c r="A338" s="11" t="s">
        <v>195</v>
      </c>
      <c r="B338"/>
      <c r="D338"/>
      <c r="I338"/>
    </row>
    <row r="339" spans="1:12" ht="14.7" thickBot="1" x14ac:dyDescent="0.55000000000000004">
      <c r="A339" s="162" t="s">
        <v>59</v>
      </c>
      <c r="B339" s="115" t="s">
        <v>196</v>
      </c>
      <c r="C339" s="162"/>
      <c r="D339" s="114">
        <f t="shared" ref="D339:K339" si="72">+D330</f>
        <v>43252</v>
      </c>
      <c r="E339" s="114">
        <f t="shared" si="72"/>
        <v>43282</v>
      </c>
      <c r="F339" s="114">
        <f t="shared" si="72"/>
        <v>43313</v>
      </c>
      <c r="G339" s="114">
        <f t="shared" si="72"/>
        <v>43344</v>
      </c>
      <c r="H339" s="114">
        <f t="shared" si="72"/>
        <v>43374</v>
      </c>
      <c r="I339" s="114">
        <f t="shared" si="72"/>
        <v>43405</v>
      </c>
      <c r="J339" s="114">
        <f t="shared" si="72"/>
        <v>43435</v>
      </c>
      <c r="K339" s="114">
        <f t="shared" si="72"/>
        <v>43466</v>
      </c>
    </row>
    <row r="340" spans="1:12" ht="14.7" thickTop="1" x14ac:dyDescent="0.5">
      <c r="A340" s="48" t="str">
        <f t="shared" ref="A340:A345" si="73">+A331</f>
        <v>AAA</v>
      </c>
      <c r="B340" s="165">
        <f>+'Portfolio Management'!E359</f>
        <v>45153</v>
      </c>
      <c r="C340" s="166"/>
      <c r="D340" s="48">
        <f t="shared" ref="D340:K345" si="74">+($B340-D$339)/365</f>
        <v>5.2082191780821914</v>
      </c>
      <c r="E340" s="48">
        <f t="shared" si="74"/>
        <v>5.1260273972602741</v>
      </c>
      <c r="F340" s="48">
        <f t="shared" si="74"/>
        <v>5.0410958904109586</v>
      </c>
      <c r="G340" s="48">
        <f t="shared" si="74"/>
        <v>4.956164383561644</v>
      </c>
      <c r="H340" s="48">
        <f t="shared" si="74"/>
        <v>4.8739726027397259</v>
      </c>
      <c r="I340" s="48">
        <f t="shared" si="74"/>
        <v>4.7890410958904113</v>
      </c>
      <c r="J340" s="48">
        <f t="shared" si="74"/>
        <v>4.7068493150684931</v>
      </c>
      <c r="K340" s="48">
        <f t="shared" si="74"/>
        <v>4.6219178082191785</v>
      </c>
    </row>
    <row r="341" spans="1:12" x14ac:dyDescent="0.5">
      <c r="A341" s="48" t="str">
        <f t="shared" si="73"/>
        <v>BBB</v>
      </c>
      <c r="B341" s="165">
        <f>+'Portfolio Management'!E360</f>
        <v>44013</v>
      </c>
      <c r="C341" s="166"/>
      <c r="D341" s="48">
        <f t="shared" si="74"/>
        <v>2.0849315068493151</v>
      </c>
      <c r="E341" s="48">
        <f t="shared" si="74"/>
        <v>2.0027397260273974</v>
      </c>
      <c r="F341" s="48">
        <f t="shared" si="74"/>
        <v>1.9178082191780821</v>
      </c>
      <c r="G341" s="48">
        <f t="shared" si="74"/>
        <v>1.832876712328767</v>
      </c>
      <c r="H341" s="48">
        <f t="shared" si="74"/>
        <v>1.7506849315068493</v>
      </c>
      <c r="I341" s="48">
        <f t="shared" si="74"/>
        <v>1.6657534246575343</v>
      </c>
      <c r="J341" s="48">
        <f t="shared" si="74"/>
        <v>1.5835616438356164</v>
      </c>
      <c r="K341" s="48">
        <f t="shared" si="74"/>
        <v>1.4986301369863013</v>
      </c>
    </row>
    <row r="342" spans="1:12" x14ac:dyDescent="0.5">
      <c r="A342" s="48" t="str">
        <f t="shared" si="73"/>
        <v>CCC</v>
      </c>
      <c r="B342" s="165">
        <f>+'Portfolio Management'!E361</f>
        <v>45915</v>
      </c>
      <c r="C342" s="166"/>
      <c r="D342" s="48">
        <f t="shared" si="74"/>
        <v>7.2958904109589042</v>
      </c>
      <c r="E342" s="48">
        <f t="shared" si="74"/>
        <v>7.2136986301369861</v>
      </c>
      <c r="F342" s="48">
        <f t="shared" si="74"/>
        <v>7.1287671232876715</v>
      </c>
      <c r="G342" s="48">
        <f t="shared" si="74"/>
        <v>7.043835616438356</v>
      </c>
      <c r="H342" s="48">
        <f t="shared" si="74"/>
        <v>6.9616438356164387</v>
      </c>
      <c r="I342" s="48">
        <f t="shared" si="74"/>
        <v>6.8767123287671232</v>
      </c>
      <c r="J342" s="48">
        <f t="shared" si="74"/>
        <v>6.7945205479452051</v>
      </c>
      <c r="K342" s="48">
        <f t="shared" si="74"/>
        <v>6.7095890410958905</v>
      </c>
    </row>
    <row r="343" spans="1:12" x14ac:dyDescent="0.5">
      <c r="A343" s="48" t="str">
        <f t="shared" si="73"/>
        <v>DDD</v>
      </c>
      <c r="B343" s="165">
        <f>+'Portfolio Management'!E362</f>
        <v>43661</v>
      </c>
      <c r="C343" s="166"/>
      <c r="D343" s="48">
        <f t="shared" si="74"/>
        <v>1.1205479452054794</v>
      </c>
      <c r="E343" s="48">
        <f t="shared" si="74"/>
        <v>1.0383561643835617</v>
      </c>
      <c r="F343" s="48">
        <f t="shared" si="74"/>
        <v>0.95342465753424654</v>
      </c>
      <c r="G343" s="48">
        <f t="shared" si="74"/>
        <v>0.86849315068493149</v>
      </c>
      <c r="H343" s="48">
        <f t="shared" si="74"/>
        <v>0.78630136986301369</v>
      </c>
      <c r="I343" s="48">
        <f t="shared" si="74"/>
        <v>0.70136986301369864</v>
      </c>
      <c r="J343" s="48">
        <f t="shared" si="74"/>
        <v>0.61917808219178083</v>
      </c>
      <c r="K343" s="48">
        <f t="shared" si="74"/>
        <v>0.53424657534246578</v>
      </c>
    </row>
    <row r="344" spans="1:12" x14ac:dyDescent="0.5">
      <c r="A344" s="48" t="str">
        <f t="shared" si="73"/>
        <v>EEE</v>
      </c>
      <c r="B344" s="165">
        <f>+'Portfolio Management'!E363</f>
        <v>46296</v>
      </c>
      <c r="C344" s="166"/>
      <c r="D344" s="48">
        <f t="shared" si="74"/>
        <v>8.3397260273972602</v>
      </c>
      <c r="E344" s="48">
        <f t="shared" si="74"/>
        <v>8.257534246575343</v>
      </c>
      <c r="F344" s="48">
        <f t="shared" si="74"/>
        <v>8.1726027397260275</v>
      </c>
      <c r="G344" s="48">
        <f t="shared" si="74"/>
        <v>8.087671232876712</v>
      </c>
      <c r="H344" s="48">
        <f t="shared" si="74"/>
        <v>8.0054794520547947</v>
      </c>
      <c r="I344" s="48">
        <f t="shared" si="74"/>
        <v>7.9205479452054792</v>
      </c>
      <c r="J344" s="48">
        <f t="shared" si="74"/>
        <v>7.838356164383562</v>
      </c>
      <c r="K344" s="48">
        <f t="shared" si="74"/>
        <v>7.7534246575342465</v>
      </c>
    </row>
    <row r="345" spans="1:12" x14ac:dyDescent="0.5">
      <c r="A345" s="48" t="str">
        <f t="shared" si="73"/>
        <v>FFF</v>
      </c>
      <c r="B345" s="165">
        <f>+'Portfolio Management'!E364</f>
        <v>46249</v>
      </c>
      <c r="C345" s="166"/>
      <c r="D345" s="48">
        <f t="shared" si="74"/>
        <v>8.2109589041095887</v>
      </c>
      <c r="E345" s="48">
        <f t="shared" si="74"/>
        <v>8.1287671232876715</v>
      </c>
      <c r="F345" s="48">
        <f t="shared" si="74"/>
        <v>8.043835616438356</v>
      </c>
      <c r="G345" s="48">
        <f t="shared" si="74"/>
        <v>7.9589041095890414</v>
      </c>
      <c r="H345" s="48">
        <f t="shared" si="74"/>
        <v>7.8767123287671232</v>
      </c>
      <c r="I345" s="48">
        <f t="shared" si="74"/>
        <v>7.7917808219178086</v>
      </c>
      <c r="J345" s="48">
        <f t="shared" si="74"/>
        <v>7.7095890410958905</v>
      </c>
      <c r="K345" s="48">
        <f t="shared" si="74"/>
        <v>7.624657534246575</v>
      </c>
    </row>
    <row r="346" spans="1:12" x14ac:dyDescent="0.5">
      <c r="B346"/>
      <c r="D346"/>
      <c r="I346"/>
    </row>
    <row r="347" spans="1:12" ht="14.7" thickBot="1" x14ac:dyDescent="0.55000000000000004">
      <c r="A347" s="11" t="s">
        <v>197</v>
      </c>
      <c r="B347"/>
      <c r="D347"/>
      <c r="I347"/>
    </row>
    <row r="348" spans="1:12" ht="39" thickBot="1" x14ac:dyDescent="0.55000000000000004">
      <c r="A348" s="162" t="s">
        <v>59</v>
      </c>
      <c r="B348" s="115"/>
      <c r="C348" s="162"/>
      <c r="D348" s="114">
        <f t="shared" ref="D348:K348" si="75">+D339</f>
        <v>43252</v>
      </c>
      <c r="E348" s="114">
        <f t="shared" si="75"/>
        <v>43282</v>
      </c>
      <c r="F348" s="114">
        <f t="shared" si="75"/>
        <v>43313</v>
      </c>
      <c r="G348" s="114">
        <f t="shared" si="75"/>
        <v>43344</v>
      </c>
      <c r="H348" s="114">
        <f t="shared" si="75"/>
        <v>43374</v>
      </c>
      <c r="I348" s="114">
        <f t="shared" si="75"/>
        <v>43405</v>
      </c>
      <c r="J348" s="114">
        <f t="shared" si="75"/>
        <v>43435</v>
      </c>
      <c r="K348" s="114">
        <f t="shared" si="75"/>
        <v>43466</v>
      </c>
      <c r="L348" s="167" t="s">
        <v>198</v>
      </c>
    </row>
    <row r="349" spans="1:12" ht="14.7" thickTop="1" x14ac:dyDescent="0.5">
      <c r="A349" s="48" t="str">
        <f t="shared" ref="A349:B354" si="76">+A340</f>
        <v>AAA</v>
      </c>
      <c r="B349" s="165">
        <f t="shared" si="76"/>
        <v>45153</v>
      </c>
      <c r="C349" s="166"/>
      <c r="D349" s="48">
        <f>DURATION(D$348,$B349,'Portfolio Management'!$H359,D331,2)</f>
        <v>4.541313705805841</v>
      </c>
      <c r="E349" s="48">
        <f>DURATION(E$348,$B349,'Portfolio Management'!$H359,E331,2)</f>
        <v>4.4583537947957144</v>
      </c>
      <c r="F349" s="48">
        <f>DURATION(F$348,$B349,'Portfolio Management'!$H359,F331,2)</f>
        <v>4.3752679297938899</v>
      </c>
      <c r="G349" s="48">
        <f>DURATION(G$348,$B349,'Portfolio Management'!$H359,G331,2)</f>
        <v>4.4097715332133349</v>
      </c>
      <c r="H349" s="48">
        <f>DURATION(H$348,$B349,'Portfolio Management'!$H359,H331,2)</f>
        <v>4.3268927389100087</v>
      </c>
      <c r="I349" s="48">
        <f>DURATION(I$348,$B349,'Portfolio Management'!$H359,I331,2)</f>
        <v>4.2437397444230793</v>
      </c>
      <c r="J349" s="48">
        <f>DURATION(J$348,$B349,'Portfolio Management'!$H359,J331,2)</f>
        <v>4.1606753553619527</v>
      </c>
      <c r="K349" s="48">
        <f>DURATION(K$348,$B349,'Portfolio Management'!$H359,K331,2)</f>
        <v>4.0768927389100087</v>
      </c>
      <c r="L349" s="168">
        <f>+K349*'Portfolio Management'!H421</f>
        <v>0.54485669633968359</v>
      </c>
    </row>
    <row r="350" spans="1:12" x14ac:dyDescent="0.5">
      <c r="A350" s="48" t="str">
        <f t="shared" si="76"/>
        <v>BBB</v>
      </c>
      <c r="B350" s="165">
        <f t="shared" si="76"/>
        <v>44013</v>
      </c>
      <c r="C350" s="166"/>
      <c r="D350" s="48">
        <f>DURATION(D$348,$B350,'Portfolio Management'!$H360,D332,2)</f>
        <v>1.9750445855159844</v>
      </c>
      <c r="E350" s="48">
        <f>DURATION(E$348,$B350,'Portfolio Management'!$H360,E332,2)</f>
        <v>1.934690984641398</v>
      </c>
      <c r="F350" s="48">
        <f>DURATION(F$348,$B350,'Portfolio Management'!$H360,F332,2)</f>
        <v>1.8513200849955087</v>
      </c>
      <c r="G350" s="48">
        <f>DURATION(G$348,$B350,'Portfolio Management'!$H360,G332,2)</f>
        <v>1.7680243179747313</v>
      </c>
      <c r="H350" s="48">
        <f>DURATION(H$348,$B350,'Portfolio Management'!$H360,H332,2)</f>
        <v>1.6846534183288424</v>
      </c>
      <c r="I350" s="48">
        <f>DURATION(I$348,$B350,'Portfolio Management'!$H360,I332,2)</f>
        <v>1.6013464683361394</v>
      </c>
      <c r="J350" s="48">
        <f>DURATION(J$348,$B350,'Portfolio Management'!$H360,J332,2)</f>
        <v>1.5180610681478057</v>
      </c>
      <c r="K350" s="48">
        <f>DURATION(K$348,$B350,'Portfolio Management'!$H360,K332,2)</f>
        <v>1.4671475651860637</v>
      </c>
      <c r="L350" s="168">
        <f>+K350*'Portfolio Management'!H422</f>
        <v>0</v>
      </c>
    </row>
    <row r="351" spans="1:12" x14ac:dyDescent="0.5">
      <c r="A351" s="48" t="str">
        <f t="shared" si="76"/>
        <v>CCC</v>
      </c>
      <c r="B351" s="165">
        <f t="shared" si="76"/>
        <v>45915</v>
      </c>
      <c r="C351" s="166"/>
      <c r="D351" s="48">
        <f>DURATION(D$348,$B351,'Portfolio Management'!$H361,D333,2)</f>
        <v>5.6507661501994129</v>
      </c>
      <c r="E351" s="48">
        <f>DURATION(E$348,$B351,'Portfolio Management'!$H361,E333,2)</f>
        <v>5.5733937514001752</v>
      </c>
      <c r="F351" s="48">
        <f>DURATION(F$348,$B351,'Portfolio Management'!$H361,F333,2)</f>
        <v>5.4958615579839796</v>
      </c>
      <c r="G351" s="48">
        <f>DURATION(G$348,$B351,'Portfolio Management'!$H361,G333,2)</f>
        <v>5.4153708433472021</v>
      </c>
      <c r="H351" s="48">
        <f>DURATION(H$348,$B351,'Portfolio Management'!$H361,H333,2)</f>
        <v>5.5394307988349469</v>
      </c>
      <c r="I351" s="48">
        <f>DURATION(I$348,$B351,'Portfolio Management'!$H361,I333,2)</f>
        <v>5.4570238559263009</v>
      </c>
      <c r="J351" s="48">
        <f>DURATION(J$348,$B351,'Portfolio Management'!$H361,J333,2)</f>
        <v>5.3704265691856792</v>
      </c>
      <c r="K351" s="48">
        <f>DURATION(K$348,$B351,'Portfolio Management'!$H361,K333,2)</f>
        <v>5.2798900430223537</v>
      </c>
      <c r="L351" s="168">
        <f>+K351*'Portfolio Management'!H423</f>
        <v>1.4827355498618031</v>
      </c>
    </row>
    <row r="352" spans="1:12" x14ac:dyDescent="0.5">
      <c r="A352" s="48" t="str">
        <f t="shared" si="76"/>
        <v>DDD</v>
      </c>
      <c r="B352" s="165">
        <f t="shared" si="76"/>
        <v>43661</v>
      </c>
      <c r="C352" s="166"/>
      <c r="D352" s="48">
        <f>DURATION(D$348,$B352,'Portfolio Management'!$H362,D334,2)</f>
        <v>1.0965786717627126</v>
      </c>
      <c r="E352" s="48">
        <f>DURATION(E$348,$B352,'Portfolio Management'!$H362,E334,2)</f>
        <v>1.0132488219809002</v>
      </c>
      <c r="F352" s="48">
        <f>DURATION(F$348,$B352,'Portfolio Management'!$H362,F334,2)</f>
        <v>0.94695889715509607</v>
      </c>
      <c r="G352" s="48">
        <f>DURATION(G$348,$B352,'Portfolio Management'!$H362,G334,2)</f>
        <v>0.86362584270798592</v>
      </c>
      <c r="H352" s="48">
        <f>DURATION(H$348,$B352,'Portfolio Management'!$H362,H334,2)</f>
        <v>0.78029306388621134</v>
      </c>
      <c r="I352" s="48">
        <f>DURATION(I$348,$B352,'Portfolio Management'!$H362,I334,2)</f>
        <v>0.69695959233061155</v>
      </c>
      <c r="J352" s="48">
        <f>DURATION(J$348,$B352,'Portfolio Management'!$H362,J334,2)</f>
        <v>0.61362556382176303</v>
      </c>
      <c r="K352" s="48">
        <f>DURATION(K$348,$B352,'Portfolio Management'!$H362,K334,2)</f>
        <v>0.53029320183937934</v>
      </c>
      <c r="L352" s="168">
        <f>+K352*'Portfolio Management'!H424</f>
        <v>0.2667780715135839</v>
      </c>
    </row>
    <row r="353" spans="1:14" x14ac:dyDescent="0.5">
      <c r="A353" s="48" t="str">
        <f t="shared" si="76"/>
        <v>EEE</v>
      </c>
      <c r="B353" s="165">
        <f t="shared" si="76"/>
        <v>46296</v>
      </c>
      <c r="C353" s="166"/>
      <c r="D353" s="48">
        <f>DURATION(D$348,$B353,'Portfolio Management'!$H363,D335,2)</f>
        <v>6.910064415803741</v>
      </c>
      <c r="E353" s="48">
        <f>DURATION(E$348,$B353,'Portfolio Management'!$H363,E335,2)</f>
        <v>6.8313193918136417</v>
      </c>
      <c r="F353" s="48">
        <f>DURATION(F$348,$B353,'Portfolio Management'!$H363,F335,2)</f>
        <v>6.7509605925425147</v>
      </c>
      <c r="G353" s="48">
        <f>DURATION(G$348,$B353,'Portfolio Management'!$H363,G335,2)</f>
        <v>6.6690900529281194</v>
      </c>
      <c r="H353" s="48">
        <f>DURATION(H$348,$B353,'Portfolio Management'!$H363,H335,2)</f>
        <v>6.7436626894911811</v>
      </c>
      <c r="I353" s="48">
        <f>DURATION(I$348,$B353,'Portfolio Management'!$H363,I335,2)</f>
        <v>6.6634771306761458</v>
      </c>
      <c r="J353" s="48">
        <f>DURATION(J$348,$B353,'Portfolio Management'!$H363,J335,2)</f>
        <v>6.581331129992523</v>
      </c>
      <c r="K353" s="48">
        <f>DURATION(K$348,$B353,'Portfolio Management'!$H363,K335,2)</f>
        <v>6.5003346957936987</v>
      </c>
      <c r="L353" s="168">
        <f>+K353*'Portfolio Management'!H425</f>
        <v>0.31357755362430839</v>
      </c>
    </row>
    <row r="354" spans="1:14" ht="14.7" thickBot="1" x14ac:dyDescent="0.55000000000000004">
      <c r="A354" s="48" t="str">
        <f t="shared" si="76"/>
        <v>FFF</v>
      </c>
      <c r="B354" s="165">
        <f t="shared" si="76"/>
        <v>46249</v>
      </c>
      <c r="C354" s="166"/>
      <c r="D354" s="48">
        <f>DURATION(D$348,$B354,'Portfolio Management'!$H364,D336,2)</f>
        <v>5.6797770353894368</v>
      </c>
      <c r="E354" s="48">
        <f>DURATION(E$348,$B354,'Portfolio Management'!$H364,E336,2)</f>
        <v>5.6555385173758346</v>
      </c>
      <c r="F354" s="48">
        <f>DURATION(F$348,$B354,'Portfolio Management'!$H364,F336,2)</f>
        <v>5.5817856183233374</v>
      </c>
      <c r="G354" s="48">
        <f>DURATION(G$348,$B354,'Portfolio Management'!$H364,G336,2)</f>
        <v>5.7801914064170949</v>
      </c>
      <c r="H354" s="48">
        <f>DURATION(H$348,$B354,'Portfolio Management'!$H364,H336,2)</f>
        <v>5.7135291706327598</v>
      </c>
      <c r="I354" s="48">
        <f>DURATION(I$348,$B354,'Portfolio Management'!$H364,I336,2)</f>
        <v>5.6408925222014554</v>
      </c>
      <c r="J354" s="48">
        <f>DURATION(J$348,$B354,'Portfolio Management'!$H364,J336,2)</f>
        <v>5.5468625039660928</v>
      </c>
      <c r="K354" s="48">
        <f>DURATION(K$348,$B354,'Portfolio Management'!$H364,K336,2)</f>
        <v>5.4525011087712061</v>
      </c>
      <c r="L354" s="168">
        <f>+K354*'Portfolio Management'!H426</f>
        <v>0.18653646421836023</v>
      </c>
    </row>
    <row r="355" spans="1:14" ht="14.7" thickBot="1" x14ac:dyDescent="0.55000000000000004">
      <c r="B355"/>
      <c r="D355"/>
      <c r="I355"/>
      <c r="L355" s="169">
        <f>SUM(L349:L354)</f>
        <v>2.7944843355577387</v>
      </c>
    </row>
    <row r="357" spans="1:14" x14ac:dyDescent="0.5">
      <c r="A357" s="35" t="s">
        <v>140</v>
      </c>
      <c r="B357" s="63"/>
      <c r="C357" s="63"/>
      <c r="D357" s="35"/>
      <c r="E357" s="119"/>
      <c r="F357" s="120"/>
      <c r="G357" s="35"/>
      <c r="H357" s="35"/>
      <c r="I357" s="35"/>
      <c r="J357" s="35"/>
      <c r="K357" s="35"/>
      <c r="L357" s="63"/>
      <c r="M357" s="63"/>
      <c r="N357" s="63"/>
    </row>
    <row r="358" spans="1:14" ht="51.7" thickBot="1" x14ac:dyDescent="0.55000000000000004">
      <c r="A358" s="78" t="s">
        <v>59</v>
      </c>
      <c r="B358" s="78" t="s">
        <v>60</v>
      </c>
      <c r="C358" s="78" t="s">
        <v>61</v>
      </c>
      <c r="D358" s="2" t="s">
        <v>200</v>
      </c>
      <c r="E358" s="2" t="s">
        <v>199</v>
      </c>
      <c r="F358" s="2" t="s">
        <v>201</v>
      </c>
      <c r="G358" s="2" t="s">
        <v>141</v>
      </c>
      <c r="H358" s="2" t="s">
        <v>142</v>
      </c>
      <c r="I358" s="2" t="s">
        <v>143</v>
      </c>
      <c r="J358" s="2" t="s">
        <v>144</v>
      </c>
      <c r="K358" s="2" t="s">
        <v>145</v>
      </c>
      <c r="L358" s="2" t="s">
        <v>146</v>
      </c>
      <c r="M358" s="2"/>
      <c r="N358" s="63"/>
    </row>
    <row r="359" spans="1:14" ht="14.7" thickTop="1" x14ac:dyDescent="0.5">
      <c r="A359" s="127" t="s">
        <v>147</v>
      </c>
      <c r="B359" s="127" t="s">
        <v>148</v>
      </c>
      <c r="C359" s="127" t="s">
        <v>91</v>
      </c>
      <c r="D359" s="128">
        <v>1000</v>
      </c>
      <c r="E359" s="129">
        <v>45153</v>
      </c>
      <c r="F359" s="130" t="s">
        <v>149</v>
      </c>
      <c r="G359" s="130" t="s">
        <v>150</v>
      </c>
      <c r="H359" s="131">
        <v>5.2499999999999998E-2</v>
      </c>
      <c r="I359" s="129">
        <v>42781</v>
      </c>
      <c r="J359" s="129">
        <v>42962</v>
      </c>
      <c r="K359" s="132">
        <f t="shared" ref="K359:K364" si="77">+H359*D359</f>
        <v>52.5</v>
      </c>
      <c r="L359" s="133">
        <f t="shared" ref="L359:L364" si="78">+H359*K421</f>
        <v>7.4036732596968911E-3</v>
      </c>
      <c r="M359" s="63"/>
      <c r="N359" s="63"/>
    </row>
    <row r="360" spans="1:14" x14ac:dyDescent="0.5">
      <c r="A360" s="127" t="s">
        <v>151</v>
      </c>
      <c r="B360" s="127" t="s">
        <v>152</v>
      </c>
      <c r="C360" s="127" t="s">
        <v>85</v>
      </c>
      <c r="D360" s="128">
        <v>1000</v>
      </c>
      <c r="E360" s="129">
        <v>44013</v>
      </c>
      <c r="F360" s="130" t="s">
        <v>153</v>
      </c>
      <c r="G360" s="130" t="s">
        <v>154</v>
      </c>
      <c r="H360" s="131">
        <v>4.4999999999999998E-2</v>
      </c>
      <c r="I360" s="129">
        <v>42736</v>
      </c>
      <c r="J360" s="129">
        <v>42917</v>
      </c>
      <c r="K360" s="132">
        <f t="shared" si="77"/>
        <v>45</v>
      </c>
      <c r="L360" s="133">
        <f t="shared" si="78"/>
        <v>0</v>
      </c>
      <c r="M360" s="63"/>
      <c r="N360" s="63"/>
    </row>
    <row r="361" spans="1:14" x14ac:dyDescent="0.5">
      <c r="A361" s="127" t="s">
        <v>155</v>
      </c>
      <c r="B361" s="127" t="s">
        <v>156</v>
      </c>
      <c r="C361" s="127" t="s">
        <v>67</v>
      </c>
      <c r="D361" s="128">
        <v>1000</v>
      </c>
      <c r="E361" s="129">
        <v>45915</v>
      </c>
      <c r="F361" s="130" t="s">
        <v>19</v>
      </c>
      <c r="G361" s="130" t="s">
        <v>157</v>
      </c>
      <c r="H361" s="131">
        <v>7.0000000000000007E-2</v>
      </c>
      <c r="I361" s="129">
        <v>42809</v>
      </c>
      <c r="J361" s="129">
        <v>42993</v>
      </c>
      <c r="K361" s="132">
        <f t="shared" si="77"/>
        <v>70</v>
      </c>
      <c r="L361" s="133">
        <f t="shared" si="78"/>
        <v>2.3447212946313897E-2</v>
      </c>
      <c r="M361" s="128"/>
      <c r="N361" s="63"/>
    </row>
    <row r="362" spans="1:14" x14ac:dyDescent="0.5">
      <c r="A362" s="127" t="s">
        <v>158</v>
      </c>
      <c r="B362" s="127" t="s">
        <v>159</v>
      </c>
      <c r="C362" s="127" t="s">
        <v>73</v>
      </c>
      <c r="D362" s="128">
        <v>1000</v>
      </c>
      <c r="E362" s="129">
        <v>43661</v>
      </c>
      <c r="F362" s="130" t="s">
        <v>151</v>
      </c>
      <c r="G362" s="130" t="s">
        <v>160</v>
      </c>
      <c r="H362" s="131">
        <v>3.5000000000000003E-2</v>
      </c>
      <c r="I362" s="129">
        <v>42750</v>
      </c>
      <c r="J362" s="129">
        <v>42931</v>
      </c>
      <c r="K362" s="132">
        <f t="shared" si="77"/>
        <v>35</v>
      </c>
      <c r="L362" s="133">
        <f t="shared" si="78"/>
        <v>1.8340611353711792E-2</v>
      </c>
      <c r="M362" s="63"/>
      <c r="N362" s="63"/>
    </row>
    <row r="363" spans="1:14" x14ac:dyDescent="0.5">
      <c r="A363" s="127" t="s">
        <v>161</v>
      </c>
      <c r="B363" s="127" t="s">
        <v>162</v>
      </c>
      <c r="C363" s="127" t="s">
        <v>163</v>
      </c>
      <c r="D363" s="128">
        <v>1000</v>
      </c>
      <c r="E363" s="129">
        <v>46296</v>
      </c>
      <c r="F363" s="130" t="s">
        <v>164</v>
      </c>
      <c r="G363" s="130" t="s">
        <v>165</v>
      </c>
      <c r="H363" s="131">
        <v>4.7500000000000001E-2</v>
      </c>
      <c r="I363" s="129">
        <v>42826</v>
      </c>
      <c r="J363" s="129">
        <v>43009</v>
      </c>
      <c r="K363" s="132">
        <f t="shared" si="77"/>
        <v>47.5</v>
      </c>
      <c r="L363" s="133">
        <f t="shared" si="78"/>
        <v>0</v>
      </c>
      <c r="M363" s="63"/>
      <c r="N363" s="63"/>
    </row>
    <row r="364" spans="1:14" x14ac:dyDescent="0.5">
      <c r="A364" s="127" t="s">
        <v>166</v>
      </c>
      <c r="B364" s="127" t="s">
        <v>167</v>
      </c>
      <c r="C364" s="127" t="s">
        <v>85</v>
      </c>
      <c r="D364" s="128">
        <v>1000</v>
      </c>
      <c r="E364" s="129">
        <v>46249</v>
      </c>
      <c r="F364" s="130" t="s">
        <v>168</v>
      </c>
      <c r="G364" s="130" t="s">
        <v>169</v>
      </c>
      <c r="H364" s="131">
        <v>0.08</v>
      </c>
      <c r="I364" s="129">
        <v>42781</v>
      </c>
      <c r="J364" s="129">
        <v>42962</v>
      </c>
      <c r="K364" s="132">
        <f t="shared" si="77"/>
        <v>80</v>
      </c>
      <c r="L364" s="133">
        <f t="shared" si="78"/>
        <v>0</v>
      </c>
      <c r="M364" s="128"/>
      <c r="N364" s="63"/>
    </row>
    <row r="365" spans="1:14" x14ac:dyDescent="0.5">
      <c r="B365" s="10"/>
      <c r="C365" s="121" t="s">
        <v>170</v>
      </c>
      <c r="D365" s="122">
        <f>SUM(D359:D364)</f>
        <v>6000</v>
      </c>
      <c r="E365" s="100"/>
      <c r="F365" s="35"/>
      <c r="G365" s="123" t="s">
        <v>171</v>
      </c>
      <c r="H365" s="124">
        <f>+K365/D365</f>
        <v>5.5E-2</v>
      </c>
      <c r="I365" s="35"/>
      <c r="J365" s="123" t="s">
        <v>172</v>
      </c>
      <c r="K365" s="125">
        <f>SUM(K359:K364)</f>
        <v>330</v>
      </c>
      <c r="L365" s="126">
        <f>SUM(L359:L364)</f>
        <v>4.9191497559722581E-2</v>
      </c>
      <c r="M365" s="63"/>
      <c r="N365" s="63"/>
    </row>
    <row r="366" spans="1:14" x14ac:dyDescent="0.5">
      <c r="B366" s="10"/>
      <c r="C366" s="134"/>
      <c r="D366" s="122"/>
      <c r="E366" s="100"/>
      <c r="F366" s="35"/>
      <c r="G366" s="35"/>
      <c r="H366" s="35"/>
      <c r="I366" s="35"/>
      <c r="J366" s="35"/>
      <c r="K366" s="35"/>
      <c r="L366" s="63"/>
      <c r="M366" s="63"/>
      <c r="N366" s="63"/>
    </row>
    <row r="367" spans="1:14" x14ac:dyDescent="0.5">
      <c r="A367" s="11" t="s">
        <v>173</v>
      </c>
      <c r="B367" s="70"/>
      <c r="C367" s="70"/>
      <c r="D367"/>
      <c r="E367" s="76">
        <v>0</v>
      </c>
      <c r="F367" s="76">
        <v>1</v>
      </c>
      <c r="G367" s="76">
        <v>2</v>
      </c>
      <c r="H367" s="76">
        <v>3</v>
      </c>
      <c r="I367" s="76">
        <v>4</v>
      </c>
      <c r="J367" s="76">
        <v>5</v>
      </c>
      <c r="K367" s="76">
        <v>6</v>
      </c>
      <c r="L367" s="76">
        <v>7</v>
      </c>
    </row>
    <row r="368" spans="1:14" ht="26.35" thickBot="1" x14ac:dyDescent="0.55000000000000004">
      <c r="A368" s="162" t="s">
        <v>59</v>
      </c>
      <c r="B368" s="162" t="s">
        <v>60</v>
      </c>
      <c r="C368" s="162" t="s">
        <v>61</v>
      </c>
      <c r="D368" s="162"/>
      <c r="E368" s="114">
        <f>+[1]Stocks!E4</f>
        <v>43252</v>
      </c>
      <c r="F368" s="114">
        <f>+[1]Stocks!F4</f>
        <v>43282</v>
      </c>
      <c r="G368" s="114">
        <f>+[1]Stocks!G4</f>
        <v>43313</v>
      </c>
      <c r="H368" s="114">
        <f>+[1]Stocks!H4</f>
        <v>43344</v>
      </c>
      <c r="I368" s="114">
        <f>+[1]Stocks!I4</f>
        <v>43374</v>
      </c>
      <c r="J368" s="114">
        <f>+[1]Stocks!J4</f>
        <v>43405</v>
      </c>
      <c r="K368" s="114">
        <f>+[1]Stocks!K4</f>
        <v>43435</v>
      </c>
      <c r="L368" s="114">
        <f>+[1]Stocks!L4</f>
        <v>43466</v>
      </c>
      <c r="M368" s="163" t="s">
        <v>174</v>
      </c>
      <c r="N368" s="68"/>
    </row>
    <row r="369" spans="1:13" ht="14.7" thickTop="1" x14ac:dyDescent="0.5">
      <c r="A369" s="135" t="str">
        <f t="shared" ref="A369:C374" si="79">+A359</f>
        <v>AAA</v>
      </c>
      <c r="B369" s="135" t="str">
        <f t="shared" si="79"/>
        <v>Alpha Inc.</v>
      </c>
      <c r="C369" s="135" t="str">
        <f t="shared" si="79"/>
        <v>Healthcare</v>
      </c>
      <c r="D369"/>
      <c r="E369">
        <v>890</v>
      </c>
      <c r="F369">
        <v>893</v>
      </c>
      <c r="G369">
        <v>895</v>
      </c>
      <c r="H369">
        <v>905</v>
      </c>
      <c r="I369">
        <v>910</v>
      </c>
      <c r="J369">
        <v>912</v>
      </c>
      <c r="K369">
        <v>915</v>
      </c>
      <c r="L369">
        <v>910</v>
      </c>
      <c r="M369" s="10">
        <f t="shared" ref="M369:M374" si="80">+L369*H421</f>
        <v>121.61703174993846</v>
      </c>
    </row>
    <row r="370" spans="1:13" x14ac:dyDescent="0.5">
      <c r="A370" s="135" t="str">
        <f t="shared" si="79"/>
        <v>BBB</v>
      </c>
      <c r="B370" s="135" t="str">
        <f t="shared" si="79"/>
        <v>Beta Inc.</v>
      </c>
      <c r="C370" s="135" t="str">
        <f t="shared" si="79"/>
        <v>Retail</v>
      </c>
      <c r="D370"/>
      <c r="E370">
        <v>910</v>
      </c>
      <c r="F370">
        <v>925</v>
      </c>
      <c r="G370">
        <v>915</v>
      </c>
      <c r="H370">
        <v>925</v>
      </c>
      <c r="I370">
        <v>915</v>
      </c>
      <c r="J370">
        <v>922</v>
      </c>
      <c r="K370">
        <v>935</v>
      </c>
      <c r="L370">
        <v>930</v>
      </c>
      <c r="M370" s="10">
        <f t="shared" si="80"/>
        <v>0</v>
      </c>
    </row>
    <row r="371" spans="1:13" x14ac:dyDescent="0.5">
      <c r="A371" s="135" t="str">
        <f t="shared" si="79"/>
        <v>CCC</v>
      </c>
      <c r="B371" s="135" t="str">
        <f t="shared" si="79"/>
        <v>CC Corporation</v>
      </c>
      <c r="C371" s="135" t="str">
        <f t="shared" si="79"/>
        <v>Industrial</v>
      </c>
      <c r="D371"/>
      <c r="E371">
        <v>790</v>
      </c>
      <c r="F371">
        <v>800</v>
      </c>
      <c r="G371">
        <v>810</v>
      </c>
      <c r="H371">
        <v>815</v>
      </c>
      <c r="I371">
        <v>820</v>
      </c>
      <c r="J371">
        <v>822</v>
      </c>
      <c r="K371">
        <v>815</v>
      </c>
      <c r="L371">
        <v>800</v>
      </c>
      <c r="M371" s="10">
        <f t="shared" si="80"/>
        <v>224.66158011321684</v>
      </c>
    </row>
    <row r="372" spans="1:13" x14ac:dyDescent="0.5">
      <c r="A372" s="135" t="str">
        <f t="shared" si="79"/>
        <v>DDD</v>
      </c>
      <c r="B372" s="135" t="str">
        <f t="shared" si="79"/>
        <v>Delta D Inc.</v>
      </c>
      <c r="C372" s="135" t="str">
        <f t="shared" si="79"/>
        <v>Hospitality</v>
      </c>
      <c r="D372"/>
      <c r="E372">
        <v>1010</v>
      </c>
      <c r="F372">
        <v>1015</v>
      </c>
      <c r="G372">
        <v>1020</v>
      </c>
      <c r="H372">
        <v>1022</v>
      </c>
      <c r="I372">
        <v>1026</v>
      </c>
      <c r="J372">
        <v>1025</v>
      </c>
      <c r="K372">
        <v>1020</v>
      </c>
      <c r="L372">
        <v>1027</v>
      </c>
      <c r="M372" s="10">
        <f t="shared" si="80"/>
        <v>516.65961112478465</v>
      </c>
    </row>
    <row r="373" spans="1:13" x14ac:dyDescent="0.5">
      <c r="A373" s="135" t="str">
        <f t="shared" si="79"/>
        <v>EEE</v>
      </c>
      <c r="B373" s="135" t="str">
        <f t="shared" si="79"/>
        <v>Epsilon Inc</v>
      </c>
      <c r="C373" s="135" t="str">
        <f t="shared" si="79"/>
        <v>Technology</v>
      </c>
      <c r="D373"/>
      <c r="E373">
        <v>950</v>
      </c>
      <c r="F373">
        <v>965</v>
      </c>
      <c r="G373">
        <v>975</v>
      </c>
      <c r="H373">
        <v>980</v>
      </c>
      <c r="I373">
        <v>982</v>
      </c>
      <c r="J373">
        <v>995</v>
      </c>
      <c r="K373">
        <v>1000</v>
      </c>
      <c r="L373">
        <v>1010</v>
      </c>
      <c r="M373" s="10">
        <f t="shared" si="80"/>
        <v>48.722618754614814</v>
      </c>
    </row>
    <row r="374" spans="1:13" x14ac:dyDescent="0.5">
      <c r="A374" s="135" t="str">
        <f t="shared" si="79"/>
        <v>FFF</v>
      </c>
      <c r="B374" s="135" t="str">
        <f t="shared" si="79"/>
        <v>Fusbol For Friends</v>
      </c>
      <c r="C374" s="135" t="str">
        <f t="shared" si="79"/>
        <v>Retail</v>
      </c>
      <c r="D374"/>
      <c r="E374">
        <v>640</v>
      </c>
      <c r="F374">
        <v>680</v>
      </c>
      <c r="G374">
        <v>687</v>
      </c>
      <c r="H374">
        <v>695</v>
      </c>
      <c r="I374">
        <v>710</v>
      </c>
      <c r="J374">
        <v>720</v>
      </c>
      <c r="K374">
        <v>710</v>
      </c>
      <c r="L374">
        <v>700</v>
      </c>
      <c r="M374" s="10">
        <f t="shared" si="80"/>
        <v>23.947821806546887</v>
      </c>
    </row>
    <row r="375" spans="1:13" ht="14.7" thickBot="1" x14ac:dyDescent="0.55000000000000004">
      <c r="A375" s="135"/>
      <c r="B375" s="135"/>
      <c r="C375" s="135"/>
      <c r="D375" s="136">
        <f>+D365</f>
        <v>6000</v>
      </c>
      <c r="E375" s="117">
        <f t="shared" ref="E375:L375" si="81">SUM(E369:E374)</f>
        <v>5190</v>
      </c>
      <c r="F375" s="117">
        <f t="shared" si="81"/>
        <v>5278</v>
      </c>
      <c r="G375" s="117">
        <f t="shared" si="81"/>
        <v>5302</v>
      </c>
      <c r="H375" s="117">
        <f t="shared" si="81"/>
        <v>5342</v>
      </c>
      <c r="I375" s="117">
        <f t="shared" si="81"/>
        <v>5363</v>
      </c>
      <c r="J375" s="117">
        <f t="shared" si="81"/>
        <v>5396</v>
      </c>
      <c r="K375" s="117">
        <f t="shared" si="81"/>
        <v>5395</v>
      </c>
      <c r="L375" s="117">
        <f t="shared" si="81"/>
        <v>5377</v>
      </c>
    </row>
    <row r="376" spans="1:13" ht="15" thickTop="1" thickBot="1" x14ac:dyDescent="0.55000000000000004">
      <c r="B376"/>
      <c r="C376" s="75"/>
      <c r="D376" s="137" t="s">
        <v>175</v>
      </c>
      <c r="E376" s="138">
        <f t="shared" ref="E376:L376" si="82">+E375/$D$375</f>
        <v>0.86499999999999999</v>
      </c>
      <c r="F376" s="138">
        <f t="shared" si="82"/>
        <v>0.87966666666666671</v>
      </c>
      <c r="G376" s="138">
        <f t="shared" si="82"/>
        <v>0.88366666666666671</v>
      </c>
      <c r="H376" s="138">
        <f t="shared" si="82"/>
        <v>0.89033333333333331</v>
      </c>
      <c r="I376" s="138">
        <f t="shared" si="82"/>
        <v>0.89383333333333337</v>
      </c>
      <c r="J376" s="138">
        <f t="shared" si="82"/>
        <v>0.89933333333333332</v>
      </c>
      <c r="K376" s="138">
        <f t="shared" si="82"/>
        <v>0.89916666666666667</v>
      </c>
      <c r="L376" s="138">
        <f t="shared" si="82"/>
        <v>0.89616666666666667</v>
      </c>
      <c r="M376" s="139">
        <f>SUM(M369:M374)</f>
        <v>935.60866354910172</v>
      </c>
    </row>
    <row r="377" spans="1:13" ht="14.7" thickTop="1" x14ac:dyDescent="0.5">
      <c r="B377"/>
      <c r="C377" s="75"/>
      <c r="D377" s="137" t="s">
        <v>176</v>
      </c>
      <c r="I377"/>
    </row>
    <row r="378" spans="1:13" x14ac:dyDescent="0.5">
      <c r="B378"/>
      <c r="C378" s="75"/>
      <c r="D378" s="137"/>
      <c r="I378"/>
    </row>
    <row r="379" spans="1:13" x14ac:dyDescent="0.5">
      <c r="A379" s="82" t="s">
        <v>177</v>
      </c>
      <c r="B379"/>
      <c r="D379"/>
      <c r="E379" s="76">
        <v>0</v>
      </c>
      <c r="F379" s="76">
        <v>1</v>
      </c>
      <c r="G379" s="76">
        <v>2</v>
      </c>
      <c r="H379" s="76">
        <v>3</v>
      </c>
      <c r="I379" s="76">
        <v>4</v>
      </c>
      <c r="J379" s="76">
        <v>5</v>
      </c>
      <c r="K379" s="76">
        <v>6</v>
      </c>
      <c r="L379" s="76">
        <v>7</v>
      </c>
    </row>
    <row r="380" spans="1:13" ht="14.7" thickBot="1" x14ac:dyDescent="0.55000000000000004">
      <c r="A380" s="78" t="s">
        <v>59</v>
      </c>
      <c r="B380" s="78" t="s">
        <v>60</v>
      </c>
      <c r="C380" s="78" t="s">
        <v>61</v>
      </c>
      <c r="D380" s="78"/>
      <c r="E380" s="79">
        <f t="shared" ref="E380:L380" si="83">+E368</f>
        <v>43252</v>
      </c>
      <c r="F380" s="79">
        <f t="shared" si="83"/>
        <v>43282</v>
      </c>
      <c r="G380" s="79">
        <f t="shared" si="83"/>
        <v>43313</v>
      </c>
      <c r="H380" s="79">
        <f t="shared" si="83"/>
        <v>43344</v>
      </c>
      <c r="I380" s="79">
        <f t="shared" si="83"/>
        <v>43374</v>
      </c>
      <c r="J380" s="79">
        <f t="shared" si="83"/>
        <v>43405</v>
      </c>
      <c r="K380" s="79">
        <f t="shared" si="83"/>
        <v>43435</v>
      </c>
      <c r="L380" s="79">
        <f t="shared" si="83"/>
        <v>43466</v>
      </c>
    </row>
    <row r="381" spans="1:13" ht="14.7" thickTop="1" x14ac:dyDescent="0.5">
      <c r="A381" s="135" t="str">
        <f t="shared" ref="A381:C386" si="84">+A369</f>
        <v>AAA</v>
      </c>
      <c r="B381" s="135" t="str">
        <f t="shared" si="84"/>
        <v>Alpha Inc.</v>
      </c>
      <c r="C381" s="135" t="str">
        <f t="shared" si="84"/>
        <v>Healthcare</v>
      </c>
      <c r="D381"/>
      <c r="E381" s="140">
        <v>15</v>
      </c>
      <c r="F381">
        <f t="shared" ref="F381:L386" si="85">+E381+F390</f>
        <v>15</v>
      </c>
      <c r="G381">
        <f t="shared" si="85"/>
        <v>15</v>
      </c>
      <c r="H381">
        <f t="shared" si="85"/>
        <v>15</v>
      </c>
      <c r="I381">
        <f t="shared" si="85"/>
        <v>15</v>
      </c>
      <c r="J381">
        <f t="shared" si="85"/>
        <v>15</v>
      </c>
      <c r="K381">
        <f t="shared" si="85"/>
        <v>15</v>
      </c>
      <c r="L381">
        <f t="shared" si="85"/>
        <v>0</v>
      </c>
    </row>
    <row r="382" spans="1:13" x14ac:dyDescent="0.5">
      <c r="A382" s="135" t="str">
        <f t="shared" si="84"/>
        <v>BBB</v>
      </c>
      <c r="B382" s="135" t="str">
        <f t="shared" si="84"/>
        <v>Beta Inc.</v>
      </c>
      <c r="C382" s="135" t="str">
        <f t="shared" si="84"/>
        <v>Retail</v>
      </c>
      <c r="D382"/>
      <c r="E382" s="140">
        <v>20</v>
      </c>
      <c r="F382">
        <f t="shared" si="85"/>
        <v>8</v>
      </c>
      <c r="G382">
        <f t="shared" si="85"/>
        <v>0</v>
      </c>
      <c r="H382">
        <f t="shared" si="85"/>
        <v>0</v>
      </c>
      <c r="I382">
        <f t="shared" si="85"/>
        <v>0</v>
      </c>
      <c r="J382">
        <f t="shared" si="85"/>
        <v>0</v>
      </c>
      <c r="K382">
        <f t="shared" si="85"/>
        <v>0</v>
      </c>
      <c r="L382">
        <f t="shared" si="85"/>
        <v>0</v>
      </c>
    </row>
    <row r="383" spans="1:13" x14ac:dyDescent="0.5">
      <c r="A383" s="135" t="str">
        <f t="shared" si="84"/>
        <v>CCC</v>
      </c>
      <c r="B383" s="135" t="str">
        <f t="shared" si="84"/>
        <v>CC Corporation</v>
      </c>
      <c r="C383" s="135" t="str">
        <f t="shared" si="84"/>
        <v>Industrial</v>
      </c>
      <c r="D383"/>
      <c r="E383" s="140">
        <v>30</v>
      </c>
      <c r="F383">
        <f t="shared" si="85"/>
        <v>30</v>
      </c>
      <c r="G383">
        <f t="shared" si="85"/>
        <v>30</v>
      </c>
      <c r="H383">
        <f t="shared" si="85"/>
        <v>35</v>
      </c>
      <c r="I383">
        <f t="shared" si="85"/>
        <v>35</v>
      </c>
      <c r="J383">
        <f t="shared" si="85"/>
        <v>40</v>
      </c>
      <c r="K383">
        <f t="shared" si="85"/>
        <v>40</v>
      </c>
      <c r="L383">
        <f t="shared" si="85"/>
        <v>0</v>
      </c>
    </row>
    <row r="384" spans="1:13" x14ac:dyDescent="0.5">
      <c r="A384" s="135" t="str">
        <f t="shared" si="84"/>
        <v>DDD</v>
      </c>
      <c r="B384" s="135" t="str">
        <f t="shared" si="84"/>
        <v>Delta D Inc.</v>
      </c>
      <c r="C384" s="135" t="str">
        <f t="shared" si="84"/>
        <v>Hospitality</v>
      </c>
      <c r="D384"/>
      <c r="E384" s="140">
        <v>40</v>
      </c>
      <c r="F384">
        <f t="shared" si="85"/>
        <v>40</v>
      </c>
      <c r="G384">
        <f t="shared" si="85"/>
        <v>50</v>
      </c>
      <c r="H384">
        <f t="shared" si="85"/>
        <v>50</v>
      </c>
      <c r="I384">
        <f t="shared" si="85"/>
        <v>50</v>
      </c>
      <c r="J384">
        <f t="shared" si="85"/>
        <v>50</v>
      </c>
      <c r="K384">
        <f t="shared" si="85"/>
        <v>50</v>
      </c>
      <c r="L384">
        <f t="shared" si="85"/>
        <v>0</v>
      </c>
    </row>
    <row r="385" spans="1:12" x14ac:dyDescent="0.5">
      <c r="A385" s="135" t="str">
        <f t="shared" si="84"/>
        <v>EEE</v>
      </c>
      <c r="B385" s="135" t="str">
        <f t="shared" si="84"/>
        <v>Epsilon Inc</v>
      </c>
      <c r="C385" s="135" t="str">
        <f t="shared" si="84"/>
        <v>Technology</v>
      </c>
      <c r="D385"/>
      <c r="E385" s="140">
        <v>0</v>
      </c>
      <c r="F385">
        <f t="shared" si="85"/>
        <v>5</v>
      </c>
      <c r="G385">
        <f t="shared" si="85"/>
        <v>5</v>
      </c>
      <c r="H385">
        <f t="shared" si="85"/>
        <v>5</v>
      </c>
      <c r="I385">
        <f t="shared" si="85"/>
        <v>5</v>
      </c>
      <c r="J385">
        <f t="shared" si="85"/>
        <v>0</v>
      </c>
      <c r="K385">
        <f t="shared" si="85"/>
        <v>0</v>
      </c>
      <c r="L385">
        <f t="shared" si="85"/>
        <v>0</v>
      </c>
    </row>
    <row r="386" spans="1:12" x14ac:dyDescent="0.5">
      <c r="A386" s="135" t="str">
        <f t="shared" si="84"/>
        <v>FFF</v>
      </c>
      <c r="B386" s="135" t="str">
        <f t="shared" si="84"/>
        <v>Fusbol For Friends</v>
      </c>
      <c r="C386" s="135" t="str">
        <f t="shared" si="84"/>
        <v>Retail</v>
      </c>
      <c r="D386"/>
      <c r="E386" s="140">
        <v>0</v>
      </c>
      <c r="F386">
        <f t="shared" si="85"/>
        <v>5</v>
      </c>
      <c r="G386">
        <f t="shared" si="85"/>
        <v>5</v>
      </c>
      <c r="H386">
        <f t="shared" si="85"/>
        <v>5</v>
      </c>
      <c r="I386">
        <f t="shared" si="85"/>
        <v>5</v>
      </c>
      <c r="J386">
        <f t="shared" si="85"/>
        <v>5</v>
      </c>
      <c r="K386">
        <f t="shared" si="85"/>
        <v>0</v>
      </c>
      <c r="L386">
        <f t="shared" si="85"/>
        <v>0</v>
      </c>
    </row>
    <row r="387" spans="1:12" x14ac:dyDescent="0.5">
      <c r="B387"/>
      <c r="C387" s="75"/>
      <c r="D387"/>
      <c r="I387"/>
    </row>
    <row r="388" spans="1:12" x14ac:dyDescent="0.5">
      <c r="A388" s="82" t="s">
        <v>103</v>
      </c>
      <c r="B388"/>
      <c r="C388" s="75"/>
      <c r="D388"/>
      <c r="E388" s="76"/>
      <c r="F388" s="76"/>
      <c r="G388" s="76"/>
      <c r="H388" s="76"/>
      <c r="I388" s="76"/>
      <c r="J388" s="76"/>
      <c r="K388" s="76"/>
      <c r="L388" s="76"/>
    </row>
    <row r="389" spans="1:12" ht="14.7" thickBot="1" x14ac:dyDescent="0.55000000000000004">
      <c r="A389" s="78" t="s">
        <v>59</v>
      </c>
      <c r="B389" s="78" t="s">
        <v>60</v>
      </c>
      <c r="C389" s="78" t="s">
        <v>61</v>
      </c>
      <c r="D389" s="78"/>
      <c r="E389" s="79">
        <f t="shared" ref="E389:L389" si="86">+E380</f>
        <v>43252</v>
      </c>
      <c r="F389" s="79">
        <f t="shared" si="86"/>
        <v>43282</v>
      </c>
      <c r="G389" s="79">
        <f t="shared" si="86"/>
        <v>43313</v>
      </c>
      <c r="H389" s="79">
        <f t="shared" si="86"/>
        <v>43344</v>
      </c>
      <c r="I389" s="79">
        <f t="shared" si="86"/>
        <v>43374</v>
      </c>
      <c r="J389" s="79">
        <f t="shared" si="86"/>
        <v>43405</v>
      </c>
      <c r="K389" s="79">
        <f t="shared" si="86"/>
        <v>43435</v>
      </c>
      <c r="L389" s="79">
        <f t="shared" si="86"/>
        <v>43466</v>
      </c>
    </row>
    <row r="390" spans="1:12" ht="14.7" thickTop="1" x14ac:dyDescent="0.5">
      <c r="A390" s="135" t="str">
        <f t="shared" ref="A390:C395" si="87">+A381</f>
        <v>AAA</v>
      </c>
      <c r="B390" s="135" t="str">
        <f t="shared" si="87"/>
        <v>Alpha Inc.</v>
      </c>
      <c r="C390" s="135" t="str">
        <f t="shared" si="87"/>
        <v>Healthcare</v>
      </c>
      <c r="D390"/>
      <c r="E390">
        <f t="shared" ref="E390:E395" si="88">E381</f>
        <v>15</v>
      </c>
      <c r="F390" s="140"/>
      <c r="G390" s="140"/>
      <c r="H390" s="140"/>
      <c r="I390" s="140"/>
      <c r="J390" s="140"/>
      <c r="K390" s="140"/>
      <c r="L390" s="140">
        <f t="shared" ref="L390:L395" si="89">-K381</f>
        <v>-15</v>
      </c>
    </row>
    <row r="391" spans="1:12" x14ac:dyDescent="0.5">
      <c r="A391" s="135" t="str">
        <f t="shared" si="87"/>
        <v>BBB</v>
      </c>
      <c r="B391" s="135" t="str">
        <f t="shared" si="87"/>
        <v>Beta Inc.</v>
      </c>
      <c r="C391" s="135" t="str">
        <f t="shared" si="87"/>
        <v>Retail</v>
      </c>
      <c r="D391"/>
      <c r="E391">
        <f t="shared" si="88"/>
        <v>20</v>
      </c>
      <c r="F391" s="140">
        <v>-12</v>
      </c>
      <c r="G391" s="140">
        <v>-8</v>
      </c>
      <c r="H391" s="140"/>
      <c r="I391" s="140"/>
      <c r="J391" s="140"/>
      <c r="K391" s="140"/>
      <c r="L391" s="140">
        <f t="shared" si="89"/>
        <v>0</v>
      </c>
    </row>
    <row r="392" spans="1:12" x14ac:dyDescent="0.5">
      <c r="A392" s="135" t="str">
        <f t="shared" si="87"/>
        <v>CCC</v>
      </c>
      <c r="B392" s="135" t="str">
        <f t="shared" si="87"/>
        <v>CC Corporation</v>
      </c>
      <c r="C392" s="135" t="str">
        <f t="shared" si="87"/>
        <v>Industrial</v>
      </c>
      <c r="D392"/>
      <c r="E392">
        <f t="shared" si="88"/>
        <v>30</v>
      </c>
      <c r="F392" s="140"/>
      <c r="G392" s="140"/>
      <c r="H392" s="140">
        <v>5</v>
      </c>
      <c r="I392" s="140"/>
      <c r="J392" s="140">
        <v>5</v>
      </c>
      <c r="K392" s="140"/>
      <c r="L392" s="140">
        <f t="shared" si="89"/>
        <v>-40</v>
      </c>
    </row>
    <row r="393" spans="1:12" x14ac:dyDescent="0.5">
      <c r="A393" s="135" t="str">
        <f t="shared" si="87"/>
        <v>DDD</v>
      </c>
      <c r="B393" s="135" t="str">
        <f t="shared" si="87"/>
        <v>Delta D Inc.</v>
      </c>
      <c r="C393" s="135" t="str">
        <f t="shared" si="87"/>
        <v>Hospitality</v>
      </c>
      <c r="D393"/>
      <c r="E393">
        <f t="shared" si="88"/>
        <v>40</v>
      </c>
      <c r="F393" s="140"/>
      <c r="G393" s="140">
        <v>10</v>
      </c>
      <c r="H393" s="140"/>
      <c r="I393" s="140"/>
      <c r="J393" s="140"/>
      <c r="K393" s="140"/>
      <c r="L393" s="140">
        <f t="shared" si="89"/>
        <v>-50</v>
      </c>
    </row>
    <row r="394" spans="1:12" x14ac:dyDescent="0.5">
      <c r="A394" s="135" t="str">
        <f t="shared" si="87"/>
        <v>EEE</v>
      </c>
      <c r="B394" s="135" t="str">
        <f t="shared" si="87"/>
        <v>Epsilon Inc</v>
      </c>
      <c r="C394" s="135" t="str">
        <f t="shared" si="87"/>
        <v>Technology</v>
      </c>
      <c r="D394"/>
      <c r="E394">
        <f t="shared" si="88"/>
        <v>0</v>
      </c>
      <c r="F394" s="140">
        <v>5</v>
      </c>
      <c r="G394" s="140"/>
      <c r="H394" s="140"/>
      <c r="I394" s="140"/>
      <c r="J394" s="140">
        <v>-5</v>
      </c>
      <c r="K394" s="140"/>
      <c r="L394" s="140">
        <f t="shared" si="89"/>
        <v>0</v>
      </c>
    </row>
    <row r="395" spans="1:12" x14ac:dyDescent="0.5">
      <c r="A395" s="135" t="str">
        <f t="shared" si="87"/>
        <v>FFF</v>
      </c>
      <c r="B395" s="135" t="str">
        <f t="shared" si="87"/>
        <v>Fusbol For Friends</v>
      </c>
      <c r="C395" s="135" t="str">
        <f t="shared" si="87"/>
        <v>Retail</v>
      </c>
      <c r="D395"/>
      <c r="E395">
        <f t="shared" si="88"/>
        <v>0</v>
      </c>
      <c r="F395" s="140">
        <v>5</v>
      </c>
      <c r="G395" s="140"/>
      <c r="H395" s="140"/>
      <c r="I395" s="140"/>
      <c r="J395" s="140"/>
      <c r="K395" s="140">
        <v>-5</v>
      </c>
      <c r="L395" s="140">
        <f t="shared" si="89"/>
        <v>0</v>
      </c>
    </row>
    <row r="396" spans="1:12" x14ac:dyDescent="0.5">
      <c r="B396"/>
      <c r="C396" s="75"/>
      <c r="D396"/>
      <c r="E396" s="141"/>
      <c r="F396" s="141"/>
      <c r="G396" s="141"/>
      <c r="H396" s="141"/>
      <c r="I396" s="141"/>
      <c r="J396" s="141"/>
      <c r="K396" s="141"/>
      <c r="L396" s="141"/>
    </row>
    <row r="397" spans="1:12" x14ac:dyDescent="0.5">
      <c r="A397" s="82" t="s">
        <v>103</v>
      </c>
      <c r="B397"/>
      <c r="C397" s="75"/>
      <c r="D397"/>
      <c r="E397" s="76"/>
      <c r="F397" s="76"/>
      <c r="G397" s="76"/>
      <c r="H397" s="76"/>
      <c r="I397" s="76"/>
      <c r="J397" s="76"/>
      <c r="K397" s="76"/>
      <c r="L397" s="76"/>
    </row>
    <row r="398" spans="1:12" ht="14.7" thickBot="1" x14ac:dyDescent="0.55000000000000004">
      <c r="A398" s="78" t="s">
        <v>59</v>
      </c>
      <c r="B398" s="78" t="s">
        <v>60</v>
      </c>
      <c r="C398" s="78" t="s">
        <v>61</v>
      </c>
      <c r="D398" s="78"/>
      <c r="E398" s="79">
        <f t="shared" ref="E398:L398" si="90">+E389</f>
        <v>43252</v>
      </c>
      <c r="F398" s="79">
        <f t="shared" si="90"/>
        <v>43282</v>
      </c>
      <c r="G398" s="79">
        <f t="shared" si="90"/>
        <v>43313</v>
      </c>
      <c r="H398" s="79">
        <f t="shared" si="90"/>
        <v>43344</v>
      </c>
      <c r="I398" s="79">
        <f t="shared" si="90"/>
        <v>43374</v>
      </c>
      <c r="J398" s="79">
        <f t="shared" si="90"/>
        <v>43405</v>
      </c>
      <c r="K398" s="79">
        <f t="shared" si="90"/>
        <v>43435</v>
      </c>
      <c r="L398" s="79">
        <f t="shared" si="90"/>
        <v>43466</v>
      </c>
    </row>
    <row r="399" spans="1:12" ht="14.7" thickTop="1" x14ac:dyDescent="0.5">
      <c r="A399" s="135" t="str">
        <f t="shared" ref="A399:C404" si="91">+A390</f>
        <v>AAA</v>
      </c>
      <c r="B399" s="135" t="str">
        <f t="shared" si="91"/>
        <v>Alpha Inc.</v>
      </c>
      <c r="C399" s="135" t="str">
        <f t="shared" si="91"/>
        <v>Healthcare</v>
      </c>
      <c r="D399"/>
      <c r="F399" s="10">
        <f t="shared" ref="F399:L404" si="92">-F390*F369</f>
        <v>0</v>
      </c>
      <c r="G399" s="10">
        <f t="shared" si="92"/>
        <v>0</v>
      </c>
      <c r="H399" s="10">
        <f t="shared" si="92"/>
        <v>0</v>
      </c>
      <c r="I399" s="10">
        <f t="shared" si="92"/>
        <v>0</v>
      </c>
      <c r="J399" s="10">
        <f t="shared" si="92"/>
        <v>0</v>
      </c>
      <c r="K399" s="10">
        <f t="shared" si="92"/>
        <v>0</v>
      </c>
      <c r="L399" s="10">
        <f t="shared" si="92"/>
        <v>13650</v>
      </c>
    </row>
    <row r="400" spans="1:12" x14ac:dyDescent="0.5">
      <c r="A400" s="135" t="str">
        <f t="shared" si="91"/>
        <v>BBB</v>
      </c>
      <c r="B400" s="135" t="str">
        <f t="shared" si="91"/>
        <v>Beta Inc.</v>
      </c>
      <c r="C400" s="135" t="str">
        <f t="shared" si="91"/>
        <v>Retail</v>
      </c>
      <c r="D400"/>
      <c r="F400" s="10">
        <f t="shared" si="92"/>
        <v>11100</v>
      </c>
      <c r="G400" s="10">
        <f t="shared" si="92"/>
        <v>7320</v>
      </c>
      <c r="H400" s="10">
        <f t="shared" si="92"/>
        <v>0</v>
      </c>
      <c r="I400" s="10">
        <f t="shared" si="92"/>
        <v>0</v>
      </c>
      <c r="J400" s="10">
        <f t="shared" si="92"/>
        <v>0</v>
      </c>
      <c r="K400" s="10">
        <f t="shared" si="92"/>
        <v>0</v>
      </c>
      <c r="L400" s="10">
        <f t="shared" si="92"/>
        <v>0</v>
      </c>
    </row>
    <row r="401" spans="1:12" x14ac:dyDescent="0.5">
      <c r="A401" s="135" t="str">
        <f t="shared" si="91"/>
        <v>CCC</v>
      </c>
      <c r="B401" s="135" t="str">
        <f t="shared" si="91"/>
        <v>CC Corporation</v>
      </c>
      <c r="C401" s="135" t="str">
        <f t="shared" si="91"/>
        <v>Industrial</v>
      </c>
      <c r="D401"/>
      <c r="F401" s="10">
        <f t="shared" si="92"/>
        <v>0</v>
      </c>
      <c r="G401" s="10">
        <f t="shared" si="92"/>
        <v>0</v>
      </c>
      <c r="H401" s="10">
        <f t="shared" si="92"/>
        <v>-4075</v>
      </c>
      <c r="I401" s="10">
        <f t="shared" si="92"/>
        <v>0</v>
      </c>
      <c r="J401" s="10">
        <f t="shared" si="92"/>
        <v>-4110</v>
      </c>
      <c r="K401" s="10">
        <f t="shared" si="92"/>
        <v>0</v>
      </c>
      <c r="L401" s="10">
        <f t="shared" si="92"/>
        <v>32000</v>
      </c>
    </row>
    <row r="402" spans="1:12" x14ac:dyDescent="0.5">
      <c r="A402" s="135" t="str">
        <f t="shared" si="91"/>
        <v>DDD</v>
      </c>
      <c r="B402" s="135" t="str">
        <f t="shared" si="91"/>
        <v>Delta D Inc.</v>
      </c>
      <c r="C402" s="135" t="str">
        <f t="shared" si="91"/>
        <v>Hospitality</v>
      </c>
      <c r="D402"/>
      <c r="F402" s="10">
        <f t="shared" si="92"/>
        <v>0</v>
      </c>
      <c r="G402" s="10">
        <f t="shared" si="92"/>
        <v>-10200</v>
      </c>
      <c r="H402" s="10">
        <f t="shared" si="92"/>
        <v>0</v>
      </c>
      <c r="I402" s="10">
        <f t="shared" si="92"/>
        <v>0</v>
      </c>
      <c r="J402" s="10">
        <f t="shared" si="92"/>
        <v>0</v>
      </c>
      <c r="K402" s="10">
        <f t="shared" si="92"/>
        <v>0</v>
      </c>
      <c r="L402" s="10">
        <f t="shared" si="92"/>
        <v>51350</v>
      </c>
    </row>
    <row r="403" spans="1:12" x14ac:dyDescent="0.5">
      <c r="A403" s="135" t="str">
        <f t="shared" si="91"/>
        <v>EEE</v>
      </c>
      <c r="B403" s="135" t="str">
        <f t="shared" si="91"/>
        <v>Epsilon Inc</v>
      </c>
      <c r="C403" s="135" t="str">
        <f t="shared" si="91"/>
        <v>Technology</v>
      </c>
      <c r="D403"/>
      <c r="F403" s="10">
        <f t="shared" si="92"/>
        <v>-4825</v>
      </c>
      <c r="G403" s="10">
        <f t="shared" si="92"/>
        <v>0</v>
      </c>
      <c r="H403" s="10">
        <f t="shared" si="92"/>
        <v>0</v>
      </c>
      <c r="I403" s="10">
        <f t="shared" si="92"/>
        <v>0</v>
      </c>
      <c r="J403" s="10">
        <f t="shared" si="92"/>
        <v>4975</v>
      </c>
      <c r="K403" s="10">
        <f t="shared" si="92"/>
        <v>0</v>
      </c>
      <c r="L403" s="10">
        <f t="shared" si="92"/>
        <v>0</v>
      </c>
    </row>
    <row r="404" spans="1:12" x14ac:dyDescent="0.5">
      <c r="A404" s="135" t="str">
        <f t="shared" si="91"/>
        <v>FFF</v>
      </c>
      <c r="B404" s="135" t="str">
        <f t="shared" si="91"/>
        <v>Fusbol For Friends</v>
      </c>
      <c r="C404" s="135" t="str">
        <f t="shared" si="91"/>
        <v>Retail</v>
      </c>
      <c r="D404"/>
      <c r="F404" s="10">
        <f t="shared" si="92"/>
        <v>-3400</v>
      </c>
      <c r="G404" s="10">
        <f t="shared" si="92"/>
        <v>0</v>
      </c>
      <c r="H404" s="10">
        <f t="shared" si="92"/>
        <v>0</v>
      </c>
      <c r="I404" s="10">
        <f t="shared" si="92"/>
        <v>0</v>
      </c>
      <c r="J404" s="10">
        <f t="shared" si="92"/>
        <v>0</v>
      </c>
      <c r="K404" s="10">
        <f t="shared" si="92"/>
        <v>3550</v>
      </c>
      <c r="L404" s="10">
        <f t="shared" si="92"/>
        <v>0</v>
      </c>
    </row>
    <row r="405" spans="1:12" ht="14.7" thickBot="1" x14ac:dyDescent="0.55000000000000004">
      <c r="A405" s="70" t="s">
        <v>178</v>
      </c>
      <c r="B405"/>
      <c r="C405" s="75"/>
      <c r="D405"/>
      <c r="E405" s="142">
        <f t="shared" ref="E405:L405" si="93">SUM(E399:E404)</f>
        <v>0</v>
      </c>
      <c r="F405" s="142">
        <f t="shared" si="93"/>
        <v>2875</v>
      </c>
      <c r="G405" s="142">
        <f t="shared" si="93"/>
        <v>-2880</v>
      </c>
      <c r="H405" s="142">
        <f t="shared" si="93"/>
        <v>-4075</v>
      </c>
      <c r="I405" s="142">
        <f t="shared" si="93"/>
        <v>0</v>
      </c>
      <c r="J405" s="142">
        <f t="shared" si="93"/>
        <v>865</v>
      </c>
      <c r="K405" s="142">
        <f t="shared" si="93"/>
        <v>3550</v>
      </c>
      <c r="L405" s="142">
        <f t="shared" si="93"/>
        <v>97000</v>
      </c>
    </row>
    <row r="406" spans="1:12" ht="14.7" thickTop="1" x14ac:dyDescent="0.5">
      <c r="B406"/>
      <c r="C406" s="75"/>
      <c r="D406"/>
      <c r="I406"/>
    </row>
    <row r="407" spans="1:12" x14ac:dyDescent="0.5">
      <c r="A407" s="82" t="s">
        <v>179</v>
      </c>
      <c r="B407"/>
      <c r="C407" s="75"/>
      <c r="D407"/>
      <c r="I407"/>
    </row>
    <row r="408" spans="1:12" ht="14.7" thickBot="1" x14ac:dyDescent="0.55000000000000004">
      <c r="A408" s="78" t="s">
        <v>59</v>
      </c>
      <c r="B408" s="78" t="s">
        <v>60</v>
      </c>
      <c r="C408" s="78" t="s">
        <v>61</v>
      </c>
      <c r="D408" s="78"/>
      <c r="E408" s="79">
        <f t="shared" ref="E408:L408" si="94">+E398</f>
        <v>43252</v>
      </c>
      <c r="F408" s="79">
        <f t="shared" si="94"/>
        <v>43282</v>
      </c>
      <c r="G408" s="79">
        <f t="shared" si="94"/>
        <v>43313</v>
      </c>
      <c r="H408" s="79">
        <f t="shared" si="94"/>
        <v>43344</v>
      </c>
      <c r="I408" s="79">
        <f t="shared" si="94"/>
        <v>43374</v>
      </c>
      <c r="J408" s="79">
        <f t="shared" si="94"/>
        <v>43405</v>
      </c>
      <c r="K408" s="79">
        <f t="shared" si="94"/>
        <v>43435</v>
      </c>
      <c r="L408" s="79">
        <f t="shared" si="94"/>
        <v>43466</v>
      </c>
    </row>
    <row r="409" spans="1:12" ht="14.7" thickTop="1" x14ac:dyDescent="0.5">
      <c r="A409" s="135" t="str">
        <f t="shared" ref="A409:C414" si="95">+A399</f>
        <v>AAA</v>
      </c>
      <c r="B409" s="135" t="str">
        <f t="shared" si="95"/>
        <v>Alpha Inc.</v>
      </c>
      <c r="C409" s="135" t="str">
        <f t="shared" si="95"/>
        <v>Healthcare</v>
      </c>
      <c r="D409"/>
      <c r="E409" s="10">
        <f t="shared" ref="E409:L414" si="96">+E381*E369</f>
        <v>13350</v>
      </c>
      <c r="F409" s="10">
        <f t="shared" si="96"/>
        <v>13395</v>
      </c>
      <c r="G409" s="10">
        <f t="shared" si="96"/>
        <v>13425</v>
      </c>
      <c r="H409" s="10">
        <f t="shared" si="96"/>
        <v>13575</v>
      </c>
      <c r="I409" s="10">
        <f t="shared" si="96"/>
        <v>13650</v>
      </c>
      <c r="J409" s="10">
        <f t="shared" si="96"/>
        <v>13680</v>
      </c>
      <c r="K409" s="10">
        <f t="shared" si="96"/>
        <v>13725</v>
      </c>
      <c r="L409" s="10">
        <f t="shared" si="96"/>
        <v>0</v>
      </c>
    </row>
    <row r="410" spans="1:12" x14ac:dyDescent="0.5">
      <c r="A410" s="135" t="str">
        <f t="shared" si="95"/>
        <v>BBB</v>
      </c>
      <c r="B410" s="135" t="str">
        <f t="shared" si="95"/>
        <v>Beta Inc.</v>
      </c>
      <c r="C410" s="135" t="str">
        <f t="shared" si="95"/>
        <v>Retail</v>
      </c>
      <c r="D410"/>
      <c r="E410" s="10">
        <f t="shared" si="96"/>
        <v>18200</v>
      </c>
      <c r="F410" s="10">
        <f t="shared" si="96"/>
        <v>7400</v>
      </c>
      <c r="G410" s="10">
        <f t="shared" si="96"/>
        <v>0</v>
      </c>
      <c r="H410" s="10">
        <f t="shared" si="96"/>
        <v>0</v>
      </c>
      <c r="I410" s="10">
        <f t="shared" si="96"/>
        <v>0</v>
      </c>
      <c r="J410" s="10">
        <f t="shared" si="96"/>
        <v>0</v>
      </c>
      <c r="K410" s="10">
        <f t="shared" si="96"/>
        <v>0</v>
      </c>
      <c r="L410" s="10">
        <f t="shared" si="96"/>
        <v>0</v>
      </c>
    </row>
    <row r="411" spans="1:12" x14ac:dyDescent="0.5">
      <c r="A411" s="135" t="str">
        <f t="shared" si="95"/>
        <v>CCC</v>
      </c>
      <c r="B411" s="135" t="str">
        <f t="shared" si="95"/>
        <v>CC Corporation</v>
      </c>
      <c r="C411" s="135" t="str">
        <f t="shared" si="95"/>
        <v>Industrial</v>
      </c>
      <c r="D411"/>
      <c r="E411" s="10">
        <f t="shared" si="96"/>
        <v>23700</v>
      </c>
      <c r="F411" s="10">
        <f t="shared" si="96"/>
        <v>24000</v>
      </c>
      <c r="G411" s="10">
        <f t="shared" si="96"/>
        <v>24300</v>
      </c>
      <c r="H411" s="10">
        <f t="shared" si="96"/>
        <v>28525</v>
      </c>
      <c r="I411" s="10">
        <f t="shared" si="96"/>
        <v>28700</v>
      </c>
      <c r="J411" s="10">
        <f t="shared" si="96"/>
        <v>32880</v>
      </c>
      <c r="K411" s="10">
        <f t="shared" si="96"/>
        <v>32600</v>
      </c>
      <c r="L411" s="10">
        <f t="shared" si="96"/>
        <v>0</v>
      </c>
    </row>
    <row r="412" spans="1:12" x14ac:dyDescent="0.5">
      <c r="A412" s="135" t="str">
        <f t="shared" si="95"/>
        <v>DDD</v>
      </c>
      <c r="B412" s="135" t="str">
        <f t="shared" si="95"/>
        <v>Delta D Inc.</v>
      </c>
      <c r="C412" s="135" t="str">
        <f t="shared" si="95"/>
        <v>Hospitality</v>
      </c>
      <c r="D412"/>
      <c r="E412" s="10">
        <f t="shared" si="96"/>
        <v>40400</v>
      </c>
      <c r="F412" s="10">
        <f t="shared" si="96"/>
        <v>40600</v>
      </c>
      <c r="G412" s="10">
        <f t="shared" si="96"/>
        <v>51000</v>
      </c>
      <c r="H412" s="10">
        <f t="shared" si="96"/>
        <v>51100</v>
      </c>
      <c r="I412" s="10">
        <f t="shared" si="96"/>
        <v>51300</v>
      </c>
      <c r="J412" s="10">
        <f t="shared" si="96"/>
        <v>51250</v>
      </c>
      <c r="K412" s="10">
        <f t="shared" si="96"/>
        <v>51000</v>
      </c>
      <c r="L412" s="10">
        <f t="shared" si="96"/>
        <v>0</v>
      </c>
    </row>
    <row r="413" spans="1:12" x14ac:dyDescent="0.5">
      <c r="A413" s="135" t="str">
        <f t="shared" si="95"/>
        <v>EEE</v>
      </c>
      <c r="B413" s="135" t="str">
        <f t="shared" si="95"/>
        <v>Epsilon Inc</v>
      </c>
      <c r="C413" s="135" t="str">
        <f t="shared" si="95"/>
        <v>Technology</v>
      </c>
      <c r="D413"/>
      <c r="E413" s="10">
        <f t="shared" si="96"/>
        <v>0</v>
      </c>
      <c r="F413" s="10">
        <f t="shared" si="96"/>
        <v>4825</v>
      </c>
      <c r="G413" s="10">
        <f t="shared" si="96"/>
        <v>4875</v>
      </c>
      <c r="H413" s="10">
        <f t="shared" si="96"/>
        <v>4900</v>
      </c>
      <c r="I413" s="10">
        <f t="shared" si="96"/>
        <v>4910</v>
      </c>
      <c r="J413" s="10">
        <f t="shared" si="96"/>
        <v>0</v>
      </c>
      <c r="K413" s="10">
        <f t="shared" si="96"/>
        <v>0</v>
      </c>
      <c r="L413" s="10">
        <f t="shared" si="96"/>
        <v>0</v>
      </c>
    </row>
    <row r="414" spans="1:12" x14ac:dyDescent="0.5">
      <c r="A414" s="135" t="str">
        <f t="shared" si="95"/>
        <v>FFF</v>
      </c>
      <c r="B414" s="135" t="str">
        <f t="shared" si="95"/>
        <v>Fusbol For Friends</v>
      </c>
      <c r="C414" s="135" t="str">
        <f t="shared" si="95"/>
        <v>Retail</v>
      </c>
      <c r="D414"/>
      <c r="E414" s="10">
        <f t="shared" si="96"/>
        <v>0</v>
      </c>
      <c r="F414" s="10">
        <f t="shared" si="96"/>
        <v>3400</v>
      </c>
      <c r="G414" s="10">
        <f t="shared" si="96"/>
        <v>3435</v>
      </c>
      <c r="H414" s="10">
        <f t="shared" si="96"/>
        <v>3475</v>
      </c>
      <c r="I414" s="10">
        <f t="shared" si="96"/>
        <v>3550</v>
      </c>
      <c r="J414" s="10">
        <f t="shared" si="96"/>
        <v>3600</v>
      </c>
      <c r="K414" s="10">
        <f t="shared" si="96"/>
        <v>0</v>
      </c>
      <c r="L414" s="10">
        <f t="shared" si="96"/>
        <v>0</v>
      </c>
    </row>
    <row r="415" spans="1:12" ht="14.7" thickBot="1" x14ac:dyDescent="0.55000000000000004">
      <c r="A415" s="70" t="s">
        <v>104</v>
      </c>
      <c r="B415"/>
      <c r="C415" s="75"/>
      <c r="D415"/>
      <c r="E415" s="142">
        <f t="shared" ref="E415:L415" si="97">SUM(E409:E414)</f>
        <v>95650</v>
      </c>
      <c r="F415" s="142">
        <f t="shared" si="97"/>
        <v>93620</v>
      </c>
      <c r="G415" s="142">
        <f t="shared" si="97"/>
        <v>97035</v>
      </c>
      <c r="H415" s="142">
        <f t="shared" si="97"/>
        <v>101575</v>
      </c>
      <c r="I415" s="142">
        <f t="shared" si="97"/>
        <v>102110</v>
      </c>
      <c r="J415" s="142">
        <f t="shared" si="97"/>
        <v>101410</v>
      </c>
      <c r="K415" s="142">
        <f t="shared" si="97"/>
        <v>97325</v>
      </c>
      <c r="L415" s="142">
        <f t="shared" si="97"/>
        <v>0</v>
      </c>
    </row>
    <row r="416" spans="1:12" ht="14.7" thickTop="1" x14ac:dyDescent="0.5">
      <c r="A416" s="70"/>
      <c r="B416"/>
      <c r="C416" s="75"/>
      <c r="D416"/>
      <c r="E416" s="143"/>
      <c r="F416" s="143"/>
      <c r="G416" s="143"/>
      <c r="H416" s="143"/>
      <c r="I416" s="143"/>
      <c r="J416" s="143"/>
      <c r="K416" s="143"/>
      <c r="L416" s="143"/>
    </row>
    <row r="417" spans="1:12" x14ac:dyDescent="0.5">
      <c r="A417" s="144" t="s">
        <v>180</v>
      </c>
      <c r="B417" s="144"/>
      <c r="C417" s="145"/>
      <c r="D417" s="144"/>
      <c r="E417" s="146">
        <v>2021.55</v>
      </c>
      <c r="F417" s="146">
        <v>2017.4</v>
      </c>
      <c r="G417" s="146">
        <v>2034.75</v>
      </c>
      <c r="H417" s="146">
        <v>2044.52</v>
      </c>
      <c r="I417" s="146">
        <v>2039.48</v>
      </c>
      <c r="J417" s="146">
        <v>2039.51</v>
      </c>
      <c r="K417" s="146">
        <v>2042.83</v>
      </c>
      <c r="L417" s="146">
        <f>+K417</f>
        <v>2042.83</v>
      </c>
    </row>
    <row r="418" spans="1:12" x14ac:dyDescent="0.5">
      <c r="B418"/>
      <c r="C418" s="75"/>
      <c r="D418"/>
      <c r="E418" s="76"/>
      <c r="F418" s="76"/>
      <c r="G418" s="76"/>
      <c r="H418" s="76"/>
      <c r="I418" s="76"/>
      <c r="J418" s="76"/>
      <c r="K418" s="76"/>
      <c r="L418" s="76"/>
    </row>
    <row r="419" spans="1:12" x14ac:dyDescent="0.5">
      <c r="A419" s="82" t="s">
        <v>181</v>
      </c>
      <c r="B419"/>
      <c r="C419" s="75"/>
      <c r="D419"/>
      <c r="I419"/>
    </row>
    <row r="420" spans="1:12" ht="14.7" thickBot="1" x14ac:dyDescent="0.55000000000000004">
      <c r="A420" s="78" t="s">
        <v>59</v>
      </c>
      <c r="B420" s="78"/>
      <c r="C420" s="78"/>
      <c r="D420" s="78"/>
      <c r="E420" s="79">
        <f t="shared" ref="E420:L420" si="98">+E408</f>
        <v>43252</v>
      </c>
      <c r="F420" s="79">
        <f t="shared" si="98"/>
        <v>43282</v>
      </c>
      <c r="G420" s="79">
        <f t="shared" si="98"/>
        <v>43313</v>
      </c>
      <c r="H420" s="79">
        <f t="shared" si="98"/>
        <v>43344</v>
      </c>
      <c r="I420" s="79">
        <f t="shared" si="98"/>
        <v>43374</v>
      </c>
      <c r="J420" s="79">
        <f t="shared" si="98"/>
        <v>43405</v>
      </c>
      <c r="K420" s="79">
        <f t="shared" si="98"/>
        <v>43435</v>
      </c>
      <c r="L420" s="79">
        <f t="shared" si="98"/>
        <v>43466</v>
      </c>
    </row>
    <row r="421" spans="1:12" ht="14.7" thickTop="1" x14ac:dyDescent="0.5">
      <c r="A421" s="135" t="str">
        <f t="shared" ref="A421:A426" si="99">+A409</f>
        <v>AAA</v>
      </c>
      <c r="B421" s="135"/>
      <c r="C421" s="135"/>
      <c r="D421"/>
      <c r="E421" s="99">
        <f t="shared" ref="E421:K426" si="100">+E409/E$415</f>
        <v>0.1395713538944067</v>
      </c>
      <c r="F421" s="99">
        <f t="shared" si="100"/>
        <v>0.14307840205084385</v>
      </c>
      <c r="G421" s="99">
        <f t="shared" si="100"/>
        <v>0.13835214098005874</v>
      </c>
      <c r="H421" s="99">
        <f t="shared" si="100"/>
        <v>0.13364508983509721</v>
      </c>
      <c r="I421" s="99">
        <f t="shared" si="100"/>
        <v>0.1336793653902654</v>
      </c>
      <c r="J421" s="99">
        <f t="shared" si="100"/>
        <v>0.13489793905926437</v>
      </c>
      <c r="K421" s="99">
        <f t="shared" si="100"/>
        <v>0.14102234780375031</v>
      </c>
      <c r="L421" s="10">
        <f t="shared" ref="L421:L426" si="101">+L394*L382</f>
        <v>0</v>
      </c>
    </row>
    <row r="422" spans="1:12" x14ac:dyDescent="0.5">
      <c r="A422" s="135" t="str">
        <f t="shared" si="99"/>
        <v>BBB</v>
      </c>
      <c r="B422" s="135"/>
      <c r="C422" s="135"/>
      <c r="D422"/>
      <c r="E422" s="99">
        <f t="shared" si="100"/>
        <v>0.19027705175117615</v>
      </c>
      <c r="F422" s="99">
        <f t="shared" si="100"/>
        <v>7.904293954283273E-2</v>
      </c>
      <c r="G422" s="99">
        <f t="shared" si="100"/>
        <v>0</v>
      </c>
      <c r="H422" s="99">
        <f t="shared" si="100"/>
        <v>0</v>
      </c>
      <c r="I422" s="99">
        <f t="shared" si="100"/>
        <v>0</v>
      </c>
      <c r="J422" s="99">
        <f t="shared" si="100"/>
        <v>0</v>
      </c>
      <c r="K422" s="99">
        <f t="shared" si="100"/>
        <v>0</v>
      </c>
      <c r="L422" s="10">
        <f t="shared" si="101"/>
        <v>0</v>
      </c>
    </row>
    <row r="423" spans="1:12" x14ac:dyDescent="0.5">
      <c r="A423" s="135" t="str">
        <f t="shared" si="99"/>
        <v>CCC</v>
      </c>
      <c r="B423" s="135"/>
      <c r="C423" s="135"/>
      <c r="D423"/>
      <c r="E423" s="99">
        <f t="shared" si="100"/>
        <v>0.24777835859905906</v>
      </c>
      <c r="F423" s="99">
        <f t="shared" si="100"/>
        <v>0.2563554795983764</v>
      </c>
      <c r="G423" s="99">
        <f t="shared" si="100"/>
        <v>0.2504251043437935</v>
      </c>
      <c r="H423" s="99">
        <f t="shared" si="100"/>
        <v>0.28082697514152105</v>
      </c>
      <c r="I423" s="99">
        <f t="shared" si="100"/>
        <v>0.28106943492312214</v>
      </c>
      <c r="J423" s="99">
        <f t="shared" si="100"/>
        <v>0.32422837984419683</v>
      </c>
      <c r="K423" s="99">
        <f t="shared" si="100"/>
        <v>0.33496018494734137</v>
      </c>
      <c r="L423" s="10">
        <f t="shared" si="101"/>
        <v>0</v>
      </c>
    </row>
    <row r="424" spans="1:12" x14ac:dyDescent="0.5">
      <c r="A424" s="135" t="str">
        <f t="shared" si="99"/>
        <v>DDD</v>
      </c>
      <c r="B424" s="135"/>
      <c r="C424" s="135"/>
      <c r="D424"/>
      <c r="E424" s="99">
        <f t="shared" si="100"/>
        <v>0.42237323575535807</v>
      </c>
      <c r="F424" s="99">
        <f t="shared" si="100"/>
        <v>0.4336680196539201</v>
      </c>
      <c r="G424" s="99">
        <f t="shared" si="100"/>
        <v>0.52558355232648013</v>
      </c>
      <c r="H424" s="99">
        <f t="shared" si="100"/>
        <v>0.50307654442530148</v>
      </c>
      <c r="I424" s="99">
        <f t="shared" si="100"/>
        <v>0.50239937322495343</v>
      </c>
      <c r="J424" s="99">
        <f t="shared" si="100"/>
        <v>0.505374223449364</v>
      </c>
      <c r="K424" s="99">
        <f t="shared" si="100"/>
        <v>0.5240174672489083</v>
      </c>
      <c r="L424" s="10">
        <f t="shared" si="101"/>
        <v>0</v>
      </c>
    </row>
    <row r="425" spans="1:12" x14ac:dyDescent="0.5">
      <c r="A425" s="135" t="str">
        <f t="shared" si="99"/>
        <v>EEE</v>
      </c>
      <c r="B425" s="135"/>
      <c r="C425" s="135"/>
      <c r="D425"/>
      <c r="E425" s="99">
        <f t="shared" si="100"/>
        <v>0</v>
      </c>
      <c r="F425" s="99">
        <f t="shared" si="100"/>
        <v>5.1538132877590258E-2</v>
      </c>
      <c r="G425" s="99">
        <f t="shared" si="100"/>
        <v>5.0239604266501779E-2</v>
      </c>
      <c r="H425" s="99">
        <f t="shared" si="100"/>
        <v>4.8240216588727541E-2</v>
      </c>
      <c r="I425" s="99">
        <f t="shared" si="100"/>
        <v>4.8085398100088141E-2</v>
      </c>
      <c r="J425" s="99">
        <f t="shared" si="100"/>
        <v>0</v>
      </c>
      <c r="K425" s="99">
        <f t="shared" si="100"/>
        <v>0</v>
      </c>
      <c r="L425" s="10">
        <f t="shared" si="101"/>
        <v>0</v>
      </c>
    </row>
    <row r="426" spans="1:12" x14ac:dyDescent="0.5">
      <c r="A426" s="135" t="str">
        <f t="shared" si="99"/>
        <v>FFF</v>
      </c>
      <c r="B426" s="135"/>
      <c r="C426" s="135"/>
      <c r="D426"/>
      <c r="E426" s="99">
        <f t="shared" si="100"/>
        <v>0</v>
      </c>
      <c r="F426" s="99">
        <f t="shared" si="100"/>
        <v>3.6317026276436661E-2</v>
      </c>
      <c r="G426" s="99">
        <f t="shared" si="100"/>
        <v>3.5399598083165867E-2</v>
      </c>
      <c r="H426" s="99">
        <f t="shared" si="100"/>
        <v>3.4211174009352696E-2</v>
      </c>
      <c r="I426" s="99">
        <f t="shared" si="100"/>
        <v>3.4766428361570852E-2</v>
      </c>
      <c r="J426" s="99">
        <f t="shared" si="100"/>
        <v>3.5499457647174833E-2</v>
      </c>
      <c r="K426" s="99">
        <f t="shared" si="100"/>
        <v>0</v>
      </c>
      <c r="L426" s="10">
        <f t="shared" si="101"/>
        <v>0</v>
      </c>
    </row>
    <row r="427" spans="1:12" ht="14.7" thickBot="1" x14ac:dyDescent="0.55000000000000004">
      <c r="A427" s="70" t="s">
        <v>182</v>
      </c>
      <c r="B427"/>
      <c r="C427" s="75"/>
      <c r="D427"/>
      <c r="E427" s="147">
        <f t="shared" ref="E427:L427" si="102">SUM(E421:E426)</f>
        <v>1</v>
      </c>
      <c r="F427" s="147">
        <f t="shared" si="102"/>
        <v>1</v>
      </c>
      <c r="G427" s="147">
        <f t="shared" si="102"/>
        <v>1</v>
      </c>
      <c r="H427" s="147">
        <f t="shared" si="102"/>
        <v>1</v>
      </c>
      <c r="I427" s="147">
        <f t="shared" si="102"/>
        <v>1</v>
      </c>
      <c r="J427" s="147">
        <f t="shared" si="102"/>
        <v>1</v>
      </c>
      <c r="K427" s="147">
        <f t="shared" si="102"/>
        <v>1</v>
      </c>
      <c r="L427" s="142">
        <f t="shared" si="102"/>
        <v>0</v>
      </c>
    </row>
    <row r="428" spans="1:12" ht="14.7" thickTop="1" x14ac:dyDescent="0.5">
      <c r="B428"/>
      <c r="C428" s="75"/>
      <c r="D428"/>
      <c r="E428" s="76"/>
      <c r="F428" s="76"/>
      <c r="G428" s="76"/>
      <c r="H428" s="76"/>
      <c r="I428" s="76"/>
      <c r="J428" s="76"/>
      <c r="K428" s="76"/>
      <c r="L428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IRR</vt:lpstr>
      <vt:lpstr>Time Value of Money</vt:lpstr>
      <vt:lpstr>Historical Return</vt:lpstr>
      <vt:lpstr>Scenario Return</vt:lpstr>
      <vt:lpstr>Portfolio Management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2019-01-03T12:48:53Z</cp:lastPrinted>
  <dcterms:created xsi:type="dcterms:W3CDTF">2018-12-05T15:20:38Z</dcterms:created>
  <dcterms:modified xsi:type="dcterms:W3CDTF">2019-09-16T01:34:39Z</dcterms:modified>
</cp:coreProperties>
</file>