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Baruch M&amp;A Course\"/>
    </mc:Choice>
  </mc:AlternateContent>
  <xr:revisionPtr revIDLastSave="547" documentId="8_{D83F00B9-175F-40C5-9D01-3520A56B3F12}" xr6:coauthVersionLast="40" xr6:coauthVersionMax="40" xr10:uidLastSave="{ADDB5F50-1A6B-4486-9664-6B1B64443227}"/>
  <bookViews>
    <workbookView xWindow="0" yWindow="1213" windowWidth="16120" windowHeight="6667" firstSheet="3" activeTab="9" xr2:uid="{C9B65557-6B9C-4AC8-A0C9-DA00E3B4A84B}"/>
  </bookViews>
  <sheets>
    <sheet name="INPUT" sheetId="2" r:id="rId1"/>
    <sheet name="Method #1" sheetId="3" r:id="rId2"/>
    <sheet name="Method #2" sheetId="4" r:id="rId3"/>
    <sheet name="Method #3" sheetId="5" r:id="rId4"/>
    <sheet name="Method #4" sheetId="6" r:id="rId5"/>
    <sheet name="Method #5" sheetId="7" r:id="rId6"/>
    <sheet name="Method #6" sheetId="8" r:id="rId7"/>
    <sheet name="Method #7a" sheetId="12" r:id="rId8"/>
    <sheet name="Method#7b" sheetId="9" r:id="rId9"/>
    <sheet name="Summary Val" sheetId="13" r:id="rId10"/>
    <sheet name="Fig. 18.10" sheetId="1" r:id="rId11"/>
    <sheet name="Private" sheetId="14" r:id="rId12"/>
    <sheet name="Fig. 18.12" sheetId="15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9" l="1"/>
  <c r="G39" i="12"/>
  <c r="H39" i="12"/>
  <c r="I39" i="12"/>
  <c r="J39" i="12"/>
  <c r="J41" i="12" s="1"/>
  <c r="K39" i="12"/>
  <c r="L39" i="12"/>
  <c r="M39" i="12"/>
  <c r="G40" i="12"/>
  <c r="G41" i="12" s="1"/>
  <c r="H40" i="12"/>
  <c r="I40" i="12"/>
  <c r="I41" i="12" s="1"/>
  <c r="J40" i="12"/>
  <c r="K40" i="12"/>
  <c r="K41" i="12" s="1"/>
  <c r="L40" i="12"/>
  <c r="M40" i="12"/>
  <c r="M41" i="12" s="1"/>
  <c r="H41" i="12"/>
  <c r="L41" i="12"/>
  <c r="F41" i="12"/>
  <c r="F40" i="12"/>
  <c r="F39" i="12"/>
  <c r="D10" i="9"/>
  <c r="J9" i="9"/>
  <c r="I9" i="9"/>
  <c r="H9" i="9"/>
  <c r="G9" i="9"/>
  <c r="F9" i="9"/>
  <c r="E11" i="8"/>
  <c r="E12" i="8"/>
  <c r="J15" i="6"/>
  <c r="G19" i="2"/>
  <c r="G20" i="2"/>
  <c r="G21" i="2"/>
  <c r="G12" i="2"/>
  <c r="C29" i="9" l="1"/>
  <c r="D39" i="9"/>
  <c r="D40" i="9"/>
  <c r="D41" i="9"/>
  <c r="D42" i="9"/>
  <c r="D38" i="9"/>
  <c r="B38" i="9"/>
  <c r="C31" i="8"/>
  <c r="D33" i="8"/>
  <c r="D34" i="8"/>
  <c r="D35" i="8"/>
  <c r="D36" i="8"/>
  <c r="D32" i="8"/>
  <c r="B36" i="8"/>
  <c r="B35" i="8"/>
  <c r="B34" i="8"/>
  <c r="B33" i="8"/>
  <c r="B32" i="8"/>
  <c r="E30" i="9"/>
  <c r="E20" i="9"/>
  <c r="E17" i="9"/>
  <c r="E11" i="9"/>
  <c r="E10" i="9"/>
  <c r="D21" i="12"/>
  <c r="H45" i="8"/>
  <c r="H9" i="3"/>
  <c r="G9" i="3"/>
  <c r="D9" i="3"/>
  <c r="E9" i="3" s="1"/>
  <c r="H10" i="3"/>
  <c r="G10" i="3"/>
  <c r="E42" i="8"/>
  <c r="E41" i="8"/>
  <c r="L15" i="6"/>
  <c r="E20" i="8"/>
  <c r="E8" i="8"/>
  <c r="E7" i="8"/>
  <c r="F7" i="8" s="1"/>
  <c r="F7" i="9" s="1"/>
  <c r="H14" i="7"/>
  <c r="F14" i="7"/>
  <c r="J14" i="7" s="1"/>
  <c r="F11" i="7"/>
  <c r="H11" i="7" s="1"/>
  <c r="J11" i="7" s="1"/>
  <c r="F12" i="7"/>
  <c r="H12" i="7" s="1"/>
  <c r="J12" i="7" s="1"/>
  <c r="F13" i="7"/>
  <c r="H13" i="7" s="1"/>
  <c r="J13" i="7" s="1"/>
  <c r="F10" i="7"/>
  <c r="H10" i="7" s="1"/>
  <c r="J10" i="7" s="1"/>
  <c r="F9" i="7"/>
  <c r="H9" i="7" s="1"/>
  <c r="J9" i="7" s="1"/>
  <c r="D17" i="6"/>
  <c r="C17" i="6"/>
  <c r="C15" i="6"/>
  <c r="E15" i="6"/>
  <c r="D15" i="6"/>
  <c r="H15" i="6"/>
  <c r="G15" i="6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D15" i="2"/>
  <c r="D16" i="2"/>
  <c r="G16" i="2"/>
  <c r="E10" i="3"/>
  <c r="D10" i="3"/>
  <c r="B1" i="3"/>
  <c r="B1" i="13" s="1"/>
  <c r="E7" i="9" l="1"/>
  <c r="E8" i="9"/>
  <c r="E12" i="9" s="1"/>
  <c r="I9" i="3"/>
  <c r="F9" i="3"/>
  <c r="B2" i="4"/>
  <c r="B1" i="12"/>
  <c r="B1" i="6"/>
  <c r="B15" i="6" s="1"/>
  <c r="B1" i="8"/>
  <c r="B1" i="5"/>
  <c r="B1" i="7"/>
  <c r="E48" i="15"/>
  <c r="E47" i="15"/>
  <c r="C38" i="15"/>
  <c r="C37" i="15" s="1"/>
  <c r="F37" i="15"/>
  <c r="D31" i="15"/>
  <c r="H31" i="15" s="1"/>
  <c r="D30" i="15"/>
  <c r="H30" i="15" s="1"/>
  <c r="H17" i="15"/>
  <c r="H25" i="15" s="1"/>
  <c r="G17" i="15"/>
  <c r="F17" i="15"/>
  <c r="E17" i="15"/>
  <c r="D17" i="15"/>
  <c r="E12" i="15"/>
  <c r="F12" i="15" s="1"/>
  <c r="G12" i="15" s="1"/>
  <c r="H12" i="15" s="1"/>
  <c r="C10" i="15"/>
  <c r="M8" i="15"/>
  <c r="F18" i="15" l="1"/>
  <c r="F19" i="15" s="1"/>
  <c r="F23" i="15" s="1"/>
  <c r="F27" i="15" s="1"/>
  <c r="C40" i="15"/>
  <c r="E49" i="15" s="1"/>
  <c r="G18" i="15"/>
  <c r="G19" i="15" s="1"/>
  <c r="G23" i="15" s="1"/>
  <c r="G27" i="15" s="1"/>
  <c r="D18" i="15"/>
  <c r="D19" i="15" s="1"/>
  <c r="D23" i="15" s="1"/>
  <c r="D27" i="15" s="1"/>
  <c r="H18" i="15"/>
  <c r="H19" i="15" s="1"/>
  <c r="H23" i="15" s="1"/>
  <c r="H27" i="15" s="1"/>
  <c r="E18" i="15"/>
  <c r="E19" i="15" s="1"/>
  <c r="E23" i="15" s="1"/>
  <c r="E27" i="15" s="1"/>
  <c r="C27" i="15" l="1"/>
  <c r="E46" i="15" s="1"/>
  <c r="C52" i="15" l="1"/>
  <c r="C53" i="15" l="1"/>
  <c r="E53" i="15" s="1"/>
  <c r="E52" i="15"/>
  <c r="C55" i="15" l="1"/>
  <c r="F44" i="14" l="1"/>
  <c r="F50" i="14"/>
  <c r="D21" i="14"/>
  <c r="D17" i="14"/>
  <c r="K30" i="14"/>
  <c r="J30" i="14"/>
  <c r="J44" i="14" s="1"/>
  <c r="I30" i="14"/>
  <c r="H30" i="14"/>
  <c r="G30" i="14"/>
  <c r="E30" i="14"/>
  <c r="D8" i="14" s="1"/>
  <c r="E21" i="14" s="1"/>
  <c r="D30" i="14"/>
  <c r="D33" i="14" s="1"/>
  <c r="E32" i="1"/>
  <c r="K15" i="1"/>
  <c r="J15" i="1"/>
  <c r="I15" i="1"/>
  <c r="H15" i="1"/>
  <c r="G15" i="1"/>
  <c r="K12" i="1"/>
  <c r="K14" i="1" s="1"/>
  <c r="K18" i="1" s="1"/>
  <c r="K20" i="1" s="1"/>
  <c r="G12" i="1"/>
  <c r="G14" i="1" s="1"/>
  <c r="G18" i="1" s="1"/>
  <c r="G20" i="1" s="1"/>
  <c r="E12" i="1"/>
  <c r="K10" i="1"/>
  <c r="J10" i="1"/>
  <c r="J12" i="1" s="1"/>
  <c r="J14" i="1" s="1"/>
  <c r="J18" i="1" s="1"/>
  <c r="J20" i="1" s="1"/>
  <c r="I10" i="1"/>
  <c r="I12" i="1" s="1"/>
  <c r="I14" i="1" s="1"/>
  <c r="I18" i="1" s="1"/>
  <c r="I20" i="1" s="1"/>
  <c r="H10" i="1"/>
  <c r="H12" i="1" s="1"/>
  <c r="H14" i="1" s="1"/>
  <c r="H18" i="1" s="1"/>
  <c r="H20" i="1" s="1"/>
  <c r="G10" i="1"/>
  <c r="E10" i="1"/>
  <c r="D10" i="1"/>
  <c r="D12" i="1" s="1"/>
  <c r="G21" i="14" l="1"/>
  <c r="G23" i="14"/>
  <c r="E33" i="14"/>
  <c r="G18" i="14"/>
  <c r="K7" i="14"/>
  <c r="D7" i="14"/>
  <c r="E17" i="14" s="1"/>
  <c r="J18" i="14" s="1"/>
  <c r="H23" i="14" l="1"/>
  <c r="H21" i="14"/>
  <c r="I18" i="14"/>
  <c r="G19" i="14"/>
  <c r="H18" i="14"/>
  <c r="G17" i="14"/>
  <c r="K8" i="14"/>
  <c r="K11" i="14"/>
  <c r="D10" i="14" s="1"/>
  <c r="D9" i="14"/>
  <c r="E53" i="14" s="1"/>
  <c r="H17" i="14" l="1"/>
  <c r="H19" i="14"/>
  <c r="I23" i="14"/>
  <c r="I21" i="14"/>
  <c r="J32" i="14"/>
  <c r="I32" i="14"/>
  <c r="G32" i="14"/>
  <c r="H32" i="14"/>
  <c r="K32" i="14"/>
  <c r="C9" i="14"/>
  <c r="J23" i="14" l="1"/>
  <c r="J21" i="14"/>
  <c r="G36" i="14"/>
  <c r="G33" i="14"/>
  <c r="I36" i="14"/>
  <c r="I33" i="14"/>
  <c r="H36" i="14"/>
  <c r="H33" i="14"/>
  <c r="K36" i="14"/>
  <c r="K33" i="14"/>
  <c r="J33" i="14"/>
  <c r="J36" i="14"/>
  <c r="I19" i="14"/>
  <c r="I17" i="14"/>
  <c r="G34" i="14" l="1"/>
  <c r="G35" i="14"/>
  <c r="G39" i="14" s="1"/>
  <c r="G41" i="14" s="1"/>
  <c r="G50" i="14" s="1"/>
  <c r="G52" i="14" s="1"/>
  <c r="J34" i="14"/>
  <c r="J35" i="14"/>
  <c r="J39" i="14" s="1"/>
  <c r="J41" i="14" s="1"/>
  <c r="H34" i="14"/>
  <c r="H35" i="14"/>
  <c r="H39" i="14" s="1"/>
  <c r="H41" i="14" s="1"/>
  <c r="H50" i="14" s="1"/>
  <c r="H52" i="14" s="1"/>
  <c r="J19" i="14"/>
  <c r="J17" i="14"/>
  <c r="I34" i="14"/>
  <c r="I35" i="14"/>
  <c r="I39" i="14" s="1"/>
  <c r="I41" i="14" s="1"/>
  <c r="I50" i="14" s="1"/>
  <c r="I52" i="14" s="1"/>
  <c r="K21" i="14"/>
  <c r="K23" i="14"/>
  <c r="K34" i="14"/>
  <c r="K35" i="14"/>
  <c r="K39" i="14" s="1"/>
  <c r="K41" i="14" s="1"/>
  <c r="K19" i="14" l="1"/>
  <c r="K18" i="14"/>
  <c r="K17" i="14" s="1"/>
  <c r="D8" i="13" l="1"/>
  <c r="D13" i="13" s="1"/>
  <c r="F6" i="13"/>
  <c r="D22" i="12"/>
  <c r="D20" i="12"/>
  <c r="D6" i="13" l="1"/>
  <c r="D12" i="13"/>
  <c r="D10" i="13"/>
  <c r="D11" i="13" s="1"/>
  <c r="D14" i="13"/>
  <c r="D15" i="13" s="1"/>
  <c r="D23" i="12"/>
  <c r="E7" i="12"/>
  <c r="G7" i="12" s="1"/>
  <c r="I8" i="12"/>
  <c r="G13" i="12"/>
  <c r="G14" i="12"/>
  <c r="E26" i="12"/>
  <c r="B27" i="12"/>
  <c r="D27" i="12"/>
  <c r="B33" i="12"/>
  <c r="D33" i="12"/>
  <c r="D17" i="13" l="1"/>
  <c r="E48" i="9" l="1"/>
  <c r="E47" i="9"/>
  <c r="E26" i="9" s="1"/>
  <c r="E14" i="9"/>
  <c r="E16" i="9" s="1"/>
  <c r="F26" i="12"/>
  <c r="E21" i="9" l="1"/>
  <c r="E23" i="9" s="1"/>
  <c r="E25" i="9"/>
  <c r="F8" i="9"/>
  <c r="F20" i="8"/>
  <c r="G20" i="8" s="1"/>
  <c r="H20" i="8" s="1"/>
  <c r="I20" i="8" s="1"/>
  <c r="J20" i="8" s="1"/>
  <c r="I40" i="8"/>
  <c r="I38" i="8"/>
  <c r="F8" i="8"/>
  <c r="F10" i="8" s="1"/>
  <c r="G7" i="8"/>
  <c r="G7" i="9" s="1"/>
  <c r="L17" i="6"/>
  <c r="H44" i="8"/>
  <c r="I44" i="8" s="1"/>
  <c r="F13" i="6"/>
  <c r="F12" i="6"/>
  <c r="F11" i="6"/>
  <c r="I11" i="6" s="1"/>
  <c r="F10" i="6"/>
  <c r="D8" i="6"/>
  <c r="C11" i="4"/>
  <c r="G8" i="5"/>
  <c r="G10" i="5"/>
  <c r="F9" i="2"/>
  <c r="A14" i="2"/>
  <c r="A13" i="2"/>
  <c r="A12" i="2"/>
  <c r="D20" i="2"/>
  <c r="A11" i="2"/>
  <c r="A10" i="2"/>
  <c r="A9" i="2"/>
  <c r="A8" i="2"/>
  <c r="A6" i="2"/>
  <c r="A120" i="2"/>
  <c r="A101" i="2"/>
  <c r="H7" i="8" l="1"/>
  <c r="E12" i="13"/>
  <c r="E8" i="13"/>
  <c r="E14" i="13"/>
  <c r="E15" i="13"/>
  <c r="E13" i="13"/>
  <c r="I45" i="8"/>
  <c r="I46" i="8" s="1"/>
  <c r="F10" i="3"/>
  <c r="I10" i="3" s="1"/>
  <c r="C8" i="13" s="1"/>
  <c r="G15" i="13"/>
  <c r="G13" i="13"/>
  <c r="G14" i="13"/>
  <c r="G12" i="13"/>
  <c r="G8" i="13"/>
  <c r="H7" i="12"/>
  <c r="I7" i="12" s="1"/>
  <c r="K39" i="8"/>
  <c r="J44" i="8" s="1"/>
  <c r="K44" i="8" s="1"/>
  <c r="F15" i="6"/>
  <c r="I15" i="6" s="1"/>
  <c r="E19" i="8"/>
  <c r="I41" i="8"/>
  <c r="F16" i="12" s="1"/>
  <c r="G16" i="12" s="1"/>
  <c r="I13" i="12"/>
  <c r="I14" i="12"/>
  <c r="E34" i="12" s="1"/>
  <c r="K8" i="12"/>
  <c r="K7" i="12"/>
  <c r="G26" i="12"/>
  <c r="C37" i="9"/>
  <c r="F19" i="9"/>
  <c r="G8" i="9"/>
  <c r="C11" i="8"/>
  <c r="C11" i="9" s="1"/>
  <c r="F11" i="9" s="1"/>
  <c r="C14" i="8"/>
  <c r="C17" i="9" s="1"/>
  <c r="D17" i="9" s="1"/>
  <c r="F17" i="9" s="1"/>
  <c r="C10" i="8"/>
  <c r="C10" i="9" s="1"/>
  <c r="F10" i="9" s="1"/>
  <c r="F15" i="8"/>
  <c r="G8" i="8"/>
  <c r="G16" i="8" s="1"/>
  <c r="F11" i="8"/>
  <c r="F12" i="8" s="1"/>
  <c r="F13" i="8" s="1"/>
  <c r="C16" i="8"/>
  <c r="C20" i="9" s="1"/>
  <c r="D20" i="9" s="1"/>
  <c r="F20" i="9" s="1"/>
  <c r="K20" i="8"/>
  <c r="J26" i="8"/>
  <c r="E17" i="8"/>
  <c r="F14" i="8"/>
  <c r="F16" i="8"/>
  <c r="J15" i="7"/>
  <c r="G16" i="7" s="1"/>
  <c r="C13" i="4"/>
  <c r="G12" i="4" s="1"/>
  <c r="I10" i="6"/>
  <c r="K10" i="6" s="1"/>
  <c r="I12" i="6"/>
  <c r="K12" i="6" s="1"/>
  <c r="K11" i="6"/>
  <c r="I13" i="6"/>
  <c r="F9" i="6"/>
  <c r="G9" i="5"/>
  <c r="G11" i="5" s="1"/>
  <c r="C8" i="5"/>
  <c r="D19" i="2"/>
  <c r="J23" i="1"/>
  <c r="I7" i="8" l="1"/>
  <c r="H7" i="9"/>
  <c r="G11" i="8"/>
  <c r="G14" i="8"/>
  <c r="J45" i="8"/>
  <c r="K45" i="8" s="1"/>
  <c r="K46" i="8" s="1"/>
  <c r="C24" i="8" s="1"/>
  <c r="G10" i="8"/>
  <c r="F8" i="13"/>
  <c r="H8" i="13" s="1"/>
  <c r="G15" i="8"/>
  <c r="H8" i="8"/>
  <c r="H15" i="8" s="1"/>
  <c r="I9" i="12"/>
  <c r="H18" i="9" s="1"/>
  <c r="E6" i="13"/>
  <c r="C6" i="13" s="1"/>
  <c r="E10" i="13"/>
  <c r="E11" i="13" s="1"/>
  <c r="G10" i="13"/>
  <c r="G11" i="13" s="1"/>
  <c r="G6" i="13"/>
  <c r="H6" i="13" s="1"/>
  <c r="H26" i="12"/>
  <c r="E28" i="12"/>
  <c r="I15" i="12"/>
  <c r="F34" i="12"/>
  <c r="F36" i="12"/>
  <c r="F37" i="12" s="1"/>
  <c r="I29" i="1"/>
  <c r="I31" i="1" s="1"/>
  <c r="H29" i="1"/>
  <c r="H31" i="1" s="1"/>
  <c r="G29" i="1"/>
  <c r="G31" i="1" s="1"/>
  <c r="F12" i="9"/>
  <c r="G20" i="9"/>
  <c r="G19" i="9"/>
  <c r="H8" i="9"/>
  <c r="G11" i="9"/>
  <c r="G10" i="9"/>
  <c r="G17" i="9"/>
  <c r="F19" i="8"/>
  <c r="F17" i="8"/>
  <c r="F31" i="8" s="1"/>
  <c r="G13" i="4"/>
  <c r="H10" i="13" s="1"/>
  <c r="C9" i="5"/>
  <c r="C11" i="5" s="1"/>
  <c r="H11" i="13" s="1"/>
  <c r="D10" i="2"/>
  <c r="F16" i="7"/>
  <c r="C16" i="7" s="1"/>
  <c r="C13" i="13" s="1"/>
  <c r="F13" i="13" s="1"/>
  <c r="H13" i="13" s="1"/>
  <c r="K13" i="6"/>
  <c r="I9" i="6"/>
  <c r="D21" i="2"/>
  <c r="G17" i="2" s="1"/>
  <c r="D13" i="2"/>
  <c r="D14" i="2"/>
  <c r="G11" i="2"/>
  <c r="G18" i="2" s="1"/>
  <c r="D11" i="2"/>
  <c r="G10" i="4" s="1"/>
  <c r="D9" i="2"/>
  <c r="G12" i="8" l="1"/>
  <c r="J7" i="8"/>
  <c r="I7" i="9"/>
  <c r="I26" i="12" s="1"/>
  <c r="F30" i="12"/>
  <c r="F31" i="12" s="1"/>
  <c r="G29" i="12"/>
  <c r="H10" i="8"/>
  <c r="H14" i="8"/>
  <c r="G18" i="9"/>
  <c r="E32" i="8"/>
  <c r="I8" i="8"/>
  <c r="I15" i="8" s="1"/>
  <c r="H16" i="8"/>
  <c r="H11" i="8"/>
  <c r="G13" i="8"/>
  <c r="G17" i="8" s="1"/>
  <c r="G31" i="8" s="1"/>
  <c r="E33" i="8" s="1"/>
  <c r="G19" i="8"/>
  <c r="E17" i="13"/>
  <c r="F18" i="9"/>
  <c r="K9" i="12"/>
  <c r="F11" i="13"/>
  <c r="C11" i="13" s="1"/>
  <c r="C13" i="5" s="1"/>
  <c r="I18" i="9"/>
  <c r="I10" i="12"/>
  <c r="F10" i="13"/>
  <c r="F28" i="12"/>
  <c r="E15" i="12"/>
  <c r="G36" i="12"/>
  <c r="G37" i="12" s="1"/>
  <c r="G34" i="12"/>
  <c r="G12" i="9"/>
  <c r="G25" i="9" s="1"/>
  <c r="F25" i="9"/>
  <c r="H20" i="9"/>
  <c r="H19" i="9"/>
  <c r="I8" i="9"/>
  <c r="H17" i="9"/>
  <c r="H11" i="9"/>
  <c r="H10" i="9"/>
  <c r="I11" i="8"/>
  <c r="I14" i="8"/>
  <c r="K9" i="6"/>
  <c r="K15" i="6"/>
  <c r="N108" i="2"/>
  <c r="J24" i="1"/>
  <c r="J25" i="1" s="1"/>
  <c r="J27" i="1" s="1"/>
  <c r="J29" i="1" s="1"/>
  <c r="J31" i="1" s="1"/>
  <c r="E31" i="1" s="1"/>
  <c r="E34" i="1" s="1"/>
  <c r="E35" i="1" s="1"/>
  <c r="F13" i="9" l="1"/>
  <c r="F14" i="9" s="1"/>
  <c r="F15" i="9" s="1"/>
  <c r="F16" i="9" s="1"/>
  <c r="F21" i="9" s="1"/>
  <c r="F23" i="9" s="1"/>
  <c r="F37" i="9" s="1"/>
  <c r="E38" i="9" s="1"/>
  <c r="K7" i="8"/>
  <c r="K7" i="9" s="1"/>
  <c r="J7" i="9"/>
  <c r="J26" i="12" s="1"/>
  <c r="G28" i="12"/>
  <c r="I29" i="12" s="1"/>
  <c r="H29" i="12"/>
  <c r="G30" i="12"/>
  <c r="G31" i="12" s="1"/>
  <c r="I10" i="8"/>
  <c r="I12" i="8" s="1"/>
  <c r="I19" i="8" s="1"/>
  <c r="J8" i="8"/>
  <c r="J10" i="8" s="1"/>
  <c r="H12" i="8"/>
  <c r="H13" i="8" s="1"/>
  <c r="H17" i="8" s="1"/>
  <c r="H31" i="8" s="1"/>
  <c r="E34" i="8" s="1"/>
  <c r="I16" i="8"/>
  <c r="J18" i="9"/>
  <c r="J8" i="12"/>
  <c r="J10" i="12"/>
  <c r="I17" i="12"/>
  <c r="K10" i="12"/>
  <c r="J7" i="12"/>
  <c r="J9" i="12"/>
  <c r="C10" i="13"/>
  <c r="F42" i="12"/>
  <c r="F26" i="9" s="1"/>
  <c r="H36" i="12"/>
  <c r="H37" i="12" s="1"/>
  <c r="H34" i="12"/>
  <c r="G13" i="9"/>
  <c r="G14" i="9" s="1"/>
  <c r="H12" i="9"/>
  <c r="K26" i="12"/>
  <c r="L26" i="12" s="1"/>
  <c r="M26" i="12" s="1"/>
  <c r="I17" i="9"/>
  <c r="I11" i="9"/>
  <c r="I10" i="9"/>
  <c r="I20" i="9"/>
  <c r="I19" i="9"/>
  <c r="J8" i="9"/>
  <c r="K17" i="6"/>
  <c r="N107" i="2"/>
  <c r="J16" i="8" l="1"/>
  <c r="J14" i="8"/>
  <c r="H28" i="12"/>
  <c r="J29" i="12" s="1"/>
  <c r="J11" i="8"/>
  <c r="J12" i="8" s="1"/>
  <c r="J19" i="8" s="1"/>
  <c r="K8" i="8"/>
  <c r="K15" i="8" s="1"/>
  <c r="J15" i="8"/>
  <c r="G42" i="12"/>
  <c r="G26" i="9" s="1"/>
  <c r="G22" i="9" s="1"/>
  <c r="H19" i="8"/>
  <c r="H30" i="12"/>
  <c r="H31" i="12" s="1"/>
  <c r="I13" i="8"/>
  <c r="I17" i="8" s="1"/>
  <c r="I31" i="8" s="1"/>
  <c r="E35" i="8" s="1"/>
  <c r="C23" i="8"/>
  <c r="J17" i="12"/>
  <c r="E17" i="12"/>
  <c r="J14" i="12"/>
  <c r="H14" i="12" s="1"/>
  <c r="J13" i="12"/>
  <c r="H13" i="12" s="1"/>
  <c r="I16" i="12"/>
  <c r="J15" i="12"/>
  <c r="C15" i="4"/>
  <c r="I34" i="12"/>
  <c r="I36" i="12"/>
  <c r="I37" i="12" s="1"/>
  <c r="G15" i="9"/>
  <c r="G16" i="9" s="1"/>
  <c r="G21" i="9" s="1"/>
  <c r="H25" i="9"/>
  <c r="I12" i="9"/>
  <c r="J11" i="9"/>
  <c r="J10" i="9"/>
  <c r="J20" i="9"/>
  <c r="J19" i="9"/>
  <c r="K8" i="9"/>
  <c r="J17" i="9"/>
  <c r="C19" i="6"/>
  <c r="C12" i="13" s="1"/>
  <c r="F12" i="13" s="1"/>
  <c r="H12" i="13" s="1"/>
  <c r="N106" i="2"/>
  <c r="I30" i="12" l="1"/>
  <c r="I31" i="12" s="1"/>
  <c r="H42" i="12"/>
  <c r="H26" i="9" s="1"/>
  <c r="H22" i="9" s="1"/>
  <c r="G23" i="9"/>
  <c r="G37" i="9" s="1"/>
  <c r="E39" i="9" s="1"/>
  <c r="I28" i="12"/>
  <c r="K29" i="12" s="1"/>
  <c r="J13" i="8"/>
  <c r="J17" i="8" s="1"/>
  <c r="K14" i="8"/>
  <c r="K10" i="8"/>
  <c r="K16" i="8"/>
  <c r="K11" i="8"/>
  <c r="H13" i="9"/>
  <c r="H14" i="9" s="1"/>
  <c r="H15" i="9" s="1"/>
  <c r="H16" i="9" s="1"/>
  <c r="H21" i="9" s="1"/>
  <c r="J23" i="8"/>
  <c r="E16" i="12"/>
  <c r="J16" i="12"/>
  <c r="H16" i="12" s="1"/>
  <c r="H17" i="12" s="1"/>
  <c r="C30" i="9" s="1"/>
  <c r="J34" i="12"/>
  <c r="J36" i="12"/>
  <c r="J37" i="12" s="1"/>
  <c r="I13" i="9"/>
  <c r="I14" i="9" s="1"/>
  <c r="J12" i="9"/>
  <c r="I25" i="9"/>
  <c r="K20" i="9"/>
  <c r="K19" i="9"/>
  <c r="K17" i="9"/>
  <c r="K11" i="9"/>
  <c r="K10" i="9"/>
  <c r="N110" i="2"/>
  <c r="H23" i="9" l="1"/>
  <c r="H37" i="9" s="1"/>
  <c r="E40" i="9" s="1"/>
  <c r="K12" i="8"/>
  <c r="K19" i="8" s="1"/>
  <c r="J28" i="12"/>
  <c r="L29" i="12" s="1"/>
  <c r="I42" i="12"/>
  <c r="I26" i="9" s="1"/>
  <c r="I22" i="9" s="1"/>
  <c r="J30" i="12"/>
  <c r="J31" i="12" s="1"/>
  <c r="K13" i="8"/>
  <c r="K17" i="8" s="1"/>
  <c r="J24" i="8" s="1"/>
  <c r="J25" i="8" s="1"/>
  <c r="J28" i="8" s="1"/>
  <c r="J31" i="8" s="1"/>
  <c r="E36" i="8" s="1"/>
  <c r="E37" i="8" s="1"/>
  <c r="E40" i="8" s="1"/>
  <c r="E43" i="8" s="1"/>
  <c r="C14" i="13" s="1"/>
  <c r="F14" i="13" s="1"/>
  <c r="J42" i="12"/>
  <c r="J26" i="9" s="1"/>
  <c r="K34" i="12"/>
  <c r="K36" i="12"/>
  <c r="K37" i="12" s="1"/>
  <c r="K30" i="12"/>
  <c r="K31" i="12" s="1"/>
  <c r="K12" i="9"/>
  <c r="K25" i="9" s="1"/>
  <c r="J25" i="9"/>
  <c r="J29" i="9" s="1"/>
  <c r="I15" i="9"/>
  <c r="I16" i="9" s="1"/>
  <c r="I21" i="9" s="1"/>
  <c r="I23" i="9" s="1"/>
  <c r="I37" i="9" s="1"/>
  <c r="E41" i="9" s="1"/>
  <c r="N109" i="2"/>
  <c r="K28" i="12" l="1"/>
  <c r="L30" i="12" s="1"/>
  <c r="L31" i="12" s="1"/>
  <c r="J13" i="9"/>
  <c r="J14" i="9" s="1"/>
  <c r="J15" i="9" s="1"/>
  <c r="J16" i="9" s="1"/>
  <c r="J21" i="9" s="1"/>
  <c r="C17" i="13"/>
  <c r="H14" i="13"/>
  <c r="F17" i="13"/>
  <c r="L34" i="12"/>
  <c r="L36" i="12"/>
  <c r="L37" i="12" s="1"/>
  <c r="J32" i="9"/>
  <c r="J22" i="9"/>
  <c r="K13" i="9"/>
  <c r="K14" i="9" s="1"/>
  <c r="K15" i="9" s="1"/>
  <c r="L28" i="12" l="1"/>
  <c r="K42" i="12"/>
  <c r="K26" i="9" s="1"/>
  <c r="K22" i="9" s="1"/>
  <c r="J23" i="9"/>
  <c r="M29" i="12"/>
  <c r="M28" i="12" s="1"/>
  <c r="M30" i="12"/>
  <c r="M34" i="12"/>
  <c r="M36" i="12"/>
  <c r="M37" i="12" s="1"/>
  <c r="L42" i="12"/>
  <c r="K16" i="9"/>
  <c r="K21" i="9" s="1"/>
  <c r="K23" i="9" l="1"/>
  <c r="M31" i="12"/>
  <c r="M42" i="12"/>
  <c r="J30" i="9"/>
  <c r="J31" i="9" s="1"/>
  <c r="J34" i="9" s="1"/>
  <c r="J37" i="9" s="1"/>
  <c r="E42" i="9" s="1"/>
  <c r="E43" i="9" s="1"/>
  <c r="E46" i="9" s="1"/>
  <c r="N111" i="2" l="1"/>
  <c r="E49" i="9"/>
  <c r="C15" i="13" s="1"/>
  <c r="F15" i="13" s="1"/>
  <c r="H15" i="13" s="1"/>
  <c r="H17" i="13" l="1"/>
  <c r="I15" i="13"/>
  <c r="D11" i="14"/>
  <c r="E9" i="14" s="1"/>
  <c r="G9" i="14" s="1"/>
  <c r="E8" i="14" l="1"/>
  <c r="G8" i="14" s="1"/>
  <c r="E11" i="14"/>
  <c r="E10" i="14"/>
  <c r="G10" i="14" s="1"/>
  <c r="G11" i="14" s="1"/>
  <c r="F45" i="14" s="1"/>
  <c r="J45" i="14" s="1"/>
  <c r="J46" i="14" s="1"/>
  <c r="J48" i="14" s="1"/>
  <c r="J50" i="14" s="1"/>
  <c r="J52" i="14" s="1"/>
  <c r="E52" i="14" s="1"/>
  <c r="E55" i="14" s="1"/>
  <c r="E56" i="14" s="1"/>
  <c r="E7" i="14"/>
  <c r="G7" i="14" s="1"/>
</calcChain>
</file>

<file path=xl/sharedStrings.xml><?xml version="1.0" encoding="utf-8"?>
<sst xmlns="http://schemas.openxmlformats.org/spreadsheetml/2006/main" count="518" uniqueCount="357">
  <si>
    <t>Celerity Technogy Inc. ("CTI")</t>
  </si>
  <si>
    <t>Discount Cash Flow Valuation Method (000's)</t>
  </si>
  <si>
    <t>PROJECTED</t>
  </si>
  <si>
    <t>EXIT YEAR</t>
  </si>
  <si>
    <t>Year 0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</si>
  <si>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</si>
  <si>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</si>
  <si>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</si>
  <si>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</si>
  <si>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</si>
  <si>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</si>
  <si>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>Cost of Revenues</t>
  </si>
  <si>
    <t>Operating Expenses</t>
  </si>
  <si>
    <t>EBITDA</t>
  </si>
  <si>
    <t>Less Depreciation &amp; Amortization</t>
  </si>
  <si>
    <t>EBIT</t>
  </si>
  <si>
    <t>Less Interest</t>
  </si>
  <si>
    <t>Less Taxes</t>
  </si>
  <si>
    <t>EAT</t>
  </si>
  <si>
    <t>Plus Depreciation &amp; Amortization</t>
  </si>
  <si>
    <t>Less Working Capital</t>
  </si>
  <si>
    <t>Less Capital Expenditures and Investments</t>
  </si>
  <si>
    <t>Cash Before Financing Payments</t>
  </si>
  <si>
    <t>Less Debt Service (Principal + Interest)</t>
  </si>
  <si>
    <t xml:space="preserve">  Free Cash Flow</t>
  </si>
  <si>
    <t>TERMINAL VALUE (TV)</t>
  </si>
  <si>
    <t>TV Assumptions</t>
  </si>
  <si>
    <t>Terminal Value using EBITDA Multiple Method</t>
  </si>
  <si>
    <t>EBITDA Multiple =</t>
  </si>
  <si>
    <t>Terminal Value using Perpetuity Method</t>
  </si>
  <si>
    <t>Discount Rate =</t>
  </si>
  <si>
    <t xml:space="preserve">   Average Terminal Value</t>
  </si>
  <si>
    <t>Growth =</t>
  </si>
  <si>
    <t>Less Debt</t>
  </si>
  <si>
    <t>Equity Value at Exit Year</t>
  </si>
  <si>
    <t>Equity Cash Flows</t>
  </si>
  <si>
    <t>Equity Expected Return =</t>
  </si>
  <si>
    <t>Present Value of Equity</t>
  </si>
  <si>
    <t>Plus Debt</t>
  </si>
  <si>
    <t>Less Cash</t>
  </si>
  <si>
    <t xml:space="preserve"> Firm Enterprise value</t>
  </si>
  <si>
    <t xml:space="preserve"> Enteprise Value / EBITDA</t>
  </si>
  <si>
    <t>CORPORATE VALUATIONS</t>
  </si>
  <si>
    <t>BOOK VALUE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</si>
  <si>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</si>
  <si>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</si>
  <si>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</si>
  <si>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</si>
  <si>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</si>
  <si>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</si>
  <si>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</si>
  <si>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</si>
  <si>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</si>
  <si>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</si>
  <si>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</si>
  <si>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MARKET VALUE METHODS</t>
  </si>
  <si>
    <t>Common Shares Outstanding (000's)</t>
  </si>
  <si>
    <t>Market Capitalization (Equity Value)</t>
  </si>
  <si>
    <t>Dividends/Share</t>
  </si>
  <si>
    <t>Market Value to Book Value Relationship</t>
  </si>
  <si>
    <t>Equity MV / BV</t>
  </si>
  <si>
    <t>Tobin's Q Ratio (EV/ Total Assets)</t>
  </si>
  <si>
    <t xml:space="preserve">Price / Earnings </t>
  </si>
  <si>
    <t>Price / Sales</t>
  </si>
  <si>
    <t>Price / EBITDA</t>
  </si>
  <si>
    <t>ENTERPRISE VALUATION ANALYSIS</t>
  </si>
  <si>
    <t>EV</t>
  </si>
  <si>
    <t>Debt</t>
  </si>
  <si>
    <t>Cash</t>
  </si>
  <si>
    <t>Stock Price</t>
  </si>
  <si>
    <t>Book Value Equity</t>
  </si>
  <si>
    <t>METHOD #1 - Market Value / Using the Stock Price</t>
  </si>
  <si>
    <t>METHOD #2- Intrinsic Value</t>
  </si>
  <si>
    <t>METHOD #3- Dividend Discount Model (DDM)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</si>
  <si>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</si>
  <si>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</si>
  <si>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</si>
  <si>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</si>
  <si>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</si>
  <si>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</si>
  <si>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</si>
  <si>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</si>
  <si>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</si>
  <si>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</si>
  <si>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</si>
  <si>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</si>
  <si>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</si>
  <si>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>Stocks Outstanding ($000)</t>
  </si>
  <si>
    <t>Equity 
Value
 ($000)</t>
  </si>
  <si>
    <t>Enterprise Value 
($000)</t>
  </si>
  <si>
    <t>Hyatt's Enteprise Value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</si>
  <si>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</si>
  <si>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</si>
  <si>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</si>
  <si>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</si>
  <si>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</si>
  <si>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</si>
  <si>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</si>
  <si>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</si>
  <si>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</si>
  <si>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</si>
  <si>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</si>
  <si>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</si>
  <si>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</si>
  <si>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</si>
  <si>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V0=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</si>
  <si>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</si>
  <si>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</si>
  <si>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</si>
  <si>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</si>
  <si>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</si>
  <si>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</si>
  <si>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</si>
  <si>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</si>
  <si>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</si>
  <si>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</si>
  <si>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>E</t>
  </si>
  <si>
    <t>EV / E</t>
  </si>
  <si>
    <t>Equity Value
 ($000)</t>
  </si>
  <si>
    <t>Debt (ST&amp;LT)
($000)</t>
  </si>
  <si>
    <t>Cash
 ($000)</t>
  </si>
  <si>
    <t>EBITDA 
($mm)</t>
  </si>
  <si>
    <t>EBITDA Multiple</t>
  </si>
  <si>
    <t>Beta</t>
  </si>
  <si>
    <t>EBITDA * Average Multiple</t>
  </si>
  <si>
    <t>Average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</si>
  <si>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</si>
  <si>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</si>
  <si>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</si>
  <si>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</si>
  <si>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</si>
  <si>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</si>
  <si>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</si>
  <si>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</si>
  <si>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Shares Outstanding</t>
  </si>
  <si>
    <t>Enterprise Value (EV)</t>
  </si>
  <si>
    <t xml:space="preserve">  year =</t>
  </si>
  <si>
    <t>Discout Cash Flow Valuation Analysis</t>
  </si>
  <si>
    <t>Historical</t>
  </si>
  <si>
    <t>Projected</t>
  </si>
  <si>
    <t>Input Actual</t>
  </si>
  <si>
    <t>Assumptions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</si>
  <si>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</si>
  <si>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</si>
  <si>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</si>
  <si>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</si>
  <si>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</si>
  <si>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</si>
  <si>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</si>
  <si>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</si>
  <si>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</si>
  <si>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</si>
  <si>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</si>
  <si>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</si>
  <si>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</si>
  <si>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</si>
  <si>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</si>
  <si>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>Less Debt Outstanding (at Exit)</t>
  </si>
  <si>
    <t>Plus Cash (at Exit)</t>
  </si>
  <si>
    <t>Equity Value at Terminal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</si>
  <si>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</si>
  <si>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</si>
  <si>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</si>
  <si>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</si>
  <si>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</si>
  <si>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</si>
  <si>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</si>
  <si>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</si>
  <si>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</si>
  <si>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</si>
  <si>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</si>
  <si>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</si>
  <si>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</si>
  <si>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</si>
  <si>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 xml:space="preserve">+ PV of Debt = </t>
  </si>
  <si>
    <t>Expected Equity Return =</t>
  </si>
  <si>
    <t xml:space="preserve">+ PV of Cash = </t>
  </si>
  <si>
    <t>WACC Calc:</t>
  </si>
  <si>
    <t xml:space="preserve">  % Cap</t>
  </si>
  <si>
    <t xml:space="preserve"> AT RoR</t>
  </si>
  <si>
    <t>WACC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</si>
  <si>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</si>
  <si>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</si>
  <si>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</si>
  <si>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</si>
  <si>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</si>
  <si>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</si>
  <si>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METHOD #7 - Leveraged Buyout (LBO) Analysis</t>
  </si>
  <si>
    <t>Transactions Uses</t>
  </si>
  <si>
    <t>Purchase of 100% Shares</t>
  </si>
  <si>
    <t>Premium</t>
  </si>
  <si>
    <t>Current 
Stock Price</t>
  </si>
  <si>
    <t>Purchase Stock Price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</si>
  <si>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</si>
  <si>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</si>
  <si>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</si>
  <si>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</si>
  <si>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</si>
  <si>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After Tax Interest Rate Adjustments</t>
  </si>
  <si>
    <t>WACC 
Calc</t>
  </si>
  <si>
    <t>Total Amount
($ 000's)</t>
  </si>
  <si>
    <t>Total
Amount
($ 000's)</t>
  </si>
  <si>
    <t>Bank Loan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</si>
  <si>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</si>
  <si>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</si>
  <si>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</si>
  <si>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</si>
  <si>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</si>
  <si>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</si>
  <si>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</si>
  <si>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</si>
  <si>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Plus Amortization</t>
  </si>
  <si>
    <t>Cash Flow Before Principal Payment</t>
  </si>
  <si>
    <t>Debt Principal Payment</t>
  </si>
  <si>
    <t>Figure 18.2</t>
  </si>
  <si>
    <t>Figure 18.3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</si>
  <si>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</si>
  <si>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</si>
  <si>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</si>
  <si>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</si>
  <si>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</si>
  <si>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</si>
  <si>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</si>
  <si>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</si>
  <si>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</si>
  <si>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>LTM</t>
  </si>
  <si>
    <t>Figure 18.8</t>
  </si>
  <si>
    <t xml:space="preserve">   Total Debt</t>
  </si>
  <si>
    <t>EBITDA
Multiple</t>
  </si>
  <si>
    <t xml:space="preserve">Debt </t>
  </si>
  <si>
    <t>METHOD #7 - LBO Analysis</t>
  </si>
  <si>
    <t>Year -1</t>
  </si>
  <si>
    <t>Figure 18.10</t>
  </si>
  <si>
    <t>LBO Method (000's)</t>
  </si>
  <si>
    <t>Sources</t>
  </si>
  <si>
    <t xml:space="preserve">  Total Debt</t>
  </si>
  <si>
    <t xml:space="preserve">  Total Sources</t>
  </si>
  <si>
    <t>Amount</t>
  </si>
  <si>
    <t>Capacity EBITDA x</t>
  </si>
  <si>
    <t xml:space="preserve"> Tax Rate =</t>
  </si>
  <si>
    <t>Uses</t>
  </si>
  <si>
    <t>Purchase EBITDA Multiple</t>
  </si>
  <si>
    <t>Purchase Enteprise Value</t>
  </si>
  <si>
    <t>Fees (% EV)</t>
  </si>
  <si>
    <t xml:space="preserve"> % Capital</t>
  </si>
  <si>
    <t>Bank Loal - Outstanding</t>
  </si>
  <si>
    <t>Bank Loan  - Principal Incr./Decr.</t>
  </si>
  <si>
    <t>Bank Loan - Interst Payment</t>
  </si>
  <si>
    <t>Bonds - Outstanding</t>
  </si>
  <si>
    <t>Bonds  - Principal Incr./Decr.</t>
  </si>
  <si>
    <t>Bonds - Interst Payment</t>
  </si>
  <si>
    <t>Interest</t>
  </si>
  <si>
    <t>Less Depreciation</t>
  </si>
  <si>
    <t>Less Amortization</t>
  </si>
  <si>
    <t>Inter. / 
Exp. Ret.</t>
  </si>
  <si>
    <t>DEBT SCHEDULES</t>
  </si>
  <si>
    <t>CASH FLOW PROJECTIONS</t>
  </si>
  <si>
    <t>TRANSACTION SOURCES &amp; USES</t>
  </si>
  <si>
    <t>DEBT ASSUMPTIONS</t>
  </si>
  <si>
    <t>VALUE ASSUMPTIONS (Pre-bankrupcy)</t>
  </si>
  <si>
    <t>Debt Outstanding =</t>
  </si>
  <si>
    <t>Weighted Average Duration=</t>
  </si>
  <si>
    <t>years</t>
  </si>
  <si>
    <t>Weighted Average maturity=</t>
  </si>
  <si>
    <t>Correlation between Stock/Bond</t>
  </si>
  <si>
    <t>WACC=</t>
  </si>
  <si>
    <t>Debt proportion (1987 - 1991) =</t>
  </si>
  <si>
    <t>Tax Rate =</t>
  </si>
  <si>
    <t>Revenue</t>
  </si>
  <si>
    <t>CoGS</t>
  </si>
  <si>
    <t>Oper. Exp.</t>
  </si>
  <si>
    <t xml:space="preserve">  EBIT</t>
  </si>
  <si>
    <t xml:space="preserve">  EBIT (t)</t>
  </si>
  <si>
    <t>EBIT (i-t)</t>
  </si>
  <si>
    <t xml:space="preserve">  Cash Flow</t>
  </si>
  <si>
    <t>Terminal Value assumption</t>
  </si>
  <si>
    <t>EV (PV) of the firm</t>
  </si>
  <si>
    <t>Step 1 - Find the annualized in stock and bond prices:</t>
  </si>
  <si>
    <t>Annualized Variance in Stock Price σ^2 =</t>
  </si>
  <si>
    <t>(annual)</t>
  </si>
  <si>
    <t xml:space="preserve"> St. Dev.=</t>
  </si>
  <si>
    <t>Annualized Variance in Bond Price σ^2 =</t>
  </si>
  <si>
    <t>Step 2 - Find the annualized variance in firm value</t>
  </si>
  <si>
    <t>We=</t>
  </si>
  <si>
    <t>Wd=</t>
  </si>
  <si>
    <t>Annualized Variance in firm value</t>
  </si>
  <si>
    <t>The five-year bond rate (corresponding to the weighted average duration of 5.1 years) is 6.0%</t>
  </si>
  <si>
    <t>Stet 3 - Find the value of call based upon the following parameters of equity as a call option</t>
  </si>
  <si>
    <t xml:space="preserve">Value of the underlying asset = S = Value of the firm = </t>
  </si>
  <si>
    <t xml:space="preserve">Exercise Price  = X = Face Value of outstanding debt = </t>
  </si>
  <si>
    <t>Life of the option = t = Weighted average duration of debt=</t>
  </si>
  <si>
    <t xml:space="preserve">Variance in the value of the underlying asset = σ^2 = </t>
  </si>
  <si>
    <t>Riskless Rate = I = T-Bond for option life =</t>
  </si>
  <si>
    <t>d1=</t>
  </si>
  <si>
    <t>N (d1) =</t>
  </si>
  <si>
    <t>d2=</t>
  </si>
  <si>
    <t>N (d2) =</t>
  </si>
  <si>
    <t>CASE STUDY: AB Air Co.</t>
  </si>
  <si>
    <t>File for Bankruptcy 1990</t>
  </si>
  <si>
    <t>Stock Montly Var. (1985 - 1990) =</t>
  </si>
  <si>
    <t>Bonds Monthly Var. (1985 - 1990) =</t>
  </si>
  <si>
    <t>Discount Cash Flow Analysis ($ millions)</t>
  </si>
  <si>
    <t>Less Maintenance Capex (offset by Depreciation)</t>
  </si>
  <si>
    <t>Less W/C (assumiung $0)</t>
  </si>
  <si>
    <t xml:space="preserve">    (we^2  x σe^2) + (wb^2  x σb^2) + 2. (we x wd x ped x σe x σd). C</t>
  </si>
  <si>
    <t>C=</t>
  </si>
  <si>
    <t>Value of the call (Equity) =</t>
  </si>
  <si>
    <t>Figure 18.12</t>
  </si>
  <si>
    <t>AK Steel</t>
  </si>
  <si>
    <t>AK Steel Holding Corp. (AKS)</t>
  </si>
  <si>
    <t>AKS</t>
  </si>
  <si>
    <t>SYMBOL=</t>
  </si>
  <si>
    <t>Total Debt</t>
  </si>
  <si>
    <t>Total Cash</t>
  </si>
  <si>
    <t>General Market Information</t>
  </si>
  <si>
    <t>Enteprise Value =</t>
  </si>
  <si>
    <t>MARKET VALUE</t>
  </si>
  <si>
    <t>United Steel</t>
  </si>
  <si>
    <t>X</t>
  </si>
  <si>
    <t>Steel Dynamics</t>
  </si>
  <si>
    <t>STLD</t>
  </si>
  <si>
    <t>RS</t>
  </si>
  <si>
    <t>Reliance Steel Industries</t>
  </si>
  <si>
    <t>Schtzer Steel Industries</t>
  </si>
  <si>
    <t>SCHN</t>
  </si>
  <si>
    <t>Olympic Steel</t>
  </si>
  <si>
    <t>ZEUS</t>
  </si>
  <si>
    <t>Enteprise Value</t>
  </si>
  <si>
    <t>ZS Steel</t>
  </si>
  <si>
    <t>Archimedes PE</t>
  </si>
  <si>
    <t>Equity Value ($000)</t>
  </si>
  <si>
    <t>Total Net Debt ($ 000)</t>
  </si>
  <si>
    <t>EBITDA  ($ 000)</t>
  </si>
  <si>
    <t>Celerity Steel Manufacturing</t>
  </si>
  <si>
    <t>Yes Steel &amp; Aluminum Co.</t>
  </si>
  <si>
    <t>HI Steel Manufacturing Inc.</t>
  </si>
  <si>
    <t>Precision Steel</t>
  </si>
  <si>
    <t>Ross West Steel</t>
  </si>
  <si>
    <t>Greenstone Capital</t>
  </si>
  <si>
    <t>MW Inc.</t>
  </si>
  <si>
    <t>Kingtom Steel</t>
  </si>
  <si>
    <t>Excel Steel</t>
  </si>
  <si>
    <t>AZM Steel &amp; Aliminum</t>
  </si>
  <si>
    <t>Last Reported Performance  (LTM)</t>
  </si>
  <si>
    <t>Financial Statements Date of Reporting:</t>
  </si>
  <si>
    <t>Interest LTM ($ 000s)</t>
  </si>
  <si>
    <t>Company Beta =</t>
  </si>
  <si>
    <t>Beta=</t>
  </si>
  <si>
    <t xml:space="preserve">Stock Price </t>
  </si>
  <si>
    <t>MV Equity</t>
  </si>
  <si>
    <t>Transaction Fees &amp; Expenses</t>
  </si>
  <si>
    <t>Enterprise Value</t>
  </si>
  <si>
    <t>Desired Equity Return =</t>
  </si>
  <si>
    <t>Shares 
Outs</t>
  </si>
  <si>
    <t>Equity
 Value</t>
  </si>
  <si>
    <t>Interest Payments</t>
  </si>
  <si>
    <t>Principal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</si>
</sst>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0000_);_(* \(#,##0.0000000\);_(* &quot;-&quot;??_);_(@_)"/>
    <numFmt numFmtId="170" formatCode="0.000%"/>
    <numFmt numFmtId="171" formatCode="_(* #,##0.0_);_(* \(#,##0.0\);_(* &quot;-&quot;??_);_(@_)"/>
    <numFmt numFmtId="172" formatCode="&quot;$&quot;#,##0.0_);[Red]\(&quot;$&quot;#,##0.0\)"/>
    <numFmt numFmtId="173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B0F0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2"/>
      <name val="Arial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4" fillId="0" borderId="0" xfId="0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2" fillId="0" borderId="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0" borderId="0" xfId="0" applyFont="1" applyBorder="1"/>
    <xf numFmtId="0" fontId="7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4" xfId="0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2" fillId="0" borderId="4" xfId="0" applyFont="1" applyBorder="1"/>
    <xf numFmtId="0" fontId="2" fillId="0" borderId="0" xfId="0" applyFont="1" applyBorder="1"/>
    <xf numFmtId="164" fontId="2" fillId="0" borderId="0" xfId="1" applyNumberFormat="1" applyFont="1" applyBorder="1"/>
    <xf numFmtId="164" fontId="2" fillId="0" borderId="7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0" fontId="0" fillId="0" borderId="7" xfId="0" applyBorder="1"/>
    <xf numFmtId="0" fontId="8" fillId="0" borderId="4" xfId="0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164" fontId="0" fillId="0" borderId="7" xfId="0" applyNumberFormat="1" applyBorder="1"/>
    <xf numFmtId="9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41" fontId="0" fillId="0" borderId="0" xfId="0" applyNumberFormat="1" applyBorder="1"/>
    <xf numFmtId="164" fontId="2" fillId="0" borderId="11" xfId="0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14" xfId="0" applyNumberFormat="1" applyBorder="1"/>
    <xf numFmtId="0" fontId="0" fillId="0" borderId="15" xfId="0" applyBorder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16" xfId="0" applyFont="1" applyBorder="1" applyAlignment="1">
      <alignment horizontal="center"/>
    </xf>
    <xf numFmtId="164" fontId="11" fillId="0" borderId="0" xfId="0" applyNumberFormat="1" applyFont="1"/>
    <xf numFmtId="166" fontId="11" fillId="0" borderId="0" xfId="2" applyNumberFormat="1" applyFont="1" applyAlignment="1">
      <alignment horizontal="center"/>
    </xf>
    <xf numFmtId="10" fontId="11" fillId="0" borderId="0" xfId="0" applyNumberFormat="1" applyFont="1"/>
    <xf numFmtId="6" fontId="14" fillId="0" borderId="0" xfId="0" applyNumberFormat="1" applyFont="1"/>
    <xf numFmtId="0" fontId="0" fillId="0" borderId="0" xfId="0" quotePrefix="1"/>
    <xf numFmtId="44" fontId="11" fillId="0" borderId="0" xfId="2" applyFont="1"/>
    <xf numFmtId="0" fontId="0" fillId="0" borderId="6" xfId="0" applyBorder="1"/>
    <xf numFmtId="44" fontId="11" fillId="0" borderId="0" xfId="2" applyFont="1" applyAlignment="1">
      <alignment horizontal="right"/>
    </xf>
    <xf numFmtId="6" fontId="11" fillId="0" borderId="0" xfId="0" applyNumberFormat="1" applyFont="1"/>
    <xf numFmtId="8" fontId="14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3" applyNumberFormat="1" applyFont="1" applyBorder="1" applyAlignment="1">
      <alignment horizontal="center"/>
    </xf>
    <xf numFmtId="0" fontId="15" fillId="3" borderId="0" xfId="0" applyFont="1" applyFill="1" applyBorder="1"/>
    <xf numFmtId="0" fontId="16" fillId="3" borderId="0" xfId="0" applyFont="1" applyFill="1" applyBorder="1"/>
    <xf numFmtId="0" fontId="16" fillId="3" borderId="0" xfId="0" applyFont="1" applyFill="1"/>
    <xf numFmtId="0" fontId="7" fillId="2" borderId="14" xfId="0" applyFont="1" applyFill="1" applyBorder="1" applyAlignment="1">
      <alignment horizontal="center"/>
    </xf>
    <xf numFmtId="0" fontId="0" fillId="0" borderId="18" xfId="0" applyBorder="1"/>
    <xf numFmtId="44" fontId="0" fillId="0" borderId="8" xfId="2" applyNumberFormat="1" applyFont="1" applyBorder="1" applyAlignment="1"/>
    <xf numFmtId="0" fontId="17" fillId="0" borderId="18" xfId="0" applyFont="1" applyBorder="1"/>
    <xf numFmtId="164" fontId="17" fillId="0" borderId="6" xfId="0" applyNumberFormat="1" applyFont="1" applyBorder="1"/>
    <xf numFmtId="44" fontId="17" fillId="0" borderId="8" xfId="2" applyNumberFormat="1" applyFont="1" applyBorder="1" applyAlignment="1"/>
    <xf numFmtId="0" fontId="0" fillId="0" borderId="19" xfId="0" applyBorder="1"/>
    <xf numFmtId="164" fontId="0" fillId="0" borderId="9" xfId="0" applyNumberFormat="1" applyBorder="1"/>
    <xf numFmtId="164" fontId="0" fillId="0" borderId="7" xfId="0" applyNumberFormat="1" applyBorder="1" applyAlignment="1"/>
    <xf numFmtId="0" fontId="7" fillId="0" borderId="4" xfId="0" applyFont="1" applyBorder="1"/>
    <xf numFmtId="164" fontId="7" fillId="0" borderId="16" xfId="0" applyNumberFormat="1" applyFont="1" applyBorder="1"/>
    <xf numFmtId="44" fontId="7" fillId="0" borderId="20" xfId="2" applyNumberFormat="1" applyFont="1" applyBorder="1" applyAlignment="1"/>
    <xf numFmtId="0" fontId="15" fillId="3" borderId="0" xfId="0" applyFont="1" applyFill="1" applyAlignment="1">
      <alignment horizontal="left"/>
    </xf>
    <xf numFmtId="6" fontId="16" fillId="3" borderId="0" xfId="0" applyNumberFormat="1" applyFont="1" applyFill="1"/>
    <xf numFmtId="0" fontId="18" fillId="0" borderId="21" xfId="0" applyFont="1" applyBorder="1" applyAlignment="1">
      <alignment horizontal="center" vertical="center"/>
    </xf>
    <xf numFmtId="0" fontId="18" fillId="0" borderId="21" xfId="0" quotePrefix="1" applyFont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7" fillId="2" borderId="22" xfId="0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left" vertical="center" wrapText="1"/>
    </xf>
    <xf numFmtId="0" fontId="19" fillId="0" borderId="27" xfId="0" applyFont="1" applyBorder="1"/>
    <xf numFmtId="0" fontId="9" fillId="0" borderId="29" xfId="0" applyFont="1" applyBorder="1" applyAlignment="1">
      <alignment horizontal="left" vertical="center" wrapText="1"/>
    </xf>
    <xf numFmtId="164" fontId="19" fillId="0" borderId="27" xfId="1" applyNumberFormat="1" applyFont="1" applyBorder="1"/>
    <xf numFmtId="164" fontId="0" fillId="0" borderId="0" xfId="1" applyNumberFormat="1" applyFont="1"/>
    <xf numFmtId="0" fontId="22" fillId="2" borderId="31" xfId="0" applyFont="1" applyFill="1" applyBorder="1" applyAlignment="1">
      <alignment horizontal="left" vertical="center" wrapText="1"/>
    </xf>
    <xf numFmtId="164" fontId="7" fillId="2" borderId="32" xfId="0" applyNumberFormat="1" applyFont="1" applyFill="1" applyBorder="1"/>
    <xf numFmtId="0" fontId="7" fillId="0" borderId="0" xfId="0" applyFont="1"/>
    <xf numFmtId="0" fontId="23" fillId="3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167" fontId="0" fillId="0" borderId="0" xfId="0" applyNumberFormat="1"/>
    <xf numFmtId="0" fontId="7" fillId="4" borderId="31" xfId="0" applyFont="1" applyFill="1" applyBorder="1"/>
    <xf numFmtId="168" fontId="7" fillId="4" borderId="32" xfId="3" applyNumberFormat="1" applyFont="1" applyFill="1" applyBorder="1"/>
    <xf numFmtId="0" fontId="0" fillId="7" borderId="33" xfId="0" applyFill="1" applyBorder="1"/>
    <xf numFmtId="44" fontId="7" fillId="4" borderId="32" xfId="2" applyFont="1" applyFill="1" applyBorder="1"/>
    <xf numFmtId="10" fontId="7" fillId="4" borderId="32" xfId="3" applyNumberFormat="1" applyFont="1" applyFill="1" applyBorder="1"/>
    <xf numFmtId="0" fontId="3" fillId="0" borderId="0" xfId="0" applyFont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5" borderId="17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19" fillId="0" borderId="27" xfId="0" applyFont="1" applyBorder="1" applyAlignment="1">
      <alignment horizontal="center"/>
    </xf>
    <xf numFmtId="44" fontId="19" fillId="6" borderId="27" xfId="2" applyFont="1" applyFill="1" applyBorder="1"/>
    <xf numFmtId="164" fontId="21" fillId="0" borderId="27" xfId="1" applyNumberFormat="1" applyFont="1" applyBorder="1"/>
    <xf numFmtId="164" fontId="21" fillId="0" borderId="28" xfId="1" applyNumberFormat="1" applyFont="1" applyBorder="1"/>
    <xf numFmtId="164" fontId="21" fillId="0" borderId="34" xfId="1" applyNumberFormat="1" applyFont="1" applyBorder="1"/>
    <xf numFmtId="164" fontId="20" fillId="5" borderId="8" xfId="1" applyNumberFormat="1" applyFont="1" applyFill="1" applyBorder="1"/>
    <xf numFmtId="167" fontId="20" fillId="5" borderId="8" xfId="1" applyNumberFormat="1" applyFont="1" applyFill="1" applyBorder="1"/>
    <xf numFmtId="0" fontId="19" fillId="0" borderId="21" xfId="0" applyFont="1" applyBorder="1" applyAlignment="1">
      <alignment horizontal="center"/>
    </xf>
    <xf numFmtId="44" fontId="19" fillId="6" borderId="21" xfId="2" applyFont="1" applyFill="1" applyBorder="1"/>
    <xf numFmtId="164" fontId="21" fillId="0" borderId="21" xfId="1" applyNumberFormat="1" applyFont="1" applyBorder="1"/>
    <xf numFmtId="164" fontId="21" fillId="0" borderId="30" xfId="1" applyNumberFormat="1" applyFont="1" applyBorder="1"/>
    <xf numFmtId="164" fontId="21" fillId="0" borderId="35" xfId="1" applyNumberFormat="1" applyFont="1" applyBorder="1"/>
    <xf numFmtId="44" fontId="19" fillId="0" borderId="21" xfId="2" applyFont="1" applyBorder="1" applyAlignment="1">
      <alignment horizontal="center"/>
    </xf>
    <xf numFmtId="0" fontId="9" fillId="0" borderId="22" xfId="0" applyFont="1" applyBorder="1" applyAlignment="1">
      <alignment horizontal="left" vertical="center" wrapText="1"/>
    </xf>
    <xf numFmtId="44" fontId="19" fillId="0" borderId="23" xfId="2" applyFont="1" applyFill="1" applyBorder="1" applyAlignment="1">
      <alignment horizontal="center"/>
    </xf>
    <xf numFmtId="44" fontId="19" fillId="0" borderId="23" xfId="2" applyFont="1" applyFill="1" applyBorder="1" applyAlignment="1">
      <alignment horizontal="right"/>
    </xf>
    <xf numFmtId="164" fontId="19" fillId="0" borderId="23" xfId="1" applyNumberFormat="1" applyFont="1" applyBorder="1"/>
    <xf numFmtId="164" fontId="19" fillId="0" borderId="24" xfId="1" applyNumberFormat="1" applyFont="1" applyBorder="1"/>
    <xf numFmtId="164" fontId="19" fillId="0" borderId="25" xfId="1" applyNumberFormat="1" applyFont="1" applyBorder="1"/>
    <xf numFmtId="164" fontId="20" fillId="5" borderId="17" xfId="1" applyNumberFormat="1" applyFont="1" applyFill="1" applyBorder="1"/>
    <xf numFmtId="167" fontId="20" fillId="5" borderId="17" xfId="1" applyNumberFormat="1" applyFont="1" applyFill="1" applyBorder="1"/>
    <xf numFmtId="43" fontId="0" fillId="0" borderId="0" xfId="0" applyNumberFormat="1"/>
    <xf numFmtId="167" fontId="19" fillId="0" borderId="0" xfId="0" applyNumberFormat="1" applyFont="1"/>
    <xf numFmtId="164" fontId="0" fillId="0" borderId="0" xfId="0" applyNumberFormat="1"/>
    <xf numFmtId="167" fontId="20" fillId="0" borderId="0" xfId="0" applyNumberFormat="1" applyFont="1"/>
    <xf numFmtId="0" fontId="19" fillId="0" borderId="0" xfId="0" applyFont="1"/>
    <xf numFmtId="0" fontId="15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7" fillId="5" borderId="25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left" vertical="center" wrapText="1"/>
    </xf>
    <xf numFmtId="44" fontId="19" fillId="0" borderId="27" xfId="2" applyFont="1" applyFill="1" applyBorder="1" applyAlignment="1">
      <alignment vertical="center"/>
    </xf>
    <xf numFmtId="164" fontId="19" fillId="0" borderId="27" xfId="1" applyNumberFormat="1" applyFont="1" applyFill="1" applyBorder="1" applyAlignment="1">
      <alignment vertical="center"/>
    </xf>
    <xf numFmtId="167" fontId="19" fillId="0" borderId="34" xfId="0" applyNumberFormat="1" applyFont="1" applyFill="1" applyBorder="1" applyAlignment="1">
      <alignment vertical="center"/>
    </xf>
    <xf numFmtId="0" fontId="19" fillId="0" borderId="0" xfId="0" applyFont="1" applyBorder="1"/>
    <xf numFmtId="14" fontId="19" fillId="0" borderId="38" xfId="0" applyNumberFormat="1" applyFont="1" applyBorder="1" applyAlignment="1">
      <alignment horizontal="left"/>
    </xf>
    <xf numFmtId="0" fontId="19" fillId="0" borderId="36" xfId="0" applyFont="1" applyBorder="1"/>
    <xf numFmtId="167" fontId="7" fillId="0" borderId="0" xfId="0" applyNumberFormat="1" applyFont="1" applyBorder="1"/>
    <xf numFmtId="0" fontId="7" fillId="0" borderId="0" xfId="0" applyFont="1" applyAlignment="1">
      <alignment horizontal="right"/>
    </xf>
    <xf numFmtId="0" fontId="25" fillId="0" borderId="6" xfId="0" applyFont="1" applyBorder="1" applyAlignment="1">
      <alignment horizontal="right"/>
    </xf>
    <xf numFmtId="0" fontId="25" fillId="0" borderId="6" xfId="0" applyFont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7" xfId="0" applyFont="1" applyFill="1" applyBorder="1" applyAlignment="1">
      <alignment horizontal="center"/>
    </xf>
    <xf numFmtId="14" fontId="26" fillId="2" borderId="12" xfId="0" quotePrefix="1" applyNumberFormat="1" applyFont="1" applyFill="1" applyBorder="1" applyAlignment="1">
      <alignment horizontal="center"/>
    </xf>
    <xf numFmtId="14" fontId="7" fillId="2" borderId="14" xfId="0" applyNumberFormat="1" applyFont="1" applyFill="1" applyBorder="1" applyAlignment="1">
      <alignment horizontal="right"/>
    </xf>
    <xf numFmtId="14" fontId="7" fillId="2" borderId="12" xfId="0" applyNumberFormat="1" applyFont="1" applyFill="1" applyBorder="1" applyAlignment="1">
      <alignment horizontal="right"/>
    </xf>
    <xf numFmtId="9" fontId="14" fillId="0" borderId="39" xfId="0" applyNumberFormat="1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164" fontId="14" fillId="0" borderId="7" xfId="1" applyNumberFormat="1" applyFont="1" applyBorder="1"/>
    <xf numFmtId="164" fontId="0" fillId="0" borderId="5" xfId="1" applyNumberFormat="1" applyFont="1" applyBorder="1"/>
    <xf numFmtId="168" fontId="14" fillId="0" borderId="39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64" fontId="11" fillId="0" borderId="7" xfId="1" applyNumberFormat="1" applyFont="1" applyBorder="1"/>
    <xf numFmtId="168" fontId="21" fillId="0" borderId="0" xfId="3" applyNumberFormat="1" applyFont="1" applyBorder="1"/>
    <xf numFmtId="168" fontId="21" fillId="0" borderId="7" xfId="3" applyNumberFormat="1" applyFont="1" applyBorder="1"/>
    <xf numFmtId="168" fontId="21" fillId="0" borderId="5" xfId="3" applyNumberFormat="1" applyFont="1" applyBorder="1"/>
    <xf numFmtId="0" fontId="11" fillId="0" borderId="0" xfId="0" quotePrefix="1" applyFont="1" applyAlignment="1">
      <alignment shrinkToFit="1"/>
    </xf>
    <xf numFmtId="164" fontId="14" fillId="0" borderId="8" xfId="1" applyNumberFormat="1" applyFont="1" applyBorder="1"/>
    <xf numFmtId="164" fontId="0" fillId="0" borderId="40" xfId="1" applyNumberFormat="1" applyFont="1" applyBorder="1"/>
    <xf numFmtId="0" fontId="14" fillId="0" borderId="3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39" xfId="0" applyBorder="1"/>
    <xf numFmtId="164" fontId="7" fillId="0" borderId="41" xfId="1" applyNumberFormat="1" applyFont="1" applyFill="1" applyBorder="1"/>
    <xf numFmtId="164" fontId="7" fillId="0" borderId="16" xfId="1" applyNumberFormat="1" applyFont="1" applyBorder="1"/>
    <xf numFmtId="164" fontId="7" fillId="0" borderId="41" xfId="1" applyNumberFormat="1" applyFont="1" applyBorder="1"/>
    <xf numFmtId="164" fontId="7" fillId="0" borderId="42" xfId="1" applyNumberFormat="1" applyFont="1" applyBorder="1"/>
    <xf numFmtId="0" fontId="0" fillId="0" borderId="43" xfId="0" applyBorder="1"/>
    <xf numFmtId="164" fontId="7" fillId="0" borderId="43" xfId="0" applyNumberFormat="1" applyFont="1" applyFill="1" applyBorder="1"/>
    <xf numFmtId="164" fontId="7" fillId="0" borderId="43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0" fontId="7" fillId="0" borderId="6" xfId="0" applyFont="1" applyBorder="1"/>
    <xf numFmtId="164" fontId="7" fillId="0" borderId="6" xfId="0" applyNumberFormat="1" applyFont="1" applyBorder="1"/>
    <xf numFmtId="164" fontId="7" fillId="0" borderId="8" xfId="1" applyNumberFormat="1" applyFont="1" applyBorder="1"/>
    <xf numFmtId="164" fontId="7" fillId="0" borderId="40" xfId="1" applyNumberFormat="1" applyFont="1" applyBorder="1"/>
    <xf numFmtId="0" fontId="27" fillId="0" borderId="0" xfId="0" applyFont="1"/>
    <xf numFmtId="0" fontId="7" fillId="0" borderId="14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0" xfId="0" quotePrefix="1" applyBorder="1"/>
    <xf numFmtId="10" fontId="14" fillId="0" borderId="0" xfId="0" applyNumberFormat="1" applyFont="1"/>
    <xf numFmtId="10" fontId="0" fillId="0" borderId="0" xfId="0" applyNumberFormat="1" applyBorder="1"/>
    <xf numFmtId="0" fontId="19" fillId="0" borderId="0" xfId="0" quotePrefix="1" applyFont="1" applyAlignment="1">
      <alignment shrinkToFit="1"/>
    </xf>
    <xf numFmtId="164" fontId="0" fillId="0" borderId="44" xfId="1" applyNumberFormat="1" applyFont="1" applyBorder="1"/>
    <xf numFmtId="0" fontId="0" fillId="0" borderId="16" xfId="0" applyBorder="1"/>
    <xf numFmtId="168" fontId="7" fillId="0" borderId="16" xfId="0" applyNumberFormat="1" applyFont="1" applyBorder="1"/>
    <xf numFmtId="164" fontId="7" fillId="0" borderId="41" xfId="0" applyNumberFormat="1" applyFont="1" applyBorder="1"/>
    <xf numFmtId="169" fontId="7" fillId="0" borderId="39" xfId="1" applyNumberFormat="1" applyFont="1" applyBorder="1"/>
    <xf numFmtId="6" fontId="7" fillId="0" borderId="0" xfId="0" applyNumberFormat="1" applyFont="1"/>
    <xf numFmtId="6" fontId="7" fillId="0" borderId="16" xfId="0" applyNumberFormat="1" applyFont="1" applyBorder="1"/>
    <xf numFmtId="0" fontId="22" fillId="2" borderId="31" xfId="0" applyFont="1" applyFill="1" applyBorder="1" applyAlignment="1">
      <alignment horizontal="left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32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22" fillId="2" borderId="17" xfId="0" applyFont="1" applyFill="1" applyBorder="1" applyAlignment="1">
      <alignment horizontal="left" vertical="center"/>
    </xf>
    <xf numFmtId="6" fontId="7" fillId="0" borderId="0" xfId="0" applyNumberFormat="1" applyFont="1" applyBorder="1"/>
    <xf numFmtId="0" fontId="7" fillId="0" borderId="4" xfId="0" applyFont="1" applyFill="1" applyBorder="1"/>
    <xf numFmtId="0" fontId="7" fillId="0" borderId="0" xfId="0" applyFont="1" applyFill="1" applyBorder="1"/>
    <xf numFmtId="10" fontId="7" fillId="0" borderId="5" xfId="0" applyNumberFormat="1" applyFont="1" applyFill="1" applyBorder="1"/>
    <xf numFmtId="164" fontId="11" fillId="0" borderId="4" xfId="1" applyNumberFormat="1" applyFont="1" applyBorder="1"/>
    <xf numFmtId="0" fontId="13" fillId="0" borderId="0" xfId="0" applyFont="1" applyAlignment="1">
      <alignment horizontal="right"/>
    </xf>
    <xf numFmtId="6" fontId="13" fillId="0" borderId="0" xfId="0" applyNumberFormat="1" applyFont="1"/>
    <xf numFmtId="10" fontId="28" fillId="0" borderId="5" xfId="0" applyNumberFormat="1" applyFont="1" applyFill="1" applyBorder="1"/>
    <xf numFmtId="10" fontId="0" fillId="0" borderId="4" xfId="3" applyNumberFormat="1" applyFont="1" applyBorder="1"/>
    <xf numFmtId="0" fontId="11" fillId="0" borderId="5" xfId="0" applyFont="1" applyBorder="1"/>
    <xf numFmtId="0" fontId="0" fillId="0" borderId="0" xfId="0" applyAlignment="1">
      <alignment horizontal="right"/>
    </xf>
    <xf numFmtId="167" fontId="7" fillId="0" borderId="5" xfId="0" applyNumberFormat="1" applyFont="1" applyFill="1" applyBorder="1"/>
    <xf numFmtId="0" fontId="0" fillId="0" borderId="0" xfId="0" quotePrefix="1" applyAlignment="1">
      <alignment horizontal="right"/>
    </xf>
    <xf numFmtId="164" fontId="7" fillId="0" borderId="0" xfId="0" applyNumberFormat="1" applyFont="1"/>
    <xf numFmtId="0" fontId="7" fillId="0" borderId="13" xfId="0" applyFont="1" applyFill="1" applyBorder="1"/>
    <xf numFmtId="0" fontId="7" fillId="0" borderId="14" xfId="0" applyFont="1" applyFill="1" applyBorder="1"/>
    <xf numFmtId="168" fontId="7" fillId="0" borderId="17" xfId="3" applyNumberFormat="1" applyFont="1" applyFill="1" applyBorder="1"/>
    <xf numFmtId="0" fontId="0" fillId="2" borderId="33" xfId="0" applyFill="1" applyBorder="1"/>
    <xf numFmtId="0" fontId="22" fillId="2" borderId="33" xfId="0" applyFont="1" applyFill="1" applyBorder="1" applyAlignment="1">
      <alignment horizontal="right" vertical="center"/>
    </xf>
    <xf numFmtId="0" fontId="22" fillId="2" borderId="32" xfId="0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8" fontId="7" fillId="0" borderId="0" xfId="3" applyNumberFormat="1" applyFont="1" applyFill="1" applyBorder="1"/>
    <xf numFmtId="170" fontId="7" fillId="0" borderId="0" xfId="3" applyNumberFormat="1" applyFont="1" applyFill="1" applyBorder="1"/>
    <xf numFmtId="170" fontId="7" fillId="0" borderId="5" xfId="3" applyNumberFormat="1" applyFont="1" applyFill="1" applyBorder="1"/>
    <xf numFmtId="170" fontId="7" fillId="0" borderId="0" xfId="0" applyNumberFormat="1" applyFont="1" applyFill="1" applyBorder="1"/>
    <xf numFmtId="164" fontId="7" fillId="0" borderId="14" xfId="0" applyNumberFormat="1" applyFont="1" applyFill="1" applyBorder="1"/>
    <xf numFmtId="168" fontId="7" fillId="0" borderId="11" xfId="3" applyNumberFormat="1" applyFont="1" applyFill="1" applyBorder="1"/>
    <xf numFmtId="0" fontId="7" fillId="0" borderId="11" xfId="0" applyFont="1" applyFill="1" applyBorder="1"/>
    <xf numFmtId="170" fontId="7" fillId="0" borderId="47" xfId="0" applyNumberFormat="1" applyFont="1" applyFill="1" applyBorder="1"/>
    <xf numFmtId="44" fontId="0" fillId="0" borderId="0" xfId="0" applyNumberFormat="1"/>
    <xf numFmtId="0" fontId="0" fillId="0" borderId="0" xfId="0" applyBorder="1" applyAlignment="1">
      <alignment horizontal="center"/>
    </xf>
    <xf numFmtId="6" fontId="0" fillId="0" borderId="2" xfId="0" applyNumberFormat="1" applyBorder="1"/>
    <xf numFmtId="0" fontId="9" fillId="0" borderId="4" xfId="0" applyFont="1" applyBorder="1"/>
    <xf numFmtId="6" fontId="0" fillId="0" borderId="0" xfId="0" applyNumberFormat="1" applyBorder="1"/>
    <xf numFmtId="0" fontId="15" fillId="3" borderId="4" xfId="0" applyFont="1" applyFill="1" applyBorder="1" applyAlignment="1">
      <alignment horizontal="left"/>
    </xf>
    <xf numFmtId="0" fontId="23" fillId="3" borderId="5" xfId="0" applyFont="1" applyFill="1" applyBorder="1"/>
    <xf numFmtId="0" fontId="5" fillId="0" borderId="4" xfId="0" applyFont="1" applyBorder="1" applyAlignment="1">
      <alignment horizontal="left"/>
    </xf>
    <xf numFmtId="0" fontId="7" fillId="0" borderId="5" xfId="0" applyFont="1" applyBorder="1"/>
    <xf numFmtId="0" fontId="13" fillId="0" borderId="4" xfId="0" applyFont="1" applyFill="1" applyBorder="1"/>
    <xf numFmtId="0" fontId="11" fillId="0" borderId="0" xfId="0" applyFont="1" applyBorder="1"/>
    <xf numFmtId="0" fontId="11" fillId="0" borderId="4" xfId="0" applyFont="1" applyFill="1" applyBorder="1"/>
    <xf numFmtId="10" fontId="11" fillId="0" borderId="0" xfId="0" applyNumberFormat="1" applyFont="1" applyBorder="1"/>
    <xf numFmtId="8" fontId="11" fillId="0" borderId="0" xfId="0" applyNumberFormat="1" applyFont="1" applyBorder="1"/>
    <xf numFmtId="167" fontId="11" fillId="0" borderId="0" xfId="0" applyNumberFormat="1" applyFont="1" applyBorder="1"/>
    <xf numFmtId="8" fontId="14" fillId="0" borderId="0" xfId="0" applyNumberFormat="1" applyFont="1" applyBorder="1"/>
    <xf numFmtId="0" fontId="19" fillId="0" borderId="0" xfId="0" quotePrefix="1" applyFont="1" applyBorder="1"/>
    <xf numFmtId="167" fontId="0" fillId="0" borderId="0" xfId="0" applyNumberFormat="1" applyBorder="1"/>
    <xf numFmtId="0" fontId="3" fillId="0" borderId="4" xfId="0" applyFont="1" applyBorder="1"/>
    <xf numFmtId="168" fontId="11" fillId="0" borderId="0" xfId="0" applyNumberFormat="1" applyFont="1" applyBorder="1"/>
    <xf numFmtId="167" fontId="24" fillId="5" borderId="8" xfId="1" applyNumberFormat="1" applyFont="1" applyFill="1" applyBorder="1" applyAlignment="1">
      <alignment horizontal="center"/>
    </xf>
    <xf numFmtId="167" fontId="24" fillId="5" borderId="17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7" fillId="2" borderId="37" xfId="0" applyFont="1" applyFill="1" applyBorder="1" applyAlignment="1">
      <alignment horizontal="center" wrapText="1" shrinkToFit="1"/>
    </xf>
    <xf numFmtId="9" fontId="11" fillId="0" borderId="0" xfId="0" applyNumberFormat="1" applyFont="1" applyFill="1" applyAlignment="1">
      <alignment horizontal="center"/>
    </xf>
    <xf numFmtId="44" fontId="11" fillId="0" borderId="0" xfId="0" applyNumberFormat="1" applyFont="1" applyFill="1"/>
    <xf numFmtId="164" fontId="11" fillId="0" borderId="0" xfId="1" applyNumberFormat="1" applyFont="1" applyFill="1"/>
    <xf numFmtId="0" fontId="7" fillId="2" borderId="37" xfId="0" applyFont="1" applyFill="1" applyBorder="1" applyAlignment="1">
      <alignment horizontal="center" wrapText="1"/>
    </xf>
    <xf numFmtId="10" fontId="11" fillId="0" borderId="0" xfId="0" applyNumberFormat="1" applyFont="1" applyFill="1"/>
    <xf numFmtId="10" fontId="11" fillId="0" borderId="0" xfId="3" applyNumberFormat="1" applyFont="1" applyFill="1"/>
    <xf numFmtId="10" fontId="11" fillId="0" borderId="11" xfId="3" applyNumberFormat="1" applyFont="1" applyFill="1" applyBorder="1"/>
    <xf numFmtId="168" fontId="11" fillId="0" borderId="0" xfId="3" applyNumberFormat="1" applyFont="1" applyFill="1" applyAlignment="1">
      <alignment horizontal="center"/>
    </xf>
    <xf numFmtId="10" fontId="11" fillId="0" borderId="0" xfId="3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70" fontId="11" fillId="0" borderId="0" xfId="3" applyNumberFormat="1" applyFont="1" applyFill="1" applyAlignment="1">
      <alignment horizontal="center"/>
    </xf>
    <xf numFmtId="170" fontId="11" fillId="0" borderId="11" xfId="0" applyNumberFormat="1" applyFont="1" applyFill="1" applyBorder="1" applyAlignment="1">
      <alignment horizontal="center"/>
    </xf>
    <xf numFmtId="164" fontId="7" fillId="0" borderId="0" xfId="1" applyNumberFormat="1" applyFont="1" applyFill="1"/>
    <xf numFmtId="164" fontId="7" fillId="0" borderId="0" xfId="0" applyNumberFormat="1" applyFont="1" applyFill="1"/>
    <xf numFmtId="164" fontId="7" fillId="0" borderId="11" xfId="0" applyNumberFormat="1" applyFont="1" applyFill="1" applyBorder="1"/>
    <xf numFmtId="0" fontId="0" fillId="0" borderId="0" xfId="0" applyFill="1" applyBorder="1"/>
    <xf numFmtId="164" fontId="11" fillId="0" borderId="8" xfId="1" applyNumberFormat="1" applyFont="1" applyBorder="1"/>
    <xf numFmtId="0" fontId="13" fillId="0" borderId="4" xfId="0" applyFont="1" applyBorder="1"/>
    <xf numFmtId="0" fontId="13" fillId="0" borderId="0" xfId="0" applyFont="1" applyBorder="1"/>
    <xf numFmtId="0" fontId="11" fillId="0" borderId="4" xfId="0" applyFont="1" applyBorder="1"/>
    <xf numFmtId="168" fontId="14" fillId="0" borderId="0" xfId="3" applyNumberFormat="1" applyFont="1" applyBorder="1"/>
    <xf numFmtId="44" fontId="11" fillId="0" borderId="0" xfId="2" applyFont="1" applyBorder="1"/>
    <xf numFmtId="0" fontId="2" fillId="0" borderId="0" xfId="0" applyFont="1"/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/>
    <xf numFmtId="164" fontId="4" fillId="0" borderId="11" xfId="0" applyNumberFormat="1" applyFont="1" applyFill="1" applyBorder="1"/>
    <xf numFmtId="164" fontId="11" fillId="0" borderId="11" xfId="1" applyNumberFormat="1" applyFont="1" applyFill="1" applyBorder="1"/>
    <xf numFmtId="14" fontId="26" fillId="2" borderId="37" xfId="0" quotePrefix="1" applyNumberFormat="1" applyFont="1" applyFill="1" applyBorder="1" applyAlignment="1">
      <alignment horizontal="center"/>
    </xf>
    <xf numFmtId="0" fontId="4" fillId="0" borderId="39" xfId="0" applyFont="1" applyFill="1" applyBorder="1"/>
    <xf numFmtId="164" fontId="11" fillId="0" borderId="39" xfId="0" applyNumberFormat="1" applyFont="1" applyFill="1" applyBorder="1"/>
    <xf numFmtId="0" fontId="11" fillId="0" borderId="39" xfId="0" applyFont="1" applyFill="1" applyBorder="1"/>
    <xf numFmtId="164" fontId="19" fillId="0" borderId="39" xfId="1" applyNumberFormat="1" applyFont="1" applyFill="1" applyBorder="1" applyAlignment="1">
      <alignment horizontal="right" vertical="top"/>
    </xf>
    <xf numFmtId="168" fontId="14" fillId="0" borderId="0" xfId="0" quotePrefix="1" applyNumberFormat="1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14" fontId="7" fillId="2" borderId="14" xfId="0" applyNumberFormat="1" applyFont="1" applyFill="1" applyBorder="1" applyAlignment="1">
      <alignment horizontal="center"/>
    </xf>
    <xf numFmtId="164" fontId="29" fillId="0" borderId="0" xfId="1" applyNumberFormat="1" applyFont="1" applyFill="1"/>
    <xf numFmtId="0" fontId="7" fillId="2" borderId="48" xfId="0" applyFont="1" applyFill="1" applyBorder="1" applyAlignment="1">
      <alignment horizontal="center" wrapText="1" shrinkToFit="1"/>
    </xf>
    <xf numFmtId="0" fontId="7" fillId="2" borderId="48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164" fontId="7" fillId="0" borderId="6" xfId="0" applyNumberFormat="1" applyFont="1" applyFill="1" applyBorder="1"/>
    <xf numFmtId="10" fontId="11" fillId="0" borderId="6" xfId="3" applyNumberFormat="1" applyFont="1" applyFill="1" applyBorder="1"/>
    <xf numFmtId="167" fontId="14" fillId="0" borderId="39" xfId="0" applyNumberFormat="1" applyFont="1" applyBorder="1" applyAlignment="1">
      <alignment horizontal="center"/>
    </xf>
    <xf numFmtId="167" fontId="14" fillId="0" borderId="27" xfId="0" applyNumberFormat="1" applyFont="1" applyBorder="1" applyAlignment="1">
      <alignment horizontal="center"/>
    </xf>
    <xf numFmtId="167" fontId="14" fillId="0" borderId="0" xfId="0" applyNumberFormat="1" applyFont="1" applyBorder="1" applyAlignment="1">
      <alignment horizontal="center"/>
    </xf>
    <xf numFmtId="167" fontId="11" fillId="0" borderId="0" xfId="0" applyNumberFormat="1" applyFont="1" applyFill="1" applyAlignment="1">
      <alignment horizontal="center"/>
    </xf>
    <xf numFmtId="167" fontId="11" fillId="0" borderId="11" xfId="0" applyNumberFormat="1" applyFont="1" applyFill="1" applyBorder="1" applyAlignment="1">
      <alignment horizontal="center"/>
    </xf>
    <xf numFmtId="167" fontId="11" fillId="0" borderId="0" xfId="0" applyNumberFormat="1" applyFont="1" applyFill="1"/>
    <xf numFmtId="167" fontId="11" fillId="0" borderId="16" xfId="0" applyNumberFormat="1" applyFont="1" applyFill="1" applyBorder="1"/>
    <xf numFmtId="0" fontId="0" fillId="0" borderId="18" xfId="0" applyFill="1" applyBorder="1"/>
    <xf numFmtId="164" fontId="0" fillId="0" borderId="6" xfId="0" applyNumberFormat="1" applyFill="1" applyBorder="1"/>
    <xf numFmtId="44" fontId="0" fillId="0" borderId="8" xfId="2" applyNumberFormat="1" applyFont="1" applyFill="1" applyBorder="1" applyAlignment="1"/>
    <xf numFmtId="9" fontId="2" fillId="0" borderId="0" xfId="0" applyNumberFormat="1" applyFont="1" applyBorder="1"/>
    <xf numFmtId="165" fontId="2" fillId="0" borderId="0" xfId="0" applyNumberFormat="1" applyFont="1" applyBorder="1"/>
    <xf numFmtId="0" fontId="7" fillId="2" borderId="6" xfId="0" applyFont="1" applyFill="1" applyBorder="1" applyAlignment="1">
      <alignment horizontal="left"/>
    </xf>
    <xf numFmtId="165" fontId="4" fillId="0" borderId="0" xfId="0" applyNumberFormat="1" applyFont="1" applyBorder="1"/>
    <xf numFmtId="0" fontId="7" fillId="2" borderId="6" xfId="0" applyFont="1" applyFill="1" applyBorder="1" applyAlignment="1">
      <alignment horizontal="center" wrapText="1"/>
    </xf>
    <xf numFmtId="164" fontId="4" fillId="0" borderId="0" xfId="0" applyNumberFormat="1" applyFont="1" applyBorder="1"/>
    <xf numFmtId="168" fontId="4" fillId="0" borderId="0" xfId="3" applyNumberFormat="1" applyFont="1" applyBorder="1"/>
    <xf numFmtId="168" fontId="4" fillId="0" borderId="0" xfId="3" applyNumberFormat="1" applyFont="1" applyBorder="1" applyAlignment="1">
      <alignment horizontal="center"/>
    </xf>
    <xf numFmtId="164" fontId="4" fillId="0" borderId="6" xfId="0" applyNumberFormat="1" applyFont="1" applyBorder="1"/>
    <xf numFmtId="168" fontId="4" fillId="0" borderId="6" xfId="3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9" fontId="0" fillId="0" borderId="0" xfId="0" applyNumberFormat="1" applyBorder="1" applyAlignment="1">
      <alignment horizontal="left"/>
    </xf>
    <xf numFmtId="168" fontId="30" fillId="0" borderId="0" xfId="3" applyNumberFormat="1" applyFont="1" applyBorder="1" applyAlignment="1">
      <alignment horizontal="center"/>
    </xf>
    <xf numFmtId="168" fontId="2" fillId="0" borderId="0" xfId="0" applyNumberFormat="1" applyFont="1" applyBorder="1"/>
    <xf numFmtId="0" fontId="4" fillId="0" borderId="6" xfId="0" applyFont="1" applyBorder="1"/>
    <xf numFmtId="164" fontId="4" fillId="0" borderId="16" xfId="0" applyNumberFormat="1" applyFont="1" applyBorder="1"/>
    <xf numFmtId="168" fontId="31" fillId="0" borderId="6" xfId="3" applyNumberFormat="1" applyFont="1" applyBorder="1" applyAlignment="1">
      <alignment horizontal="center"/>
    </xf>
    <xf numFmtId="168" fontId="0" fillId="0" borderId="6" xfId="3" applyNumberFormat="1" applyFont="1" applyBorder="1" applyAlignment="1">
      <alignment horizontal="center"/>
    </xf>
    <xf numFmtId="168" fontId="2" fillId="0" borderId="16" xfId="0" applyNumberFormat="1" applyFont="1" applyBorder="1" applyAlignment="1">
      <alignment horizontal="center"/>
    </xf>
    <xf numFmtId="168" fontId="0" fillId="0" borderId="0" xfId="3" applyNumberFormat="1" applyFont="1" applyAlignment="1">
      <alignment horizontal="center"/>
    </xf>
    <xf numFmtId="168" fontId="0" fillId="0" borderId="16" xfId="3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4" fontId="0" fillId="0" borderId="0" xfId="1" applyNumberFormat="1" applyFont="1" applyFill="1" applyBorder="1"/>
    <xf numFmtId="0" fontId="2" fillId="0" borderId="43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/>
    </xf>
    <xf numFmtId="168" fontId="2" fillId="0" borderId="0" xfId="3" applyNumberFormat="1" applyFont="1" applyBorder="1"/>
    <xf numFmtId="0" fontId="4" fillId="0" borderId="6" xfId="0" applyFont="1" applyBorder="1" applyAlignment="1">
      <alignment horizontal="right"/>
    </xf>
    <xf numFmtId="9" fontId="0" fillId="0" borderId="6" xfId="0" applyNumberFormat="1" applyBorder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168" fontId="0" fillId="0" borderId="0" xfId="3" applyNumberFormat="1" applyFont="1"/>
    <xf numFmtId="0" fontId="7" fillId="0" borderId="0" xfId="0" applyFont="1" applyAlignment="1">
      <alignment horizontal="left"/>
    </xf>
    <xf numFmtId="171" fontId="0" fillId="0" borderId="0" xfId="1" applyNumberFormat="1" applyFont="1"/>
    <xf numFmtId="171" fontId="0" fillId="0" borderId="6" xfId="1" applyNumberFormat="1" applyFont="1" applyBorder="1"/>
    <xf numFmtId="10" fontId="7" fillId="0" borderId="0" xfId="0" applyNumberFormat="1" applyFont="1"/>
    <xf numFmtId="171" fontId="7" fillId="0" borderId="0" xfId="1" applyNumberFormat="1" applyFont="1"/>
    <xf numFmtId="171" fontId="7" fillId="0" borderId="6" xfId="1" applyNumberFormat="1" applyFont="1" applyBorder="1"/>
    <xf numFmtId="171" fontId="0" fillId="0" borderId="16" xfId="0" applyNumberFormat="1" applyBorder="1"/>
    <xf numFmtId="171" fontId="0" fillId="0" borderId="0" xfId="0" applyNumberFormat="1" applyBorder="1"/>
    <xf numFmtId="165" fontId="0" fillId="0" borderId="0" xfId="0" applyNumberFormat="1"/>
    <xf numFmtId="172" fontId="7" fillId="0" borderId="0" xfId="0" applyNumberFormat="1" applyFont="1"/>
    <xf numFmtId="171" fontId="7" fillId="0" borderId="16" xfId="0" applyNumberFormat="1" applyFont="1" applyBorder="1"/>
    <xf numFmtId="0" fontId="32" fillId="0" borderId="0" xfId="0" applyFont="1"/>
    <xf numFmtId="0" fontId="11" fillId="4" borderId="33" xfId="0" applyFont="1" applyFill="1" applyBorder="1"/>
    <xf numFmtId="0" fontId="11" fillId="4" borderId="32" xfId="0" applyFont="1" applyFill="1" applyBorder="1"/>
    <xf numFmtId="172" fontId="0" fillId="0" borderId="0" xfId="0" applyNumberFormat="1"/>
    <xf numFmtId="0" fontId="7" fillId="4" borderId="31" xfId="0" applyFont="1" applyFill="1" applyBorder="1" applyAlignment="1">
      <alignment horizontal="right"/>
    </xf>
    <xf numFmtId="0" fontId="7" fillId="4" borderId="32" xfId="0" applyFont="1" applyFill="1" applyBorder="1"/>
    <xf numFmtId="10" fontId="30" fillId="0" borderId="0" xfId="0" applyNumberFormat="1" applyFont="1"/>
    <xf numFmtId="0" fontId="33" fillId="0" borderId="0" xfId="0" applyFont="1"/>
    <xf numFmtId="6" fontId="0" fillId="0" borderId="0" xfId="0" applyNumberFormat="1" applyAlignment="1">
      <alignment horizontal="right"/>
    </xf>
    <xf numFmtId="0" fontId="34" fillId="0" borderId="0" xfId="0" applyFont="1"/>
    <xf numFmtId="173" fontId="19" fillId="0" borderId="27" xfId="0" applyNumberFormat="1" applyFont="1" applyFill="1" applyBorder="1" applyAlignment="1">
      <alignment vertical="center"/>
    </xf>
    <xf numFmtId="173" fontId="19" fillId="0" borderId="27" xfId="2" applyNumberFormat="1" applyFont="1" applyFill="1" applyBorder="1" applyAlignment="1">
      <alignment vertical="center"/>
    </xf>
    <xf numFmtId="14" fontId="34" fillId="0" borderId="0" xfId="0" applyNumberFormat="1" applyFont="1"/>
    <xf numFmtId="14" fontId="7" fillId="2" borderId="23" xfId="0" applyNumberFormat="1" applyFont="1" applyFill="1" applyBorder="1" applyAlignment="1">
      <alignment horizontal="center" wrapText="1"/>
    </xf>
    <xf numFmtId="14" fontId="7" fillId="2" borderId="24" xfId="0" applyNumberFormat="1" applyFont="1" applyFill="1" applyBorder="1" applyAlignment="1">
      <alignment horizontal="center" wrapText="1"/>
    </xf>
    <xf numFmtId="14" fontId="7" fillId="2" borderId="25" xfId="0" applyNumberFormat="1" applyFont="1" applyFill="1" applyBorder="1" applyAlignment="1">
      <alignment horizontal="center" wrapText="1"/>
    </xf>
    <xf numFmtId="14" fontId="7" fillId="5" borderId="17" xfId="0" applyNumberFormat="1" applyFont="1" applyFill="1" applyBorder="1" applyAlignment="1">
      <alignment horizontal="center" wrapText="1"/>
    </xf>
    <xf numFmtId="44" fontId="19" fillId="0" borderId="21" xfId="2" applyFont="1" applyFill="1" applyBorder="1" applyAlignment="1">
      <alignment vertical="center"/>
    </xf>
    <xf numFmtId="44" fontId="19" fillId="6" borderId="21" xfId="2" applyFont="1" applyFill="1" applyBorder="1" applyAlignment="1">
      <alignment horizontal="center" vertical="center"/>
    </xf>
    <xf numFmtId="164" fontId="19" fillId="6" borderId="21" xfId="1" applyNumberFormat="1" applyFont="1" applyFill="1" applyBorder="1" applyAlignment="1">
      <alignment vertical="center"/>
    </xf>
    <xf numFmtId="164" fontId="19" fillId="0" borderId="27" xfId="1" applyNumberFormat="1" applyFont="1" applyBorder="1" applyAlignment="1">
      <alignment vertical="center"/>
    </xf>
    <xf numFmtId="164" fontId="20" fillId="5" borderId="10" xfId="1" applyNumberFormat="1" applyFont="1" applyFill="1" applyBorder="1" applyAlignment="1">
      <alignment vertical="center"/>
    </xf>
    <xf numFmtId="9" fontId="2" fillId="7" borderId="17" xfId="0" applyNumberFormat="1" applyFont="1" applyFill="1" applyBorder="1"/>
    <xf numFmtId="0" fontId="20" fillId="0" borderId="17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168" fontId="0" fillId="0" borderId="17" xfId="3" applyNumberFormat="1" applyFont="1" applyBorder="1"/>
    <xf numFmtId="0" fontId="2" fillId="0" borderId="0" xfId="0" applyFont="1" applyAlignment="1">
      <alignment horizontal="right"/>
    </xf>
    <xf numFmtId="164" fontId="11" fillId="0" borderId="9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Valuation Methods</a:t>
            </a:r>
          </a:p>
        </c:rich>
      </c:tx>
      <c:layout>
        <c:manualLayout>
          <c:xMode val="edge"/>
          <c:yMode val="edge"/>
          <c:x val="0.33173087194042605"/>
          <c:y val="2.0000234345706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7307692307687"/>
          <c:y val="0.10400020312539672"/>
          <c:w val="0.79567307692307709"/>
          <c:h val="0.5080009921894378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51-4C0D-BF08-40328B430154}"/>
              </c:ext>
            </c:extLst>
          </c:dPt>
          <c:cat>
            <c:strRef>
              <c:f>[1]Sheet1!$N$174:$N$179</c:f>
              <c:strCache>
                <c:ptCount val="6"/>
                <c:pt idx="0">
                  <c:v>Current Market Price</c:v>
                </c:pt>
                <c:pt idx="1">
                  <c:v>Intrinsic Value Price</c:v>
                </c:pt>
                <c:pt idx="2">
                  <c:v>Dividend Discount Model</c:v>
                </c:pt>
                <c:pt idx="3">
                  <c:v>Comparable Trading Multiples</c:v>
                </c:pt>
                <c:pt idx="4">
                  <c:v>Comparable Acquisition Multiples</c:v>
                </c:pt>
                <c:pt idx="5">
                  <c:v>DCF Analysis</c:v>
                </c:pt>
              </c:strCache>
            </c:strRef>
          </c:cat>
          <c:val>
            <c:numRef>
              <c:f>[1]Sheet1!$O$174:$O$179</c:f>
              <c:numCache>
                <c:formatCode>General</c:formatCode>
                <c:ptCount val="6"/>
                <c:pt idx="0">
                  <c:v>77.929999999999993</c:v>
                </c:pt>
                <c:pt idx="1">
                  <c:v>83.104456454327988</c:v>
                </c:pt>
                <c:pt idx="2">
                  <c:v>68.989547038327586</c:v>
                </c:pt>
                <c:pt idx="3">
                  <c:v>82.883996447350881</c:v>
                </c:pt>
                <c:pt idx="4">
                  <c:v>68.995314460664929</c:v>
                </c:pt>
                <c:pt idx="5">
                  <c:v>85.507134472019729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1-4C0D-BF08-40328B43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58728"/>
        <c:axId val="1"/>
      </c:barChart>
      <c:catAx>
        <c:axId val="44865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658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5</xdr:row>
      <xdr:rowOff>190500</xdr:rowOff>
    </xdr:from>
    <xdr:to>
      <xdr:col>2</xdr:col>
      <xdr:colOff>541020</xdr:colOff>
      <xdr:row>5</xdr:row>
      <xdr:rowOff>190500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E11B8115-0AE4-439E-9138-61B37AD2D415}"/>
            </a:ext>
          </a:extLst>
        </xdr:cNvPr>
        <xdr:cNvSpPr>
          <a:spLocks noChangeShapeType="1"/>
        </xdr:cNvSpPr>
      </xdr:nvSpPr>
      <xdr:spPr bwMode="auto">
        <a:xfrm>
          <a:off x="1108710" y="8923020"/>
          <a:ext cx="3078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31</xdr:row>
      <xdr:rowOff>0</xdr:rowOff>
    </xdr:from>
    <xdr:to>
      <xdr:col>6</xdr:col>
      <xdr:colOff>411480</xdr:colOff>
      <xdr:row>32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0A99BB-4140-4B96-805E-92A15FC720F3}"/>
            </a:ext>
          </a:extLst>
        </xdr:cNvPr>
        <xdr:cNvSpPr>
          <a:spLocks noChangeShapeType="1"/>
        </xdr:cNvSpPr>
      </xdr:nvSpPr>
      <xdr:spPr bwMode="auto">
        <a:xfrm>
          <a:off x="7802880" y="1346835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31</xdr:row>
      <xdr:rowOff>0</xdr:rowOff>
    </xdr:from>
    <xdr:to>
      <xdr:col>7</xdr:col>
      <xdr:colOff>361950</xdr:colOff>
      <xdr:row>33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6F26CF2-141F-4E26-8919-C6D124288BEC}"/>
            </a:ext>
          </a:extLst>
        </xdr:cNvPr>
        <xdr:cNvSpPr>
          <a:spLocks noChangeShapeType="1"/>
        </xdr:cNvSpPr>
      </xdr:nvSpPr>
      <xdr:spPr bwMode="auto">
        <a:xfrm>
          <a:off x="8633460" y="13468350"/>
          <a:ext cx="0" cy="4686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31</xdr:row>
      <xdr:rowOff>0</xdr:rowOff>
    </xdr:from>
    <xdr:to>
      <xdr:col>8</xdr:col>
      <xdr:colOff>411480</xdr:colOff>
      <xdr:row>34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6B57D85-9055-4C8C-BD94-C8D96580E72A}"/>
            </a:ext>
          </a:extLst>
        </xdr:cNvPr>
        <xdr:cNvSpPr>
          <a:spLocks noChangeShapeType="1"/>
        </xdr:cNvSpPr>
      </xdr:nvSpPr>
      <xdr:spPr bwMode="auto">
        <a:xfrm>
          <a:off x="9475470" y="13468350"/>
          <a:ext cx="0" cy="621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31</xdr:row>
      <xdr:rowOff>0</xdr:rowOff>
    </xdr:from>
    <xdr:to>
      <xdr:col>9</xdr:col>
      <xdr:colOff>411480</xdr:colOff>
      <xdr:row>35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72F681A-7E0C-4BB6-8B7E-481A6AB1EA55}"/>
            </a:ext>
          </a:extLst>
        </xdr:cNvPr>
        <xdr:cNvSpPr>
          <a:spLocks noChangeShapeType="1"/>
        </xdr:cNvSpPr>
      </xdr:nvSpPr>
      <xdr:spPr bwMode="auto">
        <a:xfrm>
          <a:off x="10447020" y="134683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53340</xdr:rowOff>
    </xdr:from>
    <xdr:to>
      <xdr:col>5</xdr:col>
      <xdr:colOff>491490</xdr:colOff>
      <xdr:row>31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1F0C7C3-C6D8-46A3-9FBA-96D1DB1E6F40}"/>
            </a:ext>
          </a:extLst>
        </xdr:cNvPr>
        <xdr:cNvSpPr>
          <a:spLocks noChangeShapeType="1"/>
        </xdr:cNvSpPr>
      </xdr:nvSpPr>
      <xdr:spPr bwMode="auto">
        <a:xfrm flipH="1">
          <a:off x="6537960" y="1352169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91440</xdr:rowOff>
    </xdr:from>
    <xdr:to>
      <xdr:col>6</xdr:col>
      <xdr:colOff>411480</xdr:colOff>
      <xdr:row>32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58924834-53F2-4D18-A330-B4933B829914}"/>
            </a:ext>
          </a:extLst>
        </xdr:cNvPr>
        <xdr:cNvSpPr>
          <a:spLocks noChangeShapeType="1"/>
        </xdr:cNvSpPr>
      </xdr:nvSpPr>
      <xdr:spPr bwMode="auto">
        <a:xfrm flipH="1">
          <a:off x="6537960" y="13742670"/>
          <a:ext cx="1264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91440</xdr:rowOff>
    </xdr:from>
    <xdr:to>
      <xdr:col>7</xdr:col>
      <xdr:colOff>361950</xdr:colOff>
      <xdr:row>33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CBF91EE-94EB-4D6A-BB1B-054855F1CF3C}"/>
            </a:ext>
          </a:extLst>
        </xdr:cNvPr>
        <xdr:cNvSpPr>
          <a:spLocks noChangeShapeType="1"/>
        </xdr:cNvSpPr>
      </xdr:nvSpPr>
      <xdr:spPr bwMode="auto">
        <a:xfrm flipH="1">
          <a:off x="6537960" y="139255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64770</xdr:rowOff>
    </xdr:from>
    <xdr:to>
      <xdr:col>8</xdr:col>
      <xdr:colOff>411480</xdr:colOff>
      <xdr:row>34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E6CC80C3-8620-4ADB-B0CC-2D59D63ABE32}"/>
            </a:ext>
          </a:extLst>
        </xdr:cNvPr>
        <xdr:cNvSpPr>
          <a:spLocks noChangeShapeType="1"/>
        </xdr:cNvSpPr>
      </xdr:nvSpPr>
      <xdr:spPr bwMode="auto">
        <a:xfrm flipH="1">
          <a:off x="6537960" y="1408176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35</xdr:row>
      <xdr:rowOff>80010</xdr:rowOff>
    </xdr:from>
    <xdr:to>
      <xdr:col>9</xdr:col>
      <xdr:colOff>422910</xdr:colOff>
      <xdr:row>35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720EE816-6854-4622-8295-09A48EC3262A}"/>
            </a:ext>
          </a:extLst>
        </xdr:cNvPr>
        <xdr:cNvSpPr>
          <a:spLocks noChangeShapeType="1"/>
        </xdr:cNvSpPr>
      </xdr:nvSpPr>
      <xdr:spPr bwMode="auto">
        <a:xfrm flipH="1">
          <a:off x="6537960" y="1427988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31</xdr:row>
      <xdr:rowOff>0</xdr:rowOff>
    </xdr:from>
    <xdr:to>
      <xdr:col>5</xdr:col>
      <xdr:colOff>480060</xdr:colOff>
      <xdr:row>31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F0FEF1F-C303-4AD5-BF7E-FF9B48067FAA}"/>
            </a:ext>
          </a:extLst>
        </xdr:cNvPr>
        <xdr:cNvSpPr>
          <a:spLocks noChangeShapeType="1"/>
        </xdr:cNvSpPr>
      </xdr:nvSpPr>
      <xdr:spPr bwMode="auto">
        <a:xfrm>
          <a:off x="7018020" y="1346835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8F8CC2C-3642-4CEF-BA4D-90586CFC9705}"/>
            </a:ext>
          </a:extLst>
        </xdr:cNvPr>
        <xdr:cNvSpPr>
          <a:spLocks noChangeShapeType="1"/>
        </xdr:cNvSpPr>
      </xdr:nvSpPr>
      <xdr:spPr bwMode="auto">
        <a:xfrm flipV="1">
          <a:off x="11330940" y="11723370"/>
          <a:ext cx="0" cy="575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EECDF27-8026-42C3-BC36-4C193865BDC1}"/>
            </a:ext>
          </a:extLst>
        </xdr:cNvPr>
        <xdr:cNvSpPr>
          <a:spLocks noChangeShapeType="1"/>
        </xdr:cNvSpPr>
      </xdr:nvSpPr>
      <xdr:spPr bwMode="auto">
        <a:xfrm>
          <a:off x="10881360" y="1227963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16</xdr:row>
      <xdr:rowOff>41910</xdr:rowOff>
    </xdr:from>
    <xdr:to>
      <xdr:col>6</xdr:col>
      <xdr:colOff>240030</xdr:colOff>
      <xdr:row>22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77926B7-EC91-4FC4-BA16-E20F661CE4DD}"/>
            </a:ext>
          </a:extLst>
        </xdr:cNvPr>
        <xdr:cNvCxnSpPr/>
      </xdr:nvCxnSpPr>
      <xdr:spPr>
        <a:xfrm flipV="1">
          <a:off x="4804410" y="3619500"/>
          <a:ext cx="1893570" cy="115443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37</xdr:row>
      <xdr:rowOff>0</xdr:rowOff>
    </xdr:from>
    <xdr:to>
      <xdr:col>6</xdr:col>
      <xdr:colOff>411480</xdr:colOff>
      <xdr:row>38</xdr:row>
      <xdr:rowOff>91440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0392855-FB7A-4ABB-BD62-88B9D2BBB0F1}"/>
            </a:ext>
          </a:extLst>
        </xdr:cNvPr>
        <xdr:cNvSpPr>
          <a:spLocks noChangeShapeType="1"/>
        </xdr:cNvSpPr>
      </xdr:nvSpPr>
      <xdr:spPr bwMode="auto">
        <a:xfrm>
          <a:off x="7250430" y="5292090"/>
          <a:ext cx="0" cy="278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37</xdr:row>
      <xdr:rowOff>0</xdr:rowOff>
    </xdr:from>
    <xdr:to>
      <xdr:col>7</xdr:col>
      <xdr:colOff>361950</xdr:colOff>
      <xdr:row>39</xdr:row>
      <xdr:rowOff>102870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C80F6E81-2A90-40B3-BC94-BE5B2D93330A}"/>
            </a:ext>
          </a:extLst>
        </xdr:cNvPr>
        <xdr:cNvSpPr>
          <a:spLocks noChangeShapeType="1"/>
        </xdr:cNvSpPr>
      </xdr:nvSpPr>
      <xdr:spPr bwMode="auto">
        <a:xfrm>
          <a:off x="8042910" y="529209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37</xdr:row>
      <xdr:rowOff>0</xdr:rowOff>
    </xdr:from>
    <xdr:to>
      <xdr:col>8</xdr:col>
      <xdr:colOff>411480</xdr:colOff>
      <xdr:row>40</xdr:row>
      <xdr:rowOff>72390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73534FD-EE68-46C3-9843-421C6611C6B3}"/>
            </a:ext>
          </a:extLst>
        </xdr:cNvPr>
        <xdr:cNvSpPr>
          <a:spLocks noChangeShapeType="1"/>
        </xdr:cNvSpPr>
      </xdr:nvSpPr>
      <xdr:spPr bwMode="auto">
        <a:xfrm>
          <a:off x="8934450" y="5292090"/>
          <a:ext cx="0" cy="624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37</xdr:row>
      <xdr:rowOff>0</xdr:rowOff>
    </xdr:from>
    <xdr:to>
      <xdr:col>9</xdr:col>
      <xdr:colOff>411480</xdr:colOff>
      <xdr:row>41</xdr:row>
      <xdr:rowOff>87630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AC831548-FF1C-4E49-A06D-A25E82AD1A8C}"/>
            </a:ext>
          </a:extLst>
        </xdr:cNvPr>
        <xdr:cNvSpPr>
          <a:spLocks noChangeShapeType="1"/>
        </xdr:cNvSpPr>
      </xdr:nvSpPr>
      <xdr:spPr bwMode="auto">
        <a:xfrm>
          <a:off x="9776460" y="5292090"/>
          <a:ext cx="0" cy="822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53340</xdr:rowOff>
    </xdr:from>
    <xdr:to>
      <xdr:col>5</xdr:col>
      <xdr:colOff>491490</xdr:colOff>
      <xdr:row>37</xdr:row>
      <xdr:rowOff>53340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5EBA0DFC-4961-4C6E-851C-7399ADEB21C4}"/>
            </a:ext>
          </a:extLst>
        </xdr:cNvPr>
        <xdr:cNvSpPr>
          <a:spLocks noChangeShapeType="1"/>
        </xdr:cNvSpPr>
      </xdr:nvSpPr>
      <xdr:spPr bwMode="auto">
        <a:xfrm flipH="1">
          <a:off x="5996940" y="534543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91440</xdr:rowOff>
    </xdr:from>
    <xdr:to>
      <xdr:col>6</xdr:col>
      <xdr:colOff>411480</xdr:colOff>
      <xdr:row>38</xdr:row>
      <xdr:rowOff>91440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690C6DDA-120E-4C35-8128-8861F2170149}"/>
            </a:ext>
          </a:extLst>
        </xdr:cNvPr>
        <xdr:cNvSpPr>
          <a:spLocks noChangeShapeType="1"/>
        </xdr:cNvSpPr>
      </xdr:nvSpPr>
      <xdr:spPr bwMode="auto">
        <a:xfrm flipH="1">
          <a:off x="5996940" y="5570220"/>
          <a:ext cx="1253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91440</xdr:rowOff>
    </xdr:from>
    <xdr:to>
      <xdr:col>7</xdr:col>
      <xdr:colOff>361950</xdr:colOff>
      <xdr:row>39</xdr:row>
      <xdr:rowOff>91440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CC86FDC7-CD3D-4E06-BFE8-94FB312040A6}"/>
            </a:ext>
          </a:extLst>
        </xdr:cNvPr>
        <xdr:cNvSpPr>
          <a:spLocks noChangeShapeType="1"/>
        </xdr:cNvSpPr>
      </xdr:nvSpPr>
      <xdr:spPr bwMode="auto">
        <a:xfrm flipH="1">
          <a:off x="5996940" y="5753100"/>
          <a:ext cx="20459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64770</xdr:rowOff>
    </xdr:from>
    <xdr:to>
      <xdr:col>8</xdr:col>
      <xdr:colOff>411480</xdr:colOff>
      <xdr:row>40</xdr:row>
      <xdr:rowOff>64770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E5CE25A0-A325-4B86-92EC-110F2EF93D11}"/>
            </a:ext>
          </a:extLst>
        </xdr:cNvPr>
        <xdr:cNvSpPr>
          <a:spLocks noChangeShapeType="1"/>
        </xdr:cNvSpPr>
      </xdr:nvSpPr>
      <xdr:spPr bwMode="auto">
        <a:xfrm flipH="1">
          <a:off x="5996940" y="590931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80010</xdr:rowOff>
    </xdr:from>
    <xdr:to>
      <xdr:col>9</xdr:col>
      <xdr:colOff>422910</xdr:colOff>
      <xdr:row>41</xdr:row>
      <xdr:rowOff>80010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EBC8D8E6-DC14-4DE7-AA49-2351E3D69BA4}"/>
            </a:ext>
          </a:extLst>
        </xdr:cNvPr>
        <xdr:cNvSpPr>
          <a:spLocks noChangeShapeType="1"/>
        </xdr:cNvSpPr>
      </xdr:nvSpPr>
      <xdr:spPr bwMode="auto">
        <a:xfrm flipH="1">
          <a:off x="5996940" y="610743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37</xdr:row>
      <xdr:rowOff>0</xdr:rowOff>
    </xdr:from>
    <xdr:to>
      <xdr:col>5</xdr:col>
      <xdr:colOff>480060</xdr:colOff>
      <xdr:row>37</xdr:row>
      <xdr:rowOff>53340</xdr:rowOff>
    </xdr:to>
    <xdr:sp macro="" textlink="">
      <xdr:nvSpPr>
        <xdr:cNvPr id="23" name="Line 12">
          <a:extLst>
            <a:ext uri="{FF2B5EF4-FFF2-40B4-BE49-F238E27FC236}">
              <a16:creationId xmlns:a16="http://schemas.microsoft.com/office/drawing/2014/main" id="{7887F1C3-55BE-45FD-A1C6-DE2B586D021E}"/>
            </a:ext>
          </a:extLst>
        </xdr:cNvPr>
        <xdr:cNvSpPr>
          <a:spLocks noChangeShapeType="1"/>
        </xdr:cNvSpPr>
      </xdr:nvSpPr>
      <xdr:spPr bwMode="auto">
        <a:xfrm>
          <a:off x="6477000" y="529209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80433</xdr:rowOff>
    </xdr:from>
    <xdr:to>
      <xdr:col>3</xdr:col>
      <xdr:colOff>682414</xdr:colOff>
      <xdr:row>34</xdr:row>
      <xdr:rowOff>66887</xdr:rowOff>
    </xdr:to>
    <xdr:graphicFrame macro="">
      <xdr:nvGraphicFramePr>
        <xdr:cNvPr id="2" name="Chart 20">
          <a:extLst>
            <a:ext uri="{FF2B5EF4-FFF2-40B4-BE49-F238E27FC236}">
              <a16:creationId xmlns:a16="http://schemas.microsoft.com/office/drawing/2014/main" id="{68A5B5DE-30F1-4764-AC9C-724878533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16933</xdr:colOff>
      <xdr:row>22</xdr:row>
      <xdr:rowOff>127001</xdr:rowOff>
    </xdr:from>
    <xdr:to>
      <xdr:col>3</xdr:col>
      <xdr:colOff>677334</xdr:colOff>
      <xdr:row>22</xdr:row>
      <xdr:rowOff>173567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8D29221-4650-4081-8623-FD3D5A546ABB}"/>
            </a:ext>
          </a:extLst>
        </xdr:cNvPr>
        <xdr:cNvCxnSpPr/>
      </xdr:nvCxnSpPr>
      <xdr:spPr>
        <a:xfrm flipV="1">
          <a:off x="292100" y="4178301"/>
          <a:ext cx="5190067" cy="46566"/>
        </a:xfrm>
        <a:prstGeom prst="line">
          <a:avLst/>
        </a:prstGeom>
        <a:ln w="476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drou/Documents/Baruch%20offnline/FIN%20Spreadsheets/public_company_hyatt_valuation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4">
          <cell r="N174" t="str">
            <v>Current Market Price</v>
          </cell>
          <cell r="O174">
            <v>77.929999999999993</v>
          </cell>
        </row>
        <row r="175">
          <cell r="N175" t="str">
            <v>Intrinsic Value Price</v>
          </cell>
          <cell r="O175">
            <v>83.104456454327988</v>
          </cell>
        </row>
        <row r="176">
          <cell r="N176" t="str">
            <v>Dividend Discount Model</v>
          </cell>
          <cell r="O176">
            <v>68.989547038327586</v>
          </cell>
        </row>
        <row r="177">
          <cell r="N177" t="str">
            <v>Comparable Trading Multiples</v>
          </cell>
          <cell r="O177">
            <v>82.883996447350881</v>
          </cell>
        </row>
        <row r="178">
          <cell r="N178" t="str">
            <v>Comparable Acquisition Multiples</v>
          </cell>
          <cell r="O178">
            <v>68.995314460664929</v>
          </cell>
        </row>
        <row r="179">
          <cell r="N179" t="str">
            <v>DCF Analysis</v>
          </cell>
          <cell r="O179">
            <v>85.507134472019729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N158"/>
  <sheetViews>
    <sheetView showGridLines="0" workbookViewId="0">
      <selection activeCell="D7" sqref="D7"/>
    </sheetView>
  </sheetViews>
  <sheetFormatPr defaultRowHeight="14.35" x14ac:dyDescent="0.5"/>
  <cols>
    <col min="1" max="1" width="4.46875" style="43" customWidth="1"/>
    <col min="2" max="2" width="41.05859375" customWidth="1"/>
    <col min="3" max="3" width="15.29296875" customWidth="1"/>
    <col min="4" max="4" width="10.46875" customWidth="1"/>
    <col min="5" max="5" width="8.29296875" customWidth="1"/>
    <col min="6" max="6" width="37.3515625" customWidth="1"/>
    <col min="7" max="7" width="15.64453125" customWidth="1"/>
    <col min="8" max="8" width="13.41015625" customWidth="1"/>
    <col min="9" max="9" width="11.52734375" customWidth="1"/>
    <col min="10" max="10" width="13.703125" customWidth="1"/>
    <col min="11" max="11" width="7.703125" customWidth="1"/>
    <col min="12" max="12" width="8.3515625" customWidth="1"/>
    <col min="13" max="13" width="22.46875" customWidth="1"/>
    <col min="14" max="14" width="9.46875" bestFit="1" customWidth="1"/>
    <col min="15" max="16" width="10.41015625" bestFit="1" customWidth="1"/>
    <col min="17" max="17" width="9.46875" bestFit="1" customWidth="1"/>
    <col min="18" max="18" width="11.76171875" customWidth="1"/>
    <col min="256" max="256" width="4.46875" customWidth="1"/>
    <col min="257" max="257" width="45.87890625" customWidth="1"/>
    <col min="258" max="258" width="15.29296875" customWidth="1"/>
    <col min="259" max="260" width="12.29296875" customWidth="1"/>
    <col min="261" max="261" width="11.76171875" customWidth="1"/>
    <col min="262" max="262" width="12.17578125" customWidth="1"/>
    <col min="263" max="263" width="10.9375" customWidth="1"/>
    <col min="264" max="264" width="13.41015625" customWidth="1"/>
    <col min="265" max="265" width="11.52734375" customWidth="1"/>
    <col min="266" max="266" width="13.703125" customWidth="1"/>
    <col min="267" max="267" width="7.703125" customWidth="1"/>
    <col min="268" max="268" width="8.3515625" customWidth="1"/>
    <col min="269" max="269" width="22.46875" customWidth="1"/>
    <col min="270" max="270" width="9.46875" bestFit="1" customWidth="1"/>
    <col min="271" max="272" width="10.41015625" bestFit="1" customWidth="1"/>
    <col min="273" max="273" width="9.46875" bestFit="1" customWidth="1"/>
    <col min="274" max="274" width="11.76171875" customWidth="1"/>
    <col min="512" max="512" width="4.46875" customWidth="1"/>
    <col min="513" max="513" width="45.87890625" customWidth="1"/>
    <col min="514" max="514" width="15.29296875" customWidth="1"/>
    <col min="515" max="516" width="12.29296875" customWidth="1"/>
    <col min="517" max="517" width="11.76171875" customWidth="1"/>
    <col min="518" max="518" width="12.17578125" customWidth="1"/>
    <col min="519" max="519" width="10.9375" customWidth="1"/>
    <col min="520" max="520" width="13.41015625" customWidth="1"/>
    <col min="521" max="521" width="11.52734375" customWidth="1"/>
    <col min="522" max="522" width="13.703125" customWidth="1"/>
    <col min="523" max="523" width="7.703125" customWidth="1"/>
    <col min="524" max="524" width="8.3515625" customWidth="1"/>
    <col min="525" max="525" width="22.46875" customWidth="1"/>
    <col min="526" max="526" width="9.46875" bestFit="1" customWidth="1"/>
    <col min="527" max="528" width="10.41015625" bestFit="1" customWidth="1"/>
    <col min="529" max="529" width="9.46875" bestFit="1" customWidth="1"/>
    <col min="530" max="530" width="11.76171875" customWidth="1"/>
    <col min="768" max="768" width="4.46875" customWidth="1"/>
    <col min="769" max="769" width="45.87890625" customWidth="1"/>
    <col min="770" max="770" width="15.29296875" customWidth="1"/>
    <col min="771" max="772" width="12.29296875" customWidth="1"/>
    <col min="773" max="773" width="11.76171875" customWidth="1"/>
    <col min="774" max="774" width="12.17578125" customWidth="1"/>
    <col min="775" max="775" width="10.9375" customWidth="1"/>
    <col min="776" max="776" width="13.41015625" customWidth="1"/>
    <col min="777" max="777" width="11.52734375" customWidth="1"/>
    <col min="778" max="778" width="13.703125" customWidth="1"/>
    <col min="779" max="779" width="7.703125" customWidth="1"/>
    <col min="780" max="780" width="8.3515625" customWidth="1"/>
    <col min="781" max="781" width="22.46875" customWidth="1"/>
    <col min="782" max="782" width="9.46875" bestFit="1" customWidth="1"/>
    <col min="783" max="784" width="10.41015625" bestFit="1" customWidth="1"/>
    <col min="785" max="785" width="9.46875" bestFit="1" customWidth="1"/>
    <col min="786" max="786" width="11.76171875" customWidth="1"/>
    <col min="1024" max="1024" width="4.46875" customWidth="1"/>
    <col min="1025" max="1025" width="45.87890625" customWidth="1"/>
    <col min="1026" max="1026" width="15.29296875" customWidth="1"/>
    <col min="1027" max="1028" width="12.29296875" customWidth="1"/>
    <col min="1029" max="1029" width="11.76171875" customWidth="1"/>
    <col min="1030" max="1030" width="12.17578125" customWidth="1"/>
    <col min="1031" max="1031" width="10.9375" customWidth="1"/>
    <col min="1032" max="1032" width="13.41015625" customWidth="1"/>
    <col min="1033" max="1033" width="11.52734375" customWidth="1"/>
    <col min="1034" max="1034" width="13.703125" customWidth="1"/>
    <col min="1035" max="1035" width="7.703125" customWidth="1"/>
    <col min="1036" max="1036" width="8.3515625" customWidth="1"/>
    <col min="1037" max="1037" width="22.46875" customWidth="1"/>
    <col min="1038" max="1038" width="9.46875" bestFit="1" customWidth="1"/>
    <col min="1039" max="1040" width="10.41015625" bestFit="1" customWidth="1"/>
    <col min="1041" max="1041" width="9.46875" bestFit="1" customWidth="1"/>
    <col min="1042" max="1042" width="11.76171875" customWidth="1"/>
    <col min="1280" max="1280" width="4.46875" customWidth="1"/>
    <col min="1281" max="1281" width="45.87890625" customWidth="1"/>
    <col min="1282" max="1282" width="15.29296875" customWidth="1"/>
    <col min="1283" max="1284" width="12.29296875" customWidth="1"/>
    <col min="1285" max="1285" width="11.76171875" customWidth="1"/>
    <col min="1286" max="1286" width="12.17578125" customWidth="1"/>
    <col min="1287" max="1287" width="10.9375" customWidth="1"/>
    <col min="1288" max="1288" width="13.41015625" customWidth="1"/>
    <col min="1289" max="1289" width="11.52734375" customWidth="1"/>
    <col min="1290" max="1290" width="13.703125" customWidth="1"/>
    <col min="1291" max="1291" width="7.703125" customWidth="1"/>
    <col min="1292" max="1292" width="8.3515625" customWidth="1"/>
    <col min="1293" max="1293" width="22.46875" customWidth="1"/>
    <col min="1294" max="1294" width="9.46875" bestFit="1" customWidth="1"/>
    <col min="1295" max="1296" width="10.41015625" bestFit="1" customWidth="1"/>
    <col min="1297" max="1297" width="9.46875" bestFit="1" customWidth="1"/>
    <col min="1298" max="1298" width="11.76171875" customWidth="1"/>
    <col min="1536" max="1536" width="4.46875" customWidth="1"/>
    <col min="1537" max="1537" width="45.87890625" customWidth="1"/>
    <col min="1538" max="1538" width="15.29296875" customWidth="1"/>
    <col min="1539" max="1540" width="12.29296875" customWidth="1"/>
    <col min="1541" max="1541" width="11.76171875" customWidth="1"/>
    <col min="1542" max="1542" width="12.17578125" customWidth="1"/>
    <col min="1543" max="1543" width="10.9375" customWidth="1"/>
    <col min="1544" max="1544" width="13.41015625" customWidth="1"/>
    <col min="1545" max="1545" width="11.52734375" customWidth="1"/>
    <col min="1546" max="1546" width="13.703125" customWidth="1"/>
    <col min="1547" max="1547" width="7.703125" customWidth="1"/>
    <col min="1548" max="1548" width="8.3515625" customWidth="1"/>
    <col min="1549" max="1549" width="22.46875" customWidth="1"/>
    <col min="1550" max="1550" width="9.46875" bestFit="1" customWidth="1"/>
    <col min="1551" max="1552" width="10.41015625" bestFit="1" customWidth="1"/>
    <col min="1553" max="1553" width="9.46875" bestFit="1" customWidth="1"/>
    <col min="1554" max="1554" width="11.76171875" customWidth="1"/>
    <col min="1792" max="1792" width="4.46875" customWidth="1"/>
    <col min="1793" max="1793" width="45.87890625" customWidth="1"/>
    <col min="1794" max="1794" width="15.29296875" customWidth="1"/>
    <col min="1795" max="1796" width="12.29296875" customWidth="1"/>
    <col min="1797" max="1797" width="11.76171875" customWidth="1"/>
    <col min="1798" max="1798" width="12.17578125" customWidth="1"/>
    <col min="1799" max="1799" width="10.9375" customWidth="1"/>
    <col min="1800" max="1800" width="13.41015625" customWidth="1"/>
    <col min="1801" max="1801" width="11.52734375" customWidth="1"/>
    <col min="1802" max="1802" width="13.703125" customWidth="1"/>
    <col min="1803" max="1803" width="7.703125" customWidth="1"/>
    <col min="1804" max="1804" width="8.3515625" customWidth="1"/>
    <col min="1805" max="1805" width="22.46875" customWidth="1"/>
    <col min="1806" max="1806" width="9.46875" bestFit="1" customWidth="1"/>
    <col min="1807" max="1808" width="10.41015625" bestFit="1" customWidth="1"/>
    <col min="1809" max="1809" width="9.46875" bestFit="1" customWidth="1"/>
    <col min="1810" max="1810" width="11.76171875" customWidth="1"/>
    <col min="2048" max="2048" width="4.46875" customWidth="1"/>
    <col min="2049" max="2049" width="45.87890625" customWidth="1"/>
    <col min="2050" max="2050" width="15.29296875" customWidth="1"/>
    <col min="2051" max="2052" width="12.29296875" customWidth="1"/>
    <col min="2053" max="2053" width="11.76171875" customWidth="1"/>
    <col min="2054" max="2054" width="12.17578125" customWidth="1"/>
    <col min="2055" max="2055" width="10.9375" customWidth="1"/>
    <col min="2056" max="2056" width="13.41015625" customWidth="1"/>
    <col min="2057" max="2057" width="11.52734375" customWidth="1"/>
    <col min="2058" max="2058" width="13.703125" customWidth="1"/>
    <col min="2059" max="2059" width="7.703125" customWidth="1"/>
    <col min="2060" max="2060" width="8.3515625" customWidth="1"/>
    <col min="2061" max="2061" width="22.46875" customWidth="1"/>
    <col min="2062" max="2062" width="9.46875" bestFit="1" customWidth="1"/>
    <col min="2063" max="2064" width="10.41015625" bestFit="1" customWidth="1"/>
    <col min="2065" max="2065" width="9.46875" bestFit="1" customWidth="1"/>
    <col min="2066" max="2066" width="11.76171875" customWidth="1"/>
    <col min="2304" max="2304" width="4.46875" customWidth="1"/>
    <col min="2305" max="2305" width="45.87890625" customWidth="1"/>
    <col min="2306" max="2306" width="15.29296875" customWidth="1"/>
    <col min="2307" max="2308" width="12.29296875" customWidth="1"/>
    <col min="2309" max="2309" width="11.76171875" customWidth="1"/>
    <col min="2310" max="2310" width="12.17578125" customWidth="1"/>
    <col min="2311" max="2311" width="10.9375" customWidth="1"/>
    <col min="2312" max="2312" width="13.41015625" customWidth="1"/>
    <col min="2313" max="2313" width="11.52734375" customWidth="1"/>
    <col min="2314" max="2314" width="13.703125" customWidth="1"/>
    <col min="2315" max="2315" width="7.703125" customWidth="1"/>
    <col min="2316" max="2316" width="8.3515625" customWidth="1"/>
    <col min="2317" max="2317" width="22.46875" customWidth="1"/>
    <col min="2318" max="2318" width="9.46875" bestFit="1" customWidth="1"/>
    <col min="2319" max="2320" width="10.41015625" bestFit="1" customWidth="1"/>
    <col min="2321" max="2321" width="9.46875" bestFit="1" customWidth="1"/>
    <col min="2322" max="2322" width="11.76171875" customWidth="1"/>
    <col min="2560" max="2560" width="4.46875" customWidth="1"/>
    <col min="2561" max="2561" width="45.87890625" customWidth="1"/>
    <col min="2562" max="2562" width="15.29296875" customWidth="1"/>
    <col min="2563" max="2564" width="12.29296875" customWidth="1"/>
    <col min="2565" max="2565" width="11.76171875" customWidth="1"/>
    <col min="2566" max="2566" width="12.17578125" customWidth="1"/>
    <col min="2567" max="2567" width="10.9375" customWidth="1"/>
    <col min="2568" max="2568" width="13.41015625" customWidth="1"/>
    <col min="2569" max="2569" width="11.52734375" customWidth="1"/>
    <col min="2570" max="2570" width="13.703125" customWidth="1"/>
    <col min="2571" max="2571" width="7.703125" customWidth="1"/>
    <col min="2572" max="2572" width="8.3515625" customWidth="1"/>
    <col min="2573" max="2573" width="22.46875" customWidth="1"/>
    <col min="2574" max="2574" width="9.46875" bestFit="1" customWidth="1"/>
    <col min="2575" max="2576" width="10.41015625" bestFit="1" customWidth="1"/>
    <col min="2577" max="2577" width="9.46875" bestFit="1" customWidth="1"/>
    <col min="2578" max="2578" width="11.76171875" customWidth="1"/>
    <col min="2816" max="2816" width="4.46875" customWidth="1"/>
    <col min="2817" max="2817" width="45.87890625" customWidth="1"/>
    <col min="2818" max="2818" width="15.29296875" customWidth="1"/>
    <col min="2819" max="2820" width="12.29296875" customWidth="1"/>
    <col min="2821" max="2821" width="11.76171875" customWidth="1"/>
    <col min="2822" max="2822" width="12.17578125" customWidth="1"/>
    <col min="2823" max="2823" width="10.9375" customWidth="1"/>
    <col min="2824" max="2824" width="13.41015625" customWidth="1"/>
    <col min="2825" max="2825" width="11.52734375" customWidth="1"/>
    <col min="2826" max="2826" width="13.703125" customWidth="1"/>
    <col min="2827" max="2827" width="7.703125" customWidth="1"/>
    <col min="2828" max="2828" width="8.3515625" customWidth="1"/>
    <col min="2829" max="2829" width="22.46875" customWidth="1"/>
    <col min="2830" max="2830" width="9.46875" bestFit="1" customWidth="1"/>
    <col min="2831" max="2832" width="10.41015625" bestFit="1" customWidth="1"/>
    <col min="2833" max="2833" width="9.46875" bestFit="1" customWidth="1"/>
    <col min="2834" max="2834" width="11.76171875" customWidth="1"/>
    <col min="3072" max="3072" width="4.46875" customWidth="1"/>
    <col min="3073" max="3073" width="45.87890625" customWidth="1"/>
    <col min="3074" max="3074" width="15.29296875" customWidth="1"/>
    <col min="3075" max="3076" width="12.29296875" customWidth="1"/>
    <col min="3077" max="3077" width="11.76171875" customWidth="1"/>
    <col min="3078" max="3078" width="12.17578125" customWidth="1"/>
    <col min="3079" max="3079" width="10.9375" customWidth="1"/>
    <col min="3080" max="3080" width="13.41015625" customWidth="1"/>
    <col min="3081" max="3081" width="11.52734375" customWidth="1"/>
    <col min="3082" max="3082" width="13.703125" customWidth="1"/>
    <col min="3083" max="3083" width="7.703125" customWidth="1"/>
    <col min="3084" max="3084" width="8.3515625" customWidth="1"/>
    <col min="3085" max="3085" width="22.46875" customWidth="1"/>
    <col min="3086" max="3086" width="9.46875" bestFit="1" customWidth="1"/>
    <col min="3087" max="3088" width="10.41015625" bestFit="1" customWidth="1"/>
    <col min="3089" max="3089" width="9.46875" bestFit="1" customWidth="1"/>
    <col min="3090" max="3090" width="11.76171875" customWidth="1"/>
    <col min="3328" max="3328" width="4.46875" customWidth="1"/>
    <col min="3329" max="3329" width="45.87890625" customWidth="1"/>
    <col min="3330" max="3330" width="15.29296875" customWidth="1"/>
    <col min="3331" max="3332" width="12.29296875" customWidth="1"/>
    <col min="3333" max="3333" width="11.76171875" customWidth="1"/>
    <col min="3334" max="3334" width="12.17578125" customWidth="1"/>
    <col min="3335" max="3335" width="10.9375" customWidth="1"/>
    <col min="3336" max="3336" width="13.41015625" customWidth="1"/>
    <col min="3337" max="3337" width="11.52734375" customWidth="1"/>
    <col min="3338" max="3338" width="13.703125" customWidth="1"/>
    <col min="3339" max="3339" width="7.703125" customWidth="1"/>
    <col min="3340" max="3340" width="8.3515625" customWidth="1"/>
    <col min="3341" max="3341" width="22.46875" customWidth="1"/>
    <col min="3342" max="3342" width="9.46875" bestFit="1" customWidth="1"/>
    <col min="3343" max="3344" width="10.41015625" bestFit="1" customWidth="1"/>
    <col min="3345" max="3345" width="9.46875" bestFit="1" customWidth="1"/>
    <col min="3346" max="3346" width="11.76171875" customWidth="1"/>
    <col min="3584" max="3584" width="4.46875" customWidth="1"/>
    <col min="3585" max="3585" width="45.87890625" customWidth="1"/>
    <col min="3586" max="3586" width="15.29296875" customWidth="1"/>
    <col min="3587" max="3588" width="12.29296875" customWidth="1"/>
    <col min="3589" max="3589" width="11.76171875" customWidth="1"/>
    <col min="3590" max="3590" width="12.17578125" customWidth="1"/>
    <col min="3591" max="3591" width="10.9375" customWidth="1"/>
    <col min="3592" max="3592" width="13.41015625" customWidth="1"/>
    <col min="3593" max="3593" width="11.52734375" customWidth="1"/>
    <col min="3594" max="3594" width="13.703125" customWidth="1"/>
    <col min="3595" max="3595" width="7.703125" customWidth="1"/>
    <col min="3596" max="3596" width="8.3515625" customWidth="1"/>
    <col min="3597" max="3597" width="22.46875" customWidth="1"/>
    <col min="3598" max="3598" width="9.46875" bestFit="1" customWidth="1"/>
    <col min="3599" max="3600" width="10.41015625" bestFit="1" customWidth="1"/>
    <col min="3601" max="3601" width="9.46875" bestFit="1" customWidth="1"/>
    <col min="3602" max="3602" width="11.76171875" customWidth="1"/>
    <col min="3840" max="3840" width="4.46875" customWidth="1"/>
    <col min="3841" max="3841" width="45.87890625" customWidth="1"/>
    <col min="3842" max="3842" width="15.29296875" customWidth="1"/>
    <col min="3843" max="3844" width="12.29296875" customWidth="1"/>
    <col min="3845" max="3845" width="11.76171875" customWidth="1"/>
    <col min="3846" max="3846" width="12.17578125" customWidth="1"/>
    <col min="3847" max="3847" width="10.9375" customWidth="1"/>
    <col min="3848" max="3848" width="13.41015625" customWidth="1"/>
    <col min="3849" max="3849" width="11.52734375" customWidth="1"/>
    <col min="3850" max="3850" width="13.703125" customWidth="1"/>
    <col min="3851" max="3851" width="7.703125" customWidth="1"/>
    <col min="3852" max="3852" width="8.3515625" customWidth="1"/>
    <col min="3853" max="3853" width="22.46875" customWidth="1"/>
    <col min="3854" max="3854" width="9.46875" bestFit="1" customWidth="1"/>
    <col min="3855" max="3856" width="10.41015625" bestFit="1" customWidth="1"/>
    <col min="3857" max="3857" width="9.46875" bestFit="1" customWidth="1"/>
    <col min="3858" max="3858" width="11.76171875" customWidth="1"/>
    <col min="4096" max="4096" width="4.46875" customWidth="1"/>
    <col min="4097" max="4097" width="45.87890625" customWidth="1"/>
    <col min="4098" max="4098" width="15.29296875" customWidth="1"/>
    <col min="4099" max="4100" width="12.29296875" customWidth="1"/>
    <col min="4101" max="4101" width="11.76171875" customWidth="1"/>
    <col min="4102" max="4102" width="12.17578125" customWidth="1"/>
    <col min="4103" max="4103" width="10.9375" customWidth="1"/>
    <col min="4104" max="4104" width="13.41015625" customWidth="1"/>
    <col min="4105" max="4105" width="11.52734375" customWidth="1"/>
    <col min="4106" max="4106" width="13.703125" customWidth="1"/>
    <col min="4107" max="4107" width="7.703125" customWidth="1"/>
    <col min="4108" max="4108" width="8.3515625" customWidth="1"/>
    <col min="4109" max="4109" width="22.46875" customWidth="1"/>
    <col min="4110" max="4110" width="9.46875" bestFit="1" customWidth="1"/>
    <col min="4111" max="4112" width="10.41015625" bestFit="1" customWidth="1"/>
    <col min="4113" max="4113" width="9.46875" bestFit="1" customWidth="1"/>
    <col min="4114" max="4114" width="11.76171875" customWidth="1"/>
    <col min="4352" max="4352" width="4.46875" customWidth="1"/>
    <col min="4353" max="4353" width="45.87890625" customWidth="1"/>
    <col min="4354" max="4354" width="15.29296875" customWidth="1"/>
    <col min="4355" max="4356" width="12.29296875" customWidth="1"/>
    <col min="4357" max="4357" width="11.76171875" customWidth="1"/>
    <col min="4358" max="4358" width="12.17578125" customWidth="1"/>
    <col min="4359" max="4359" width="10.9375" customWidth="1"/>
    <col min="4360" max="4360" width="13.41015625" customWidth="1"/>
    <col min="4361" max="4361" width="11.52734375" customWidth="1"/>
    <col min="4362" max="4362" width="13.703125" customWidth="1"/>
    <col min="4363" max="4363" width="7.703125" customWidth="1"/>
    <col min="4364" max="4364" width="8.3515625" customWidth="1"/>
    <col min="4365" max="4365" width="22.46875" customWidth="1"/>
    <col min="4366" max="4366" width="9.46875" bestFit="1" customWidth="1"/>
    <col min="4367" max="4368" width="10.41015625" bestFit="1" customWidth="1"/>
    <col min="4369" max="4369" width="9.46875" bestFit="1" customWidth="1"/>
    <col min="4370" max="4370" width="11.76171875" customWidth="1"/>
    <col min="4608" max="4608" width="4.46875" customWidth="1"/>
    <col min="4609" max="4609" width="45.87890625" customWidth="1"/>
    <col min="4610" max="4610" width="15.29296875" customWidth="1"/>
    <col min="4611" max="4612" width="12.29296875" customWidth="1"/>
    <col min="4613" max="4613" width="11.76171875" customWidth="1"/>
    <col min="4614" max="4614" width="12.17578125" customWidth="1"/>
    <col min="4615" max="4615" width="10.9375" customWidth="1"/>
    <col min="4616" max="4616" width="13.41015625" customWidth="1"/>
    <col min="4617" max="4617" width="11.52734375" customWidth="1"/>
    <col min="4618" max="4618" width="13.703125" customWidth="1"/>
    <col min="4619" max="4619" width="7.703125" customWidth="1"/>
    <col min="4620" max="4620" width="8.3515625" customWidth="1"/>
    <col min="4621" max="4621" width="22.46875" customWidth="1"/>
    <col min="4622" max="4622" width="9.46875" bestFit="1" customWidth="1"/>
    <col min="4623" max="4624" width="10.41015625" bestFit="1" customWidth="1"/>
    <col min="4625" max="4625" width="9.46875" bestFit="1" customWidth="1"/>
    <col min="4626" max="4626" width="11.76171875" customWidth="1"/>
    <col min="4864" max="4864" width="4.46875" customWidth="1"/>
    <col min="4865" max="4865" width="45.87890625" customWidth="1"/>
    <col min="4866" max="4866" width="15.29296875" customWidth="1"/>
    <col min="4867" max="4868" width="12.29296875" customWidth="1"/>
    <col min="4869" max="4869" width="11.76171875" customWidth="1"/>
    <col min="4870" max="4870" width="12.17578125" customWidth="1"/>
    <col min="4871" max="4871" width="10.9375" customWidth="1"/>
    <col min="4872" max="4872" width="13.41015625" customWidth="1"/>
    <col min="4873" max="4873" width="11.52734375" customWidth="1"/>
    <col min="4874" max="4874" width="13.703125" customWidth="1"/>
    <col min="4875" max="4875" width="7.703125" customWidth="1"/>
    <col min="4876" max="4876" width="8.3515625" customWidth="1"/>
    <col min="4877" max="4877" width="22.46875" customWidth="1"/>
    <col min="4878" max="4878" width="9.46875" bestFit="1" customWidth="1"/>
    <col min="4879" max="4880" width="10.41015625" bestFit="1" customWidth="1"/>
    <col min="4881" max="4881" width="9.46875" bestFit="1" customWidth="1"/>
    <col min="4882" max="4882" width="11.76171875" customWidth="1"/>
    <col min="5120" max="5120" width="4.46875" customWidth="1"/>
    <col min="5121" max="5121" width="45.87890625" customWidth="1"/>
    <col min="5122" max="5122" width="15.29296875" customWidth="1"/>
    <col min="5123" max="5124" width="12.29296875" customWidth="1"/>
    <col min="5125" max="5125" width="11.76171875" customWidth="1"/>
    <col min="5126" max="5126" width="12.17578125" customWidth="1"/>
    <col min="5127" max="5127" width="10.9375" customWidth="1"/>
    <col min="5128" max="5128" width="13.41015625" customWidth="1"/>
    <col min="5129" max="5129" width="11.52734375" customWidth="1"/>
    <col min="5130" max="5130" width="13.703125" customWidth="1"/>
    <col min="5131" max="5131" width="7.703125" customWidth="1"/>
    <col min="5132" max="5132" width="8.3515625" customWidth="1"/>
    <col min="5133" max="5133" width="22.46875" customWidth="1"/>
    <col min="5134" max="5134" width="9.46875" bestFit="1" customWidth="1"/>
    <col min="5135" max="5136" width="10.41015625" bestFit="1" customWidth="1"/>
    <col min="5137" max="5137" width="9.46875" bestFit="1" customWidth="1"/>
    <col min="5138" max="5138" width="11.76171875" customWidth="1"/>
    <col min="5376" max="5376" width="4.46875" customWidth="1"/>
    <col min="5377" max="5377" width="45.87890625" customWidth="1"/>
    <col min="5378" max="5378" width="15.29296875" customWidth="1"/>
    <col min="5379" max="5380" width="12.29296875" customWidth="1"/>
    <col min="5381" max="5381" width="11.76171875" customWidth="1"/>
    <col min="5382" max="5382" width="12.17578125" customWidth="1"/>
    <col min="5383" max="5383" width="10.9375" customWidth="1"/>
    <col min="5384" max="5384" width="13.41015625" customWidth="1"/>
    <col min="5385" max="5385" width="11.52734375" customWidth="1"/>
    <col min="5386" max="5386" width="13.703125" customWidth="1"/>
    <col min="5387" max="5387" width="7.703125" customWidth="1"/>
    <col min="5388" max="5388" width="8.3515625" customWidth="1"/>
    <col min="5389" max="5389" width="22.46875" customWidth="1"/>
    <col min="5390" max="5390" width="9.46875" bestFit="1" customWidth="1"/>
    <col min="5391" max="5392" width="10.41015625" bestFit="1" customWidth="1"/>
    <col min="5393" max="5393" width="9.46875" bestFit="1" customWidth="1"/>
    <col min="5394" max="5394" width="11.76171875" customWidth="1"/>
    <col min="5632" max="5632" width="4.46875" customWidth="1"/>
    <col min="5633" max="5633" width="45.87890625" customWidth="1"/>
    <col min="5634" max="5634" width="15.29296875" customWidth="1"/>
    <col min="5635" max="5636" width="12.29296875" customWidth="1"/>
    <col min="5637" max="5637" width="11.76171875" customWidth="1"/>
    <col min="5638" max="5638" width="12.17578125" customWidth="1"/>
    <col min="5639" max="5639" width="10.9375" customWidth="1"/>
    <col min="5640" max="5640" width="13.41015625" customWidth="1"/>
    <col min="5641" max="5641" width="11.52734375" customWidth="1"/>
    <col min="5642" max="5642" width="13.703125" customWidth="1"/>
    <col min="5643" max="5643" width="7.703125" customWidth="1"/>
    <col min="5644" max="5644" width="8.3515625" customWidth="1"/>
    <col min="5645" max="5645" width="22.46875" customWidth="1"/>
    <col min="5646" max="5646" width="9.46875" bestFit="1" customWidth="1"/>
    <col min="5647" max="5648" width="10.41015625" bestFit="1" customWidth="1"/>
    <col min="5649" max="5649" width="9.46875" bestFit="1" customWidth="1"/>
    <col min="5650" max="5650" width="11.76171875" customWidth="1"/>
    <col min="5888" max="5888" width="4.46875" customWidth="1"/>
    <col min="5889" max="5889" width="45.87890625" customWidth="1"/>
    <col min="5890" max="5890" width="15.29296875" customWidth="1"/>
    <col min="5891" max="5892" width="12.29296875" customWidth="1"/>
    <col min="5893" max="5893" width="11.76171875" customWidth="1"/>
    <col min="5894" max="5894" width="12.17578125" customWidth="1"/>
    <col min="5895" max="5895" width="10.9375" customWidth="1"/>
    <col min="5896" max="5896" width="13.41015625" customWidth="1"/>
    <col min="5897" max="5897" width="11.52734375" customWidth="1"/>
    <col min="5898" max="5898" width="13.703125" customWidth="1"/>
    <col min="5899" max="5899" width="7.703125" customWidth="1"/>
    <col min="5900" max="5900" width="8.3515625" customWidth="1"/>
    <col min="5901" max="5901" width="22.46875" customWidth="1"/>
    <col min="5902" max="5902" width="9.46875" bestFit="1" customWidth="1"/>
    <col min="5903" max="5904" width="10.41015625" bestFit="1" customWidth="1"/>
    <col min="5905" max="5905" width="9.46875" bestFit="1" customWidth="1"/>
    <col min="5906" max="5906" width="11.76171875" customWidth="1"/>
    <col min="6144" max="6144" width="4.46875" customWidth="1"/>
    <col min="6145" max="6145" width="45.87890625" customWidth="1"/>
    <col min="6146" max="6146" width="15.29296875" customWidth="1"/>
    <col min="6147" max="6148" width="12.29296875" customWidth="1"/>
    <col min="6149" max="6149" width="11.76171875" customWidth="1"/>
    <col min="6150" max="6150" width="12.17578125" customWidth="1"/>
    <col min="6151" max="6151" width="10.9375" customWidth="1"/>
    <col min="6152" max="6152" width="13.41015625" customWidth="1"/>
    <col min="6153" max="6153" width="11.52734375" customWidth="1"/>
    <col min="6154" max="6154" width="13.703125" customWidth="1"/>
    <col min="6155" max="6155" width="7.703125" customWidth="1"/>
    <col min="6156" max="6156" width="8.3515625" customWidth="1"/>
    <col min="6157" max="6157" width="22.46875" customWidth="1"/>
    <col min="6158" max="6158" width="9.46875" bestFit="1" customWidth="1"/>
    <col min="6159" max="6160" width="10.41015625" bestFit="1" customWidth="1"/>
    <col min="6161" max="6161" width="9.46875" bestFit="1" customWidth="1"/>
    <col min="6162" max="6162" width="11.76171875" customWidth="1"/>
    <col min="6400" max="6400" width="4.46875" customWidth="1"/>
    <col min="6401" max="6401" width="45.87890625" customWidth="1"/>
    <col min="6402" max="6402" width="15.29296875" customWidth="1"/>
    <col min="6403" max="6404" width="12.29296875" customWidth="1"/>
    <col min="6405" max="6405" width="11.76171875" customWidth="1"/>
    <col min="6406" max="6406" width="12.17578125" customWidth="1"/>
    <col min="6407" max="6407" width="10.9375" customWidth="1"/>
    <col min="6408" max="6408" width="13.41015625" customWidth="1"/>
    <col min="6409" max="6409" width="11.52734375" customWidth="1"/>
    <col min="6410" max="6410" width="13.703125" customWidth="1"/>
    <col min="6411" max="6411" width="7.703125" customWidth="1"/>
    <col min="6412" max="6412" width="8.3515625" customWidth="1"/>
    <col min="6413" max="6413" width="22.46875" customWidth="1"/>
    <col min="6414" max="6414" width="9.46875" bestFit="1" customWidth="1"/>
    <col min="6415" max="6416" width="10.41015625" bestFit="1" customWidth="1"/>
    <col min="6417" max="6417" width="9.46875" bestFit="1" customWidth="1"/>
    <col min="6418" max="6418" width="11.76171875" customWidth="1"/>
    <col min="6656" max="6656" width="4.46875" customWidth="1"/>
    <col min="6657" max="6657" width="45.87890625" customWidth="1"/>
    <col min="6658" max="6658" width="15.29296875" customWidth="1"/>
    <col min="6659" max="6660" width="12.29296875" customWidth="1"/>
    <col min="6661" max="6661" width="11.76171875" customWidth="1"/>
    <col min="6662" max="6662" width="12.17578125" customWidth="1"/>
    <col min="6663" max="6663" width="10.9375" customWidth="1"/>
    <col min="6664" max="6664" width="13.41015625" customWidth="1"/>
    <col min="6665" max="6665" width="11.52734375" customWidth="1"/>
    <col min="6666" max="6666" width="13.703125" customWidth="1"/>
    <col min="6667" max="6667" width="7.703125" customWidth="1"/>
    <col min="6668" max="6668" width="8.3515625" customWidth="1"/>
    <col min="6669" max="6669" width="22.46875" customWidth="1"/>
    <col min="6670" max="6670" width="9.46875" bestFit="1" customWidth="1"/>
    <col min="6671" max="6672" width="10.41015625" bestFit="1" customWidth="1"/>
    <col min="6673" max="6673" width="9.46875" bestFit="1" customWidth="1"/>
    <col min="6674" max="6674" width="11.76171875" customWidth="1"/>
    <col min="6912" max="6912" width="4.46875" customWidth="1"/>
    <col min="6913" max="6913" width="45.87890625" customWidth="1"/>
    <col min="6914" max="6914" width="15.29296875" customWidth="1"/>
    <col min="6915" max="6916" width="12.29296875" customWidth="1"/>
    <col min="6917" max="6917" width="11.76171875" customWidth="1"/>
    <col min="6918" max="6918" width="12.17578125" customWidth="1"/>
    <col min="6919" max="6919" width="10.9375" customWidth="1"/>
    <col min="6920" max="6920" width="13.41015625" customWidth="1"/>
    <col min="6921" max="6921" width="11.52734375" customWidth="1"/>
    <col min="6922" max="6922" width="13.703125" customWidth="1"/>
    <col min="6923" max="6923" width="7.703125" customWidth="1"/>
    <col min="6924" max="6924" width="8.3515625" customWidth="1"/>
    <col min="6925" max="6925" width="22.46875" customWidth="1"/>
    <col min="6926" max="6926" width="9.46875" bestFit="1" customWidth="1"/>
    <col min="6927" max="6928" width="10.41015625" bestFit="1" customWidth="1"/>
    <col min="6929" max="6929" width="9.46875" bestFit="1" customWidth="1"/>
    <col min="6930" max="6930" width="11.76171875" customWidth="1"/>
    <col min="7168" max="7168" width="4.46875" customWidth="1"/>
    <col min="7169" max="7169" width="45.87890625" customWidth="1"/>
    <col min="7170" max="7170" width="15.29296875" customWidth="1"/>
    <col min="7171" max="7172" width="12.29296875" customWidth="1"/>
    <col min="7173" max="7173" width="11.76171875" customWidth="1"/>
    <col min="7174" max="7174" width="12.17578125" customWidth="1"/>
    <col min="7175" max="7175" width="10.9375" customWidth="1"/>
    <col min="7176" max="7176" width="13.41015625" customWidth="1"/>
    <col min="7177" max="7177" width="11.52734375" customWidth="1"/>
    <col min="7178" max="7178" width="13.703125" customWidth="1"/>
    <col min="7179" max="7179" width="7.703125" customWidth="1"/>
    <col min="7180" max="7180" width="8.3515625" customWidth="1"/>
    <col min="7181" max="7181" width="22.46875" customWidth="1"/>
    <col min="7182" max="7182" width="9.46875" bestFit="1" customWidth="1"/>
    <col min="7183" max="7184" width="10.41015625" bestFit="1" customWidth="1"/>
    <col min="7185" max="7185" width="9.46875" bestFit="1" customWidth="1"/>
    <col min="7186" max="7186" width="11.76171875" customWidth="1"/>
    <col min="7424" max="7424" width="4.46875" customWidth="1"/>
    <col min="7425" max="7425" width="45.87890625" customWidth="1"/>
    <col min="7426" max="7426" width="15.29296875" customWidth="1"/>
    <col min="7427" max="7428" width="12.29296875" customWidth="1"/>
    <col min="7429" max="7429" width="11.76171875" customWidth="1"/>
    <col min="7430" max="7430" width="12.17578125" customWidth="1"/>
    <col min="7431" max="7431" width="10.9375" customWidth="1"/>
    <col min="7432" max="7432" width="13.41015625" customWidth="1"/>
    <col min="7433" max="7433" width="11.52734375" customWidth="1"/>
    <col min="7434" max="7434" width="13.703125" customWidth="1"/>
    <col min="7435" max="7435" width="7.703125" customWidth="1"/>
    <col min="7436" max="7436" width="8.3515625" customWidth="1"/>
    <col min="7437" max="7437" width="22.46875" customWidth="1"/>
    <col min="7438" max="7438" width="9.46875" bestFit="1" customWidth="1"/>
    <col min="7439" max="7440" width="10.41015625" bestFit="1" customWidth="1"/>
    <col min="7441" max="7441" width="9.46875" bestFit="1" customWidth="1"/>
    <col min="7442" max="7442" width="11.76171875" customWidth="1"/>
    <col min="7680" max="7680" width="4.46875" customWidth="1"/>
    <col min="7681" max="7681" width="45.87890625" customWidth="1"/>
    <col min="7682" max="7682" width="15.29296875" customWidth="1"/>
    <col min="7683" max="7684" width="12.29296875" customWidth="1"/>
    <col min="7685" max="7685" width="11.76171875" customWidth="1"/>
    <col min="7686" max="7686" width="12.17578125" customWidth="1"/>
    <col min="7687" max="7687" width="10.9375" customWidth="1"/>
    <col min="7688" max="7688" width="13.41015625" customWidth="1"/>
    <col min="7689" max="7689" width="11.52734375" customWidth="1"/>
    <col min="7690" max="7690" width="13.703125" customWidth="1"/>
    <col min="7691" max="7691" width="7.703125" customWidth="1"/>
    <col min="7692" max="7692" width="8.3515625" customWidth="1"/>
    <col min="7693" max="7693" width="22.46875" customWidth="1"/>
    <col min="7694" max="7694" width="9.46875" bestFit="1" customWidth="1"/>
    <col min="7695" max="7696" width="10.41015625" bestFit="1" customWidth="1"/>
    <col min="7697" max="7697" width="9.46875" bestFit="1" customWidth="1"/>
    <col min="7698" max="7698" width="11.76171875" customWidth="1"/>
    <col min="7936" max="7936" width="4.46875" customWidth="1"/>
    <col min="7937" max="7937" width="45.87890625" customWidth="1"/>
    <col min="7938" max="7938" width="15.29296875" customWidth="1"/>
    <col min="7939" max="7940" width="12.29296875" customWidth="1"/>
    <col min="7941" max="7941" width="11.76171875" customWidth="1"/>
    <col min="7942" max="7942" width="12.17578125" customWidth="1"/>
    <col min="7943" max="7943" width="10.9375" customWidth="1"/>
    <col min="7944" max="7944" width="13.41015625" customWidth="1"/>
    <col min="7945" max="7945" width="11.52734375" customWidth="1"/>
    <col min="7946" max="7946" width="13.703125" customWidth="1"/>
    <col min="7947" max="7947" width="7.703125" customWidth="1"/>
    <col min="7948" max="7948" width="8.3515625" customWidth="1"/>
    <col min="7949" max="7949" width="22.46875" customWidth="1"/>
    <col min="7950" max="7950" width="9.46875" bestFit="1" customWidth="1"/>
    <col min="7951" max="7952" width="10.41015625" bestFit="1" customWidth="1"/>
    <col min="7953" max="7953" width="9.46875" bestFit="1" customWidth="1"/>
    <col min="7954" max="7954" width="11.76171875" customWidth="1"/>
    <col min="8192" max="8192" width="4.46875" customWidth="1"/>
    <col min="8193" max="8193" width="45.87890625" customWidth="1"/>
    <col min="8194" max="8194" width="15.29296875" customWidth="1"/>
    <col min="8195" max="8196" width="12.29296875" customWidth="1"/>
    <col min="8197" max="8197" width="11.76171875" customWidth="1"/>
    <col min="8198" max="8198" width="12.17578125" customWidth="1"/>
    <col min="8199" max="8199" width="10.9375" customWidth="1"/>
    <col min="8200" max="8200" width="13.41015625" customWidth="1"/>
    <col min="8201" max="8201" width="11.52734375" customWidth="1"/>
    <col min="8202" max="8202" width="13.703125" customWidth="1"/>
    <col min="8203" max="8203" width="7.703125" customWidth="1"/>
    <col min="8204" max="8204" width="8.3515625" customWidth="1"/>
    <col min="8205" max="8205" width="22.46875" customWidth="1"/>
    <col min="8206" max="8206" width="9.46875" bestFit="1" customWidth="1"/>
    <col min="8207" max="8208" width="10.41015625" bestFit="1" customWidth="1"/>
    <col min="8209" max="8209" width="9.46875" bestFit="1" customWidth="1"/>
    <col min="8210" max="8210" width="11.76171875" customWidth="1"/>
    <col min="8448" max="8448" width="4.46875" customWidth="1"/>
    <col min="8449" max="8449" width="45.87890625" customWidth="1"/>
    <col min="8450" max="8450" width="15.29296875" customWidth="1"/>
    <col min="8451" max="8452" width="12.29296875" customWidth="1"/>
    <col min="8453" max="8453" width="11.76171875" customWidth="1"/>
    <col min="8454" max="8454" width="12.17578125" customWidth="1"/>
    <col min="8455" max="8455" width="10.9375" customWidth="1"/>
    <col min="8456" max="8456" width="13.41015625" customWidth="1"/>
    <col min="8457" max="8457" width="11.52734375" customWidth="1"/>
    <col min="8458" max="8458" width="13.703125" customWidth="1"/>
    <col min="8459" max="8459" width="7.703125" customWidth="1"/>
    <col min="8460" max="8460" width="8.3515625" customWidth="1"/>
    <col min="8461" max="8461" width="22.46875" customWidth="1"/>
    <col min="8462" max="8462" width="9.46875" bestFit="1" customWidth="1"/>
    <col min="8463" max="8464" width="10.41015625" bestFit="1" customWidth="1"/>
    <col min="8465" max="8465" width="9.46875" bestFit="1" customWidth="1"/>
    <col min="8466" max="8466" width="11.76171875" customWidth="1"/>
    <col min="8704" max="8704" width="4.46875" customWidth="1"/>
    <col min="8705" max="8705" width="45.87890625" customWidth="1"/>
    <col min="8706" max="8706" width="15.29296875" customWidth="1"/>
    <col min="8707" max="8708" width="12.29296875" customWidth="1"/>
    <col min="8709" max="8709" width="11.76171875" customWidth="1"/>
    <col min="8710" max="8710" width="12.17578125" customWidth="1"/>
    <col min="8711" max="8711" width="10.9375" customWidth="1"/>
    <col min="8712" max="8712" width="13.41015625" customWidth="1"/>
    <col min="8713" max="8713" width="11.52734375" customWidth="1"/>
    <col min="8714" max="8714" width="13.703125" customWidth="1"/>
    <col min="8715" max="8715" width="7.703125" customWidth="1"/>
    <col min="8716" max="8716" width="8.3515625" customWidth="1"/>
    <col min="8717" max="8717" width="22.46875" customWidth="1"/>
    <col min="8718" max="8718" width="9.46875" bestFit="1" customWidth="1"/>
    <col min="8719" max="8720" width="10.41015625" bestFit="1" customWidth="1"/>
    <col min="8721" max="8721" width="9.46875" bestFit="1" customWidth="1"/>
    <col min="8722" max="8722" width="11.76171875" customWidth="1"/>
    <col min="8960" max="8960" width="4.46875" customWidth="1"/>
    <col min="8961" max="8961" width="45.87890625" customWidth="1"/>
    <col min="8962" max="8962" width="15.29296875" customWidth="1"/>
    <col min="8963" max="8964" width="12.29296875" customWidth="1"/>
    <col min="8965" max="8965" width="11.76171875" customWidth="1"/>
    <col min="8966" max="8966" width="12.17578125" customWidth="1"/>
    <col min="8967" max="8967" width="10.9375" customWidth="1"/>
    <col min="8968" max="8968" width="13.41015625" customWidth="1"/>
    <col min="8969" max="8969" width="11.52734375" customWidth="1"/>
    <col min="8970" max="8970" width="13.703125" customWidth="1"/>
    <col min="8971" max="8971" width="7.703125" customWidth="1"/>
    <col min="8972" max="8972" width="8.3515625" customWidth="1"/>
    <col min="8973" max="8973" width="22.46875" customWidth="1"/>
    <col min="8974" max="8974" width="9.46875" bestFit="1" customWidth="1"/>
    <col min="8975" max="8976" width="10.41015625" bestFit="1" customWidth="1"/>
    <col min="8977" max="8977" width="9.46875" bestFit="1" customWidth="1"/>
    <col min="8978" max="8978" width="11.76171875" customWidth="1"/>
    <col min="9216" max="9216" width="4.46875" customWidth="1"/>
    <col min="9217" max="9217" width="45.87890625" customWidth="1"/>
    <col min="9218" max="9218" width="15.29296875" customWidth="1"/>
    <col min="9219" max="9220" width="12.29296875" customWidth="1"/>
    <col min="9221" max="9221" width="11.76171875" customWidth="1"/>
    <col min="9222" max="9222" width="12.17578125" customWidth="1"/>
    <col min="9223" max="9223" width="10.9375" customWidth="1"/>
    <col min="9224" max="9224" width="13.41015625" customWidth="1"/>
    <col min="9225" max="9225" width="11.52734375" customWidth="1"/>
    <col min="9226" max="9226" width="13.703125" customWidth="1"/>
    <col min="9227" max="9227" width="7.703125" customWidth="1"/>
    <col min="9228" max="9228" width="8.3515625" customWidth="1"/>
    <col min="9229" max="9229" width="22.46875" customWidth="1"/>
    <col min="9230" max="9230" width="9.46875" bestFit="1" customWidth="1"/>
    <col min="9231" max="9232" width="10.41015625" bestFit="1" customWidth="1"/>
    <col min="9233" max="9233" width="9.46875" bestFit="1" customWidth="1"/>
    <col min="9234" max="9234" width="11.76171875" customWidth="1"/>
    <col min="9472" max="9472" width="4.46875" customWidth="1"/>
    <col min="9473" max="9473" width="45.87890625" customWidth="1"/>
    <col min="9474" max="9474" width="15.29296875" customWidth="1"/>
    <col min="9475" max="9476" width="12.29296875" customWidth="1"/>
    <col min="9477" max="9477" width="11.76171875" customWidth="1"/>
    <col min="9478" max="9478" width="12.17578125" customWidth="1"/>
    <col min="9479" max="9479" width="10.9375" customWidth="1"/>
    <col min="9480" max="9480" width="13.41015625" customWidth="1"/>
    <col min="9481" max="9481" width="11.52734375" customWidth="1"/>
    <col min="9482" max="9482" width="13.703125" customWidth="1"/>
    <col min="9483" max="9483" width="7.703125" customWidth="1"/>
    <col min="9484" max="9484" width="8.3515625" customWidth="1"/>
    <col min="9485" max="9485" width="22.46875" customWidth="1"/>
    <col min="9486" max="9486" width="9.46875" bestFit="1" customWidth="1"/>
    <col min="9487" max="9488" width="10.41015625" bestFit="1" customWidth="1"/>
    <col min="9489" max="9489" width="9.46875" bestFit="1" customWidth="1"/>
    <col min="9490" max="9490" width="11.76171875" customWidth="1"/>
    <col min="9728" max="9728" width="4.46875" customWidth="1"/>
    <col min="9729" max="9729" width="45.87890625" customWidth="1"/>
    <col min="9730" max="9730" width="15.29296875" customWidth="1"/>
    <col min="9731" max="9732" width="12.29296875" customWidth="1"/>
    <col min="9733" max="9733" width="11.76171875" customWidth="1"/>
    <col min="9734" max="9734" width="12.17578125" customWidth="1"/>
    <col min="9735" max="9735" width="10.9375" customWidth="1"/>
    <col min="9736" max="9736" width="13.41015625" customWidth="1"/>
    <col min="9737" max="9737" width="11.52734375" customWidth="1"/>
    <col min="9738" max="9738" width="13.703125" customWidth="1"/>
    <col min="9739" max="9739" width="7.703125" customWidth="1"/>
    <col min="9740" max="9740" width="8.3515625" customWidth="1"/>
    <col min="9741" max="9741" width="22.46875" customWidth="1"/>
    <col min="9742" max="9742" width="9.46875" bestFit="1" customWidth="1"/>
    <col min="9743" max="9744" width="10.41015625" bestFit="1" customWidth="1"/>
    <col min="9745" max="9745" width="9.46875" bestFit="1" customWidth="1"/>
    <col min="9746" max="9746" width="11.76171875" customWidth="1"/>
    <col min="9984" max="9984" width="4.46875" customWidth="1"/>
    <col min="9985" max="9985" width="45.87890625" customWidth="1"/>
    <col min="9986" max="9986" width="15.29296875" customWidth="1"/>
    <col min="9987" max="9988" width="12.29296875" customWidth="1"/>
    <col min="9989" max="9989" width="11.76171875" customWidth="1"/>
    <col min="9990" max="9990" width="12.17578125" customWidth="1"/>
    <col min="9991" max="9991" width="10.9375" customWidth="1"/>
    <col min="9992" max="9992" width="13.41015625" customWidth="1"/>
    <col min="9993" max="9993" width="11.52734375" customWidth="1"/>
    <col min="9994" max="9994" width="13.703125" customWidth="1"/>
    <col min="9995" max="9995" width="7.703125" customWidth="1"/>
    <col min="9996" max="9996" width="8.3515625" customWidth="1"/>
    <col min="9997" max="9997" width="22.46875" customWidth="1"/>
    <col min="9998" max="9998" width="9.46875" bestFit="1" customWidth="1"/>
    <col min="9999" max="10000" width="10.41015625" bestFit="1" customWidth="1"/>
    <col min="10001" max="10001" width="9.46875" bestFit="1" customWidth="1"/>
    <col min="10002" max="10002" width="11.76171875" customWidth="1"/>
    <col min="10240" max="10240" width="4.46875" customWidth="1"/>
    <col min="10241" max="10241" width="45.87890625" customWidth="1"/>
    <col min="10242" max="10242" width="15.29296875" customWidth="1"/>
    <col min="10243" max="10244" width="12.29296875" customWidth="1"/>
    <col min="10245" max="10245" width="11.76171875" customWidth="1"/>
    <col min="10246" max="10246" width="12.17578125" customWidth="1"/>
    <col min="10247" max="10247" width="10.9375" customWidth="1"/>
    <col min="10248" max="10248" width="13.41015625" customWidth="1"/>
    <col min="10249" max="10249" width="11.52734375" customWidth="1"/>
    <col min="10250" max="10250" width="13.703125" customWidth="1"/>
    <col min="10251" max="10251" width="7.703125" customWidth="1"/>
    <col min="10252" max="10252" width="8.3515625" customWidth="1"/>
    <col min="10253" max="10253" width="22.46875" customWidth="1"/>
    <col min="10254" max="10254" width="9.46875" bestFit="1" customWidth="1"/>
    <col min="10255" max="10256" width="10.41015625" bestFit="1" customWidth="1"/>
    <col min="10257" max="10257" width="9.46875" bestFit="1" customWidth="1"/>
    <col min="10258" max="10258" width="11.76171875" customWidth="1"/>
    <col min="10496" max="10496" width="4.46875" customWidth="1"/>
    <col min="10497" max="10497" width="45.87890625" customWidth="1"/>
    <col min="10498" max="10498" width="15.29296875" customWidth="1"/>
    <col min="10499" max="10500" width="12.29296875" customWidth="1"/>
    <col min="10501" max="10501" width="11.76171875" customWidth="1"/>
    <col min="10502" max="10502" width="12.17578125" customWidth="1"/>
    <col min="10503" max="10503" width="10.9375" customWidth="1"/>
    <col min="10504" max="10504" width="13.41015625" customWidth="1"/>
    <col min="10505" max="10505" width="11.52734375" customWidth="1"/>
    <col min="10506" max="10506" width="13.703125" customWidth="1"/>
    <col min="10507" max="10507" width="7.703125" customWidth="1"/>
    <col min="10508" max="10508" width="8.3515625" customWidth="1"/>
    <col min="10509" max="10509" width="22.46875" customWidth="1"/>
    <col min="10510" max="10510" width="9.46875" bestFit="1" customWidth="1"/>
    <col min="10511" max="10512" width="10.41015625" bestFit="1" customWidth="1"/>
    <col min="10513" max="10513" width="9.46875" bestFit="1" customWidth="1"/>
    <col min="10514" max="10514" width="11.76171875" customWidth="1"/>
    <col min="10752" max="10752" width="4.46875" customWidth="1"/>
    <col min="10753" max="10753" width="45.87890625" customWidth="1"/>
    <col min="10754" max="10754" width="15.29296875" customWidth="1"/>
    <col min="10755" max="10756" width="12.29296875" customWidth="1"/>
    <col min="10757" max="10757" width="11.76171875" customWidth="1"/>
    <col min="10758" max="10758" width="12.17578125" customWidth="1"/>
    <col min="10759" max="10759" width="10.9375" customWidth="1"/>
    <col min="10760" max="10760" width="13.41015625" customWidth="1"/>
    <col min="10761" max="10761" width="11.52734375" customWidth="1"/>
    <col min="10762" max="10762" width="13.703125" customWidth="1"/>
    <col min="10763" max="10763" width="7.703125" customWidth="1"/>
    <col min="10764" max="10764" width="8.3515625" customWidth="1"/>
    <col min="10765" max="10765" width="22.46875" customWidth="1"/>
    <col min="10766" max="10766" width="9.46875" bestFit="1" customWidth="1"/>
    <col min="10767" max="10768" width="10.41015625" bestFit="1" customWidth="1"/>
    <col min="10769" max="10769" width="9.46875" bestFit="1" customWidth="1"/>
    <col min="10770" max="10770" width="11.76171875" customWidth="1"/>
    <col min="11008" max="11008" width="4.46875" customWidth="1"/>
    <col min="11009" max="11009" width="45.87890625" customWidth="1"/>
    <col min="11010" max="11010" width="15.29296875" customWidth="1"/>
    <col min="11011" max="11012" width="12.29296875" customWidth="1"/>
    <col min="11013" max="11013" width="11.76171875" customWidth="1"/>
    <col min="11014" max="11014" width="12.17578125" customWidth="1"/>
    <col min="11015" max="11015" width="10.9375" customWidth="1"/>
    <col min="11016" max="11016" width="13.41015625" customWidth="1"/>
    <col min="11017" max="11017" width="11.52734375" customWidth="1"/>
    <col min="11018" max="11018" width="13.703125" customWidth="1"/>
    <col min="11019" max="11019" width="7.703125" customWidth="1"/>
    <col min="11020" max="11020" width="8.3515625" customWidth="1"/>
    <col min="11021" max="11021" width="22.46875" customWidth="1"/>
    <col min="11022" max="11022" width="9.46875" bestFit="1" customWidth="1"/>
    <col min="11023" max="11024" width="10.41015625" bestFit="1" customWidth="1"/>
    <col min="11025" max="11025" width="9.46875" bestFit="1" customWidth="1"/>
    <col min="11026" max="11026" width="11.76171875" customWidth="1"/>
    <col min="11264" max="11264" width="4.46875" customWidth="1"/>
    <col min="11265" max="11265" width="45.87890625" customWidth="1"/>
    <col min="11266" max="11266" width="15.29296875" customWidth="1"/>
    <col min="11267" max="11268" width="12.29296875" customWidth="1"/>
    <col min="11269" max="11269" width="11.76171875" customWidth="1"/>
    <col min="11270" max="11270" width="12.17578125" customWidth="1"/>
    <col min="11271" max="11271" width="10.9375" customWidth="1"/>
    <col min="11272" max="11272" width="13.41015625" customWidth="1"/>
    <col min="11273" max="11273" width="11.52734375" customWidth="1"/>
    <col min="11274" max="11274" width="13.703125" customWidth="1"/>
    <col min="11275" max="11275" width="7.703125" customWidth="1"/>
    <col min="11276" max="11276" width="8.3515625" customWidth="1"/>
    <col min="11277" max="11277" width="22.46875" customWidth="1"/>
    <col min="11278" max="11278" width="9.46875" bestFit="1" customWidth="1"/>
    <col min="11279" max="11280" width="10.41015625" bestFit="1" customWidth="1"/>
    <col min="11281" max="11281" width="9.46875" bestFit="1" customWidth="1"/>
    <col min="11282" max="11282" width="11.76171875" customWidth="1"/>
    <col min="11520" max="11520" width="4.46875" customWidth="1"/>
    <col min="11521" max="11521" width="45.87890625" customWidth="1"/>
    <col min="11522" max="11522" width="15.29296875" customWidth="1"/>
    <col min="11523" max="11524" width="12.29296875" customWidth="1"/>
    <col min="11525" max="11525" width="11.76171875" customWidth="1"/>
    <col min="11526" max="11526" width="12.17578125" customWidth="1"/>
    <col min="11527" max="11527" width="10.9375" customWidth="1"/>
    <col min="11528" max="11528" width="13.41015625" customWidth="1"/>
    <col min="11529" max="11529" width="11.52734375" customWidth="1"/>
    <col min="11530" max="11530" width="13.703125" customWidth="1"/>
    <col min="11531" max="11531" width="7.703125" customWidth="1"/>
    <col min="11532" max="11532" width="8.3515625" customWidth="1"/>
    <col min="11533" max="11533" width="22.46875" customWidth="1"/>
    <col min="11534" max="11534" width="9.46875" bestFit="1" customWidth="1"/>
    <col min="11535" max="11536" width="10.41015625" bestFit="1" customWidth="1"/>
    <col min="11537" max="11537" width="9.46875" bestFit="1" customWidth="1"/>
    <col min="11538" max="11538" width="11.76171875" customWidth="1"/>
    <col min="11776" max="11776" width="4.46875" customWidth="1"/>
    <col min="11777" max="11777" width="45.87890625" customWidth="1"/>
    <col min="11778" max="11778" width="15.29296875" customWidth="1"/>
    <col min="11779" max="11780" width="12.29296875" customWidth="1"/>
    <col min="11781" max="11781" width="11.76171875" customWidth="1"/>
    <col min="11782" max="11782" width="12.17578125" customWidth="1"/>
    <col min="11783" max="11783" width="10.9375" customWidth="1"/>
    <col min="11784" max="11784" width="13.41015625" customWidth="1"/>
    <col min="11785" max="11785" width="11.52734375" customWidth="1"/>
    <col min="11786" max="11786" width="13.703125" customWidth="1"/>
    <col min="11787" max="11787" width="7.703125" customWidth="1"/>
    <col min="11788" max="11788" width="8.3515625" customWidth="1"/>
    <col min="11789" max="11789" width="22.46875" customWidth="1"/>
    <col min="11790" max="11790" width="9.46875" bestFit="1" customWidth="1"/>
    <col min="11791" max="11792" width="10.41015625" bestFit="1" customWidth="1"/>
    <col min="11793" max="11793" width="9.46875" bestFit="1" customWidth="1"/>
    <col min="11794" max="11794" width="11.76171875" customWidth="1"/>
    <col min="12032" max="12032" width="4.46875" customWidth="1"/>
    <col min="12033" max="12033" width="45.87890625" customWidth="1"/>
    <col min="12034" max="12034" width="15.29296875" customWidth="1"/>
    <col min="12035" max="12036" width="12.29296875" customWidth="1"/>
    <col min="12037" max="12037" width="11.76171875" customWidth="1"/>
    <col min="12038" max="12038" width="12.17578125" customWidth="1"/>
    <col min="12039" max="12039" width="10.9375" customWidth="1"/>
    <col min="12040" max="12040" width="13.41015625" customWidth="1"/>
    <col min="12041" max="12041" width="11.52734375" customWidth="1"/>
    <col min="12042" max="12042" width="13.703125" customWidth="1"/>
    <col min="12043" max="12043" width="7.703125" customWidth="1"/>
    <col min="12044" max="12044" width="8.3515625" customWidth="1"/>
    <col min="12045" max="12045" width="22.46875" customWidth="1"/>
    <col min="12046" max="12046" width="9.46875" bestFit="1" customWidth="1"/>
    <col min="12047" max="12048" width="10.41015625" bestFit="1" customWidth="1"/>
    <col min="12049" max="12049" width="9.46875" bestFit="1" customWidth="1"/>
    <col min="12050" max="12050" width="11.76171875" customWidth="1"/>
    <col min="12288" max="12288" width="4.46875" customWidth="1"/>
    <col min="12289" max="12289" width="45.87890625" customWidth="1"/>
    <col min="12290" max="12290" width="15.29296875" customWidth="1"/>
    <col min="12291" max="12292" width="12.29296875" customWidth="1"/>
    <col min="12293" max="12293" width="11.76171875" customWidth="1"/>
    <col min="12294" max="12294" width="12.17578125" customWidth="1"/>
    <col min="12295" max="12295" width="10.9375" customWidth="1"/>
    <col min="12296" max="12296" width="13.41015625" customWidth="1"/>
    <col min="12297" max="12297" width="11.52734375" customWidth="1"/>
    <col min="12298" max="12298" width="13.703125" customWidth="1"/>
    <col min="12299" max="12299" width="7.703125" customWidth="1"/>
    <col min="12300" max="12300" width="8.3515625" customWidth="1"/>
    <col min="12301" max="12301" width="22.46875" customWidth="1"/>
    <col min="12302" max="12302" width="9.46875" bestFit="1" customWidth="1"/>
    <col min="12303" max="12304" width="10.41015625" bestFit="1" customWidth="1"/>
    <col min="12305" max="12305" width="9.46875" bestFit="1" customWidth="1"/>
    <col min="12306" max="12306" width="11.76171875" customWidth="1"/>
    <col min="12544" max="12544" width="4.46875" customWidth="1"/>
    <col min="12545" max="12545" width="45.87890625" customWidth="1"/>
    <col min="12546" max="12546" width="15.29296875" customWidth="1"/>
    <col min="12547" max="12548" width="12.29296875" customWidth="1"/>
    <col min="12549" max="12549" width="11.76171875" customWidth="1"/>
    <col min="12550" max="12550" width="12.17578125" customWidth="1"/>
    <col min="12551" max="12551" width="10.9375" customWidth="1"/>
    <col min="12552" max="12552" width="13.41015625" customWidth="1"/>
    <col min="12553" max="12553" width="11.52734375" customWidth="1"/>
    <col min="12554" max="12554" width="13.703125" customWidth="1"/>
    <col min="12555" max="12555" width="7.703125" customWidth="1"/>
    <col min="12556" max="12556" width="8.3515625" customWidth="1"/>
    <col min="12557" max="12557" width="22.46875" customWidth="1"/>
    <col min="12558" max="12558" width="9.46875" bestFit="1" customWidth="1"/>
    <col min="12559" max="12560" width="10.41015625" bestFit="1" customWidth="1"/>
    <col min="12561" max="12561" width="9.46875" bestFit="1" customWidth="1"/>
    <col min="12562" max="12562" width="11.76171875" customWidth="1"/>
    <col min="12800" max="12800" width="4.46875" customWidth="1"/>
    <col min="12801" max="12801" width="45.87890625" customWidth="1"/>
    <col min="12802" max="12802" width="15.29296875" customWidth="1"/>
    <col min="12803" max="12804" width="12.29296875" customWidth="1"/>
    <col min="12805" max="12805" width="11.76171875" customWidth="1"/>
    <col min="12806" max="12806" width="12.17578125" customWidth="1"/>
    <col min="12807" max="12807" width="10.9375" customWidth="1"/>
    <col min="12808" max="12808" width="13.41015625" customWidth="1"/>
    <col min="12809" max="12809" width="11.52734375" customWidth="1"/>
    <col min="12810" max="12810" width="13.703125" customWidth="1"/>
    <col min="12811" max="12811" width="7.703125" customWidth="1"/>
    <col min="12812" max="12812" width="8.3515625" customWidth="1"/>
    <col min="12813" max="12813" width="22.46875" customWidth="1"/>
    <col min="12814" max="12814" width="9.46875" bestFit="1" customWidth="1"/>
    <col min="12815" max="12816" width="10.41015625" bestFit="1" customWidth="1"/>
    <col min="12817" max="12817" width="9.46875" bestFit="1" customWidth="1"/>
    <col min="12818" max="12818" width="11.76171875" customWidth="1"/>
    <col min="13056" max="13056" width="4.46875" customWidth="1"/>
    <col min="13057" max="13057" width="45.87890625" customWidth="1"/>
    <col min="13058" max="13058" width="15.29296875" customWidth="1"/>
    <col min="13059" max="13060" width="12.29296875" customWidth="1"/>
    <col min="13061" max="13061" width="11.76171875" customWidth="1"/>
    <col min="13062" max="13062" width="12.17578125" customWidth="1"/>
    <col min="13063" max="13063" width="10.9375" customWidth="1"/>
    <col min="13064" max="13064" width="13.41015625" customWidth="1"/>
    <col min="13065" max="13065" width="11.52734375" customWidth="1"/>
    <col min="13066" max="13066" width="13.703125" customWidth="1"/>
    <col min="13067" max="13067" width="7.703125" customWidth="1"/>
    <col min="13068" max="13068" width="8.3515625" customWidth="1"/>
    <col min="13069" max="13069" width="22.46875" customWidth="1"/>
    <col min="13070" max="13070" width="9.46875" bestFit="1" customWidth="1"/>
    <col min="13071" max="13072" width="10.41015625" bestFit="1" customWidth="1"/>
    <col min="13073" max="13073" width="9.46875" bestFit="1" customWidth="1"/>
    <col min="13074" max="13074" width="11.76171875" customWidth="1"/>
    <col min="13312" max="13312" width="4.46875" customWidth="1"/>
    <col min="13313" max="13313" width="45.87890625" customWidth="1"/>
    <col min="13314" max="13314" width="15.29296875" customWidth="1"/>
    <col min="13315" max="13316" width="12.29296875" customWidth="1"/>
    <col min="13317" max="13317" width="11.76171875" customWidth="1"/>
    <col min="13318" max="13318" width="12.17578125" customWidth="1"/>
    <col min="13319" max="13319" width="10.9375" customWidth="1"/>
    <col min="13320" max="13320" width="13.41015625" customWidth="1"/>
    <col min="13321" max="13321" width="11.52734375" customWidth="1"/>
    <col min="13322" max="13322" width="13.703125" customWidth="1"/>
    <col min="13323" max="13323" width="7.703125" customWidth="1"/>
    <col min="13324" max="13324" width="8.3515625" customWidth="1"/>
    <col min="13325" max="13325" width="22.46875" customWidth="1"/>
    <col min="13326" max="13326" width="9.46875" bestFit="1" customWidth="1"/>
    <col min="13327" max="13328" width="10.41015625" bestFit="1" customWidth="1"/>
    <col min="13329" max="13329" width="9.46875" bestFit="1" customWidth="1"/>
    <col min="13330" max="13330" width="11.76171875" customWidth="1"/>
    <col min="13568" max="13568" width="4.46875" customWidth="1"/>
    <col min="13569" max="13569" width="45.87890625" customWidth="1"/>
    <col min="13570" max="13570" width="15.29296875" customWidth="1"/>
    <col min="13571" max="13572" width="12.29296875" customWidth="1"/>
    <col min="13573" max="13573" width="11.76171875" customWidth="1"/>
    <col min="13574" max="13574" width="12.17578125" customWidth="1"/>
    <col min="13575" max="13575" width="10.9375" customWidth="1"/>
    <col min="13576" max="13576" width="13.41015625" customWidth="1"/>
    <col min="13577" max="13577" width="11.52734375" customWidth="1"/>
    <col min="13578" max="13578" width="13.703125" customWidth="1"/>
    <col min="13579" max="13579" width="7.703125" customWidth="1"/>
    <col min="13580" max="13580" width="8.3515625" customWidth="1"/>
    <col min="13581" max="13581" width="22.46875" customWidth="1"/>
    <col min="13582" max="13582" width="9.46875" bestFit="1" customWidth="1"/>
    <col min="13583" max="13584" width="10.41015625" bestFit="1" customWidth="1"/>
    <col min="13585" max="13585" width="9.46875" bestFit="1" customWidth="1"/>
    <col min="13586" max="13586" width="11.76171875" customWidth="1"/>
    <col min="13824" max="13824" width="4.46875" customWidth="1"/>
    <col min="13825" max="13825" width="45.87890625" customWidth="1"/>
    <col min="13826" max="13826" width="15.29296875" customWidth="1"/>
    <col min="13827" max="13828" width="12.29296875" customWidth="1"/>
    <col min="13829" max="13829" width="11.76171875" customWidth="1"/>
    <col min="13830" max="13830" width="12.17578125" customWidth="1"/>
    <col min="13831" max="13831" width="10.9375" customWidth="1"/>
    <col min="13832" max="13832" width="13.41015625" customWidth="1"/>
    <col min="13833" max="13833" width="11.52734375" customWidth="1"/>
    <col min="13834" max="13834" width="13.703125" customWidth="1"/>
    <col min="13835" max="13835" width="7.703125" customWidth="1"/>
    <col min="13836" max="13836" width="8.3515625" customWidth="1"/>
    <col min="13837" max="13837" width="22.46875" customWidth="1"/>
    <col min="13838" max="13838" width="9.46875" bestFit="1" customWidth="1"/>
    <col min="13839" max="13840" width="10.41015625" bestFit="1" customWidth="1"/>
    <col min="13841" max="13841" width="9.46875" bestFit="1" customWidth="1"/>
    <col min="13842" max="13842" width="11.76171875" customWidth="1"/>
    <col min="14080" max="14080" width="4.46875" customWidth="1"/>
    <col min="14081" max="14081" width="45.87890625" customWidth="1"/>
    <col min="14082" max="14082" width="15.29296875" customWidth="1"/>
    <col min="14083" max="14084" width="12.29296875" customWidth="1"/>
    <col min="14085" max="14085" width="11.76171875" customWidth="1"/>
    <col min="14086" max="14086" width="12.17578125" customWidth="1"/>
    <col min="14087" max="14087" width="10.9375" customWidth="1"/>
    <col min="14088" max="14088" width="13.41015625" customWidth="1"/>
    <col min="14089" max="14089" width="11.52734375" customWidth="1"/>
    <col min="14090" max="14090" width="13.703125" customWidth="1"/>
    <col min="14091" max="14091" width="7.703125" customWidth="1"/>
    <col min="14092" max="14092" width="8.3515625" customWidth="1"/>
    <col min="14093" max="14093" width="22.46875" customWidth="1"/>
    <col min="14094" max="14094" width="9.46875" bestFit="1" customWidth="1"/>
    <col min="14095" max="14096" width="10.41015625" bestFit="1" customWidth="1"/>
    <col min="14097" max="14097" width="9.46875" bestFit="1" customWidth="1"/>
    <col min="14098" max="14098" width="11.76171875" customWidth="1"/>
    <col min="14336" max="14336" width="4.46875" customWidth="1"/>
    <col min="14337" max="14337" width="45.87890625" customWidth="1"/>
    <col min="14338" max="14338" width="15.29296875" customWidth="1"/>
    <col min="14339" max="14340" width="12.29296875" customWidth="1"/>
    <col min="14341" max="14341" width="11.76171875" customWidth="1"/>
    <col min="14342" max="14342" width="12.17578125" customWidth="1"/>
    <col min="14343" max="14343" width="10.9375" customWidth="1"/>
    <col min="14344" max="14344" width="13.41015625" customWidth="1"/>
    <col min="14345" max="14345" width="11.52734375" customWidth="1"/>
    <col min="14346" max="14346" width="13.703125" customWidth="1"/>
    <col min="14347" max="14347" width="7.703125" customWidth="1"/>
    <col min="14348" max="14348" width="8.3515625" customWidth="1"/>
    <col min="14349" max="14349" width="22.46875" customWidth="1"/>
    <col min="14350" max="14350" width="9.46875" bestFit="1" customWidth="1"/>
    <col min="14351" max="14352" width="10.41015625" bestFit="1" customWidth="1"/>
    <col min="14353" max="14353" width="9.46875" bestFit="1" customWidth="1"/>
    <col min="14354" max="14354" width="11.76171875" customWidth="1"/>
    <col min="14592" max="14592" width="4.46875" customWidth="1"/>
    <col min="14593" max="14593" width="45.87890625" customWidth="1"/>
    <col min="14594" max="14594" width="15.29296875" customWidth="1"/>
    <col min="14595" max="14596" width="12.29296875" customWidth="1"/>
    <col min="14597" max="14597" width="11.76171875" customWidth="1"/>
    <col min="14598" max="14598" width="12.17578125" customWidth="1"/>
    <col min="14599" max="14599" width="10.9375" customWidth="1"/>
    <col min="14600" max="14600" width="13.41015625" customWidth="1"/>
    <col min="14601" max="14601" width="11.52734375" customWidth="1"/>
    <col min="14602" max="14602" width="13.703125" customWidth="1"/>
    <col min="14603" max="14603" width="7.703125" customWidth="1"/>
    <col min="14604" max="14604" width="8.3515625" customWidth="1"/>
    <col min="14605" max="14605" width="22.46875" customWidth="1"/>
    <col min="14606" max="14606" width="9.46875" bestFit="1" customWidth="1"/>
    <col min="14607" max="14608" width="10.41015625" bestFit="1" customWidth="1"/>
    <col min="14609" max="14609" width="9.46875" bestFit="1" customWidth="1"/>
    <col min="14610" max="14610" width="11.76171875" customWidth="1"/>
    <col min="14848" max="14848" width="4.46875" customWidth="1"/>
    <col min="14849" max="14849" width="45.87890625" customWidth="1"/>
    <col min="14850" max="14850" width="15.29296875" customWidth="1"/>
    <col min="14851" max="14852" width="12.29296875" customWidth="1"/>
    <col min="14853" max="14853" width="11.76171875" customWidth="1"/>
    <col min="14854" max="14854" width="12.17578125" customWidth="1"/>
    <col min="14855" max="14855" width="10.9375" customWidth="1"/>
    <col min="14856" max="14856" width="13.41015625" customWidth="1"/>
    <col min="14857" max="14857" width="11.52734375" customWidth="1"/>
    <col min="14858" max="14858" width="13.703125" customWidth="1"/>
    <col min="14859" max="14859" width="7.703125" customWidth="1"/>
    <col min="14860" max="14860" width="8.3515625" customWidth="1"/>
    <col min="14861" max="14861" width="22.46875" customWidth="1"/>
    <col min="14862" max="14862" width="9.46875" bestFit="1" customWidth="1"/>
    <col min="14863" max="14864" width="10.41015625" bestFit="1" customWidth="1"/>
    <col min="14865" max="14865" width="9.46875" bestFit="1" customWidth="1"/>
    <col min="14866" max="14866" width="11.76171875" customWidth="1"/>
    <col min="15104" max="15104" width="4.46875" customWidth="1"/>
    <col min="15105" max="15105" width="45.87890625" customWidth="1"/>
    <col min="15106" max="15106" width="15.29296875" customWidth="1"/>
    <col min="15107" max="15108" width="12.29296875" customWidth="1"/>
    <col min="15109" max="15109" width="11.76171875" customWidth="1"/>
    <col min="15110" max="15110" width="12.17578125" customWidth="1"/>
    <col min="15111" max="15111" width="10.9375" customWidth="1"/>
    <col min="15112" max="15112" width="13.41015625" customWidth="1"/>
    <col min="15113" max="15113" width="11.52734375" customWidth="1"/>
    <col min="15114" max="15114" width="13.703125" customWidth="1"/>
    <col min="15115" max="15115" width="7.703125" customWidth="1"/>
    <col min="15116" max="15116" width="8.3515625" customWidth="1"/>
    <col min="15117" max="15117" width="22.46875" customWidth="1"/>
    <col min="15118" max="15118" width="9.46875" bestFit="1" customWidth="1"/>
    <col min="15119" max="15120" width="10.41015625" bestFit="1" customWidth="1"/>
    <col min="15121" max="15121" width="9.46875" bestFit="1" customWidth="1"/>
    <col min="15122" max="15122" width="11.76171875" customWidth="1"/>
    <col min="15360" max="15360" width="4.46875" customWidth="1"/>
    <col min="15361" max="15361" width="45.87890625" customWidth="1"/>
    <col min="15362" max="15362" width="15.29296875" customWidth="1"/>
    <col min="15363" max="15364" width="12.29296875" customWidth="1"/>
    <col min="15365" max="15365" width="11.76171875" customWidth="1"/>
    <col min="15366" max="15366" width="12.17578125" customWidth="1"/>
    <col min="15367" max="15367" width="10.9375" customWidth="1"/>
    <col min="15368" max="15368" width="13.41015625" customWidth="1"/>
    <col min="15369" max="15369" width="11.52734375" customWidth="1"/>
    <col min="15370" max="15370" width="13.703125" customWidth="1"/>
    <col min="15371" max="15371" width="7.703125" customWidth="1"/>
    <col min="15372" max="15372" width="8.3515625" customWidth="1"/>
    <col min="15373" max="15373" width="22.46875" customWidth="1"/>
    <col min="15374" max="15374" width="9.46875" bestFit="1" customWidth="1"/>
    <col min="15375" max="15376" width="10.41015625" bestFit="1" customWidth="1"/>
    <col min="15377" max="15377" width="9.46875" bestFit="1" customWidth="1"/>
    <col min="15378" max="15378" width="11.76171875" customWidth="1"/>
    <col min="15616" max="15616" width="4.46875" customWidth="1"/>
    <col min="15617" max="15617" width="45.87890625" customWidth="1"/>
    <col min="15618" max="15618" width="15.29296875" customWidth="1"/>
    <col min="15619" max="15620" width="12.29296875" customWidth="1"/>
    <col min="15621" max="15621" width="11.76171875" customWidth="1"/>
    <col min="15622" max="15622" width="12.17578125" customWidth="1"/>
    <col min="15623" max="15623" width="10.9375" customWidth="1"/>
    <col min="15624" max="15624" width="13.41015625" customWidth="1"/>
    <col min="15625" max="15625" width="11.52734375" customWidth="1"/>
    <col min="15626" max="15626" width="13.703125" customWidth="1"/>
    <col min="15627" max="15627" width="7.703125" customWidth="1"/>
    <col min="15628" max="15628" width="8.3515625" customWidth="1"/>
    <col min="15629" max="15629" width="22.46875" customWidth="1"/>
    <col min="15630" max="15630" width="9.46875" bestFit="1" customWidth="1"/>
    <col min="15631" max="15632" width="10.41015625" bestFit="1" customWidth="1"/>
    <col min="15633" max="15633" width="9.46875" bestFit="1" customWidth="1"/>
    <col min="15634" max="15634" width="11.76171875" customWidth="1"/>
    <col min="15872" max="15872" width="4.46875" customWidth="1"/>
    <col min="15873" max="15873" width="45.87890625" customWidth="1"/>
    <col min="15874" max="15874" width="15.29296875" customWidth="1"/>
    <col min="15875" max="15876" width="12.29296875" customWidth="1"/>
    <col min="15877" max="15877" width="11.76171875" customWidth="1"/>
    <col min="15878" max="15878" width="12.17578125" customWidth="1"/>
    <col min="15879" max="15879" width="10.9375" customWidth="1"/>
    <col min="15880" max="15880" width="13.41015625" customWidth="1"/>
    <col min="15881" max="15881" width="11.52734375" customWidth="1"/>
    <col min="15882" max="15882" width="13.703125" customWidth="1"/>
    <col min="15883" max="15883" width="7.703125" customWidth="1"/>
    <col min="15884" max="15884" width="8.3515625" customWidth="1"/>
    <col min="15885" max="15885" width="22.46875" customWidth="1"/>
    <col min="15886" max="15886" width="9.46875" bestFit="1" customWidth="1"/>
    <col min="15887" max="15888" width="10.41015625" bestFit="1" customWidth="1"/>
    <col min="15889" max="15889" width="9.46875" bestFit="1" customWidth="1"/>
    <col min="15890" max="15890" width="11.76171875" customWidth="1"/>
    <col min="16128" max="16128" width="4.46875" customWidth="1"/>
    <col min="16129" max="16129" width="45.87890625" customWidth="1"/>
    <col min="16130" max="16130" width="15.29296875" customWidth="1"/>
    <col min="16131" max="16132" width="12.29296875" customWidth="1"/>
    <col min="16133" max="16133" width="11.76171875" customWidth="1"/>
    <col min="16134" max="16134" width="12.17578125" customWidth="1"/>
    <col min="16135" max="16135" width="10.9375" customWidth="1"/>
    <col min="16136" max="16136" width="13.41015625" customWidth="1"/>
    <col min="16137" max="16137" width="11.52734375" customWidth="1"/>
    <col min="16138" max="16138" width="13.703125" customWidth="1"/>
    <col min="16139" max="16139" width="7.703125" customWidth="1"/>
    <col min="16140" max="16140" width="8.3515625" customWidth="1"/>
    <col min="16141" max="16141" width="22.46875" customWidth="1"/>
    <col min="16142" max="16142" width="9.46875" bestFit="1" customWidth="1"/>
    <col min="16143" max="16144" width="10.41015625" bestFit="1" customWidth="1"/>
    <col min="16145" max="16145" width="9.46875" bestFit="1" customWidth="1"/>
    <col min="16146" max="16146" width="11.76171875" customWidth="1"/>
  </cols>
  <sheetData>
    <row r="1" spans="1:9" ht="20" x14ac:dyDescent="0.6">
      <c r="B1" s="44" t="s">
        <v>309</v>
      </c>
      <c r="I1" s="7"/>
    </row>
    <row r="2" spans="1:9" ht="11.7" customHeight="1" x14ac:dyDescent="0.5">
      <c r="B2" s="46" t="s">
        <v>42</v>
      </c>
      <c r="C2" s="45"/>
      <c r="I2" s="7"/>
    </row>
    <row r="3" spans="1:9" ht="20.350000000000001" customHeight="1" x14ac:dyDescent="0.7">
      <c r="B3" s="365" t="s">
        <v>344</v>
      </c>
      <c r="C3" s="369">
        <v>43373</v>
      </c>
      <c r="F3" s="365" t="s">
        <v>311</v>
      </c>
      <c r="G3" s="369">
        <v>43433</v>
      </c>
      <c r="I3" s="7"/>
    </row>
    <row r="4" spans="1:9" ht="16.5" customHeight="1" x14ac:dyDescent="0.7">
      <c r="D4" s="47"/>
      <c r="E4" s="47"/>
      <c r="F4" s="365" t="s">
        <v>311</v>
      </c>
      <c r="G4" s="366" t="s">
        <v>310</v>
      </c>
      <c r="H4" s="47"/>
    </row>
    <row r="5" spans="1:9" ht="6.45" customHeight="1" x14ac:dyDescent="0.7">
      <c r="B5" s="365"/>
      <c r="C5" s="366"/>
      <c r="D5" s="47"/>
      <c r="E5" s="47"/>
      <c r="F5" s="47"/>
      <c r="G5" s="47"/>
      <c r="H5" s="47"/>
    </row>
    <row r="6" spans="1:9" ht="19" customHeight="1" x14ac:dyDescent="0.55000000000000004">
      <c r="A6" s="43">
        <f>ROW()</f>
        <v>6</v>
      </c>
      <c r="B6" s="48" t="s">
        <v>43</v>
      </c>
      <c r="D6" s="47"/>
      <c r="F6" s="48" t="s">
        <v>316</v>
      </c>
      <c r="G6" s="53"/>
    </row>
    <row r="7" spans="1:9" ht="7.5" customHeight="1" x14ac:dyDescent="0.55000000000000004">
      <c r="B7" s="48"/>
      <c r="D7" s="47"/>
      <c r="F7" s="48"/>
      <c r="G7" s="53"/>
    </row>
    <row r="8" spans="1:9" ht="14.25" customHeight="1" thickBot="1" x14ac:dyDescent="0.55000000000000004">
      <c r="A8" s="43">
        <f>ROW()</f>
        <v>8</v>
      </c>
      <c r="B8" s="49" t="s">
        <v>343</v>
      </c>
      <c r="D8" s="50" t="s">
        <v>44</v>
      </c>
      <c r="F8" s="49" t="s">
        <v>314</v>
      </c>
    </row>
    <row r="9" spans="1:9" ht="14.25" customHeight="1" thickTop="1" x14ac:dyDescent="0.5">
      <c r="A9" s="43">
        <f>ROW()</f>
        <v>9</v>
      </c>
      <c r="B9" s="47" t="s">
        <v>46</v>
      </c>
      <c r="C9" s="51">
        <v>6640000</v>
      </c>
      <c r="D9" s="52">
        <f>+C9/$G$10</f>
        <v>21.043290866451162</v>
      </c>
      <c r="F9" s="47" t="str">
        <f>+'Method #1'!D8</f>
        <v xml:space="preserve">Stock Price </v>
      </c>
      <c r="G9" s="58">
        <v>3.1</v>
      </c>
    </row>
    <row r="10" spans="1:9" ht="14.25" customHeight="1" x14ac:dyDescent="0.5">
      <c r="A10" s="43">
        <f>ROW()</f>
        <v>10</v>
      </c>
      <c r="B10" s="47" t="s">
        <v>48</v>
      </c>
      <c r="C10" s="51">
        <v>470000</v>
      </c>
      <c r="D10" s="52">
        <f>+C10/$G$10</f>
        <v>1.4895100462698865</v>
      </c>
      <c r="F10" s="47" t="s">
        <v>56</v>
      </c>
      <c r="G10" s="51">
        <v>315540</v>
      </c>
    </row>
    <row r="11" spans="1:9" ht="14.25" customHeight="1" x14ac:dyDescent="0.5">
      <c r="A11" s="43">
        <f>ROW()</f>
        <v>11</v>
      </c>
      <c r="B11" s="47" t="s">
        <v>50</v>
      </c>
      <c r="C11" s="54">
        <v>-25200</v>
      </c>
      <c r="D11" s="52">
        <f>+C11/$G$10</f>
        <v>-7.986309184255562E-2</v>
      </c>
      <c r="E11" s="55" t="s">
        <v>51</v>
      </c>
      <c r="F11" s="47" t="s">
        <v>57</v>
      </c>
      <c r="G11" s="59">
        <f>+G10*G9</f>
        <v>978174</v>
      </c>
    </row>
    <row r="12" spans="1:9" ht="16.5" customHeight="1" x14ac:dyDescent="0.5">
      <c r="A12" s="43">
        <f>ROW()</f>
        <v>12</v>
      </c>
      <c r="F12" s="47" t="s">
        <v>315</v>
      </c>
      <c r="G12" s="59">
        <f>+G11+C15-C16</f>
        <v>2960874</v>
      </c>
    </row>
    <row r="13" spans="1:9" ht="16.5" customHeight="1" x14ac:dyDescent="0.5">
      <c r="A13" s="43">
        <f>ROW()</f>
        <v>13</v>
      </c>
      <c r="B13" s="47" t="s">
        <v>53</v>
      </c>
      <c r="C13" s="54">
        <v>4487900</v>
      </c>
      <c r="D13" s="52">
        <f>+C13/$G$10</f>
        <v>14.222919439690688</v>
      </c>
      <c r="F13" s="47" t="s">
        <v>58</v>
      </c>
      <c r="G13" s="60">
        <v>0</v>
      </c>
    </row>
    <row r="14" spans="1:9" ht="16.5" customHeight="1" x14ac:dyDescent="0.5">
      <c r="A14" s="43">
        <f>ROW()</f>
        <v>14</v>
      </c>
      <c r="B14" s="47" t="s">
        <v>54</v>
      </c>
      <c r="C14" s="54">
        <v>97100</v>
      </c>
      <c r="D14" s="52">
        <f>+C14/$G$10</f>
        <v>0.30772643721873616</v>
      </c>
      <c r="F14" s="47" t="s">
        <v>347</v>
      </c>
      <c r="G14">
        <v>2.91</v>
      </c>
    </row>
    <row r="15" spans="1:9" ht="16.5" customHeight="1" x14ac:dyDescent="0.5">
      <c r="A15" s="43">
        <f>ROW()</f>
        <v>15</v>
      </c>
      <c r="B15" s="47" t="s">
        <v>312</v>
      </c>
      <c r="C15" s="54">
        <v>2030000</v>
      </c>
      <c r="D15" s="52">
        <f>+C15/$G$10</f>
        <v>6.4334157317614249</v>
      </c>
    </row>
    <row r="16" spans="1:9" ht="16.5" customHeight="1" thickBot="1" x14ac:dyDescent="0.55000000000000004">
      <c r="A16" s="43">
        <f>ROW()</f>
        <v>16</v>
      </c>
      <c r="B16" s="47" t="s">
        <v>313</v>
      </c>
      <c r="C16" s="54">
        <v>47300</v>
      </c>
      <c r="D16" s="52">
        <f>+C16/$G$10</f>
        <v>0.14990175572035241</v>
      </c>
      <c r="F16" s="49" t="s">
        <v>59</v>
      </c>
      <c r="G16" s="50" t="str">
        <f>+G4</f>
        <v>AKS</v>
      </c>
    </row>
    <row r="17" spans="1:11" ht="16.5" customHeight="1" thickTop="1" x14ac:dyDescent="0.5">
      <c r="A17" s="43">
        <f>ROW()</f>
        <v>17</v>
      </c>
      <c r="B17" s="47"/>
      <c r="C17" s="54"/>
      <c r="D17" s="52"/>
      <c r="F17" s="47" t="s">
        <v>60</v>
      </c>
      <c r="G17" s="61">
        <f>+G9/D21</f>
        <v>10.073882595262615</v>
      </c>
    </row>
    <row r="18" spans="1:11" ht="16.5" customHeight="1" x14ac:dyDescent="0.5">
      <c r="A18" s="43">
        <f>ROW()</f>
        <v>18</v>
      </c>
      <c r="B18" s="49" t="s">
        <v>45</v>
      </c>
      <c r="C18" s="47"/>
      <c r="F18" s="47" t="s">
        <v>61</v>
      </c>
      <c r="G18" s="61">
        <f>+G12/C13</f>
        <v>0.65974598364491188</v>
      </c>
    </row>
    <row r="19" spans="1:11" ht="16.5" customHeight="1" x14ac:dyDescent="0.5">
      <c r="A19" s="43">
        <f>ROW()</f>
        <v>19</v>
      </c>
      <c r="B19" s="47" t="s">
        <v>47</v>
      </c>
      <c r="D19" s="53">
        <f>+C11/C14</f>
        <v>-0.25952626158599384</v>
      </c>
      <c r="F19" s="47" t="s">
        <v>62</v>
      </c>
      <c r="G19" s="61">
        <f>+G12/C11</f>
        <v>-117.495</v>
      </c>
    </row>
    <row r="20" spans="1:11" ht="16.5" customHeight="1" x14ac:dyDescent="0.5">
      <c r="A20" s="43">
        <f>ROW()</f>
        <v>20</v>
      </c>
      <c r="B20" s="47" t="s">
        <v>49</v>
      </c>
      <c r="D20" s="53">
        <f>+C11/C13</f>
        <v>-5.615098375632256E-3</v>
      </c>
      <c r="F20" s="47" t="s">
        <v>63</v>
      </c>
      <c r="G20" s="61">
        <f>+G12/C9</f>
        <v>0.44591475903614458</v>
      </c>
    </row>
    <row r="21" spans="1:11" ht="16.5" customHeight="1" x14ac:dyDescent="0.5">
      <c r="A21" s="43">
        <f>ROW()</f>
        <v>21</v>
      </c>
      <c r="B21" s="47" t="s">
        <v>52</v>
      </c>
      <c r="D21" s="56">
        <f>+C14/G10</f>
        <v>0.30772643721873616</v>
      </c>
      <c r="F21" s="47" t="s">
        <v>64</v>
      </c>
      <c r="G21" s="61">
        <f>+G12/C10</f>
        <v>6.2997319148936173</v>
      </c>
    </row>
    <row r="22" spans="1:11" ht="16.5" customHeight="1" x14ac:dyDescent="0.5">
      <c r="A22" s="43">
        <f>ROW()</f>
        <v>22</v>
      </c>
      <c r="B22" s="47"/>
      <c r="C22" s="54"/>
      <c r="D22" s="52"/>
      <c r="F22" s="47"/>
    </row>
    <row r="23" spans="1:11" ht="16.5" customHeight="1" x14ac:dyDescent="0.5">
      <c r="A23" s="43">
        <f>ROW()</f>
        <v>23</v>
      </c>
      <c r="B23" s="47"/>
      <c r="C23" s="54"/>
      <c r="D23" s="52"/>
      <c r="F23" s="47"/>
    </row>
    <row r="24" spans="1:11" ht="8.1" customHeight="1" x14ac:dyDescent="0.5">
      <c r="A24" s="43">
        <f>ROW()</f>
        <v>24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16.5" customHeight="1" x14ac:dyDescent="0.5">
      <c r="A25" s="43">
        <f>ROW()</f>
        <v>25</v>
      </c>
      <c r="I25" s="7"/>
    </row>
    <row r="26" spans="1:11" ht="7.7" customHeight="1" x14ac:dyDescent="0.5">
      <c r="A26" s="43">
        <f>ROW()</f>
        <v>26</v>
      </c>
      <c r="I26" s="7"/>
    </row>
    <row r="27" spans="1:11" ht="16.5" customHeight="1" x14ac:dyDescent="0.5">
      <c r="A27" s="43">
        <f>ROW()</f>
        <v>27</v>
      </c>
      <c r="E27" s="7"/>
      <c r="I27" s="7"/>
    </row>
    <row r="28" spans="1:11" ht="16.5" customHeight="1" x14ac:dyDescent="0.5">
      <c r="A28" s="43">
        <f>ROW()</f>
        <v>28</v>
      </c>
      <c r="E28" s="7"/>
    </row>
    <row r="29" spans="1:11" ht="16.5" customHeight="1" x14ac:dyDescent="0.5">
      <c r="A29" s="43">
        <f>ROW()</f>
        <v>29</v>
      </c>
      <c r="E29" s="7"/>
    </row>
    <row r="30" spans="1:11" ht="16.5" customHeight="1" x14ac:dyDescent="0.5">
      <c r="A30" s="43">
        <f>ROW()</f>
        <v>30</v>
      </c>
      <c r="E30" s="7"/>
    </row>
    <row r="31" spans="1:11" ht="16.5" customHeight="1" x14ac:dyDescent="0.5">
      <c r="A31" s="43">
        <f>ROW()</f>
        <v>31</v>
      </c>
      <c r="E31" s="7"/>
    </row>
    <row r="32" spans="1:11" ht="16.5" customHeight="1" x14ac:dyDescent="0.5">
      <c r="A32" s="43">
        <f>ROW()</f>
        <v>32</v>
      </c>
      <c r="E32" s="7"/>
    </row>
    <row r="33" spans="1:9" ht="16.5" customHeight="1" x14ac:dyDescent="0.5">
      <c r="A33" s="43">
        <f>ROW()</f>
        <v>33</v>
      </c>
      <c r="E33" s="7"/>
    </row>
    <row r="34" spans="1:9" ht="16.5" customHeight="1" x14ac:dyDescent="0.5">
      <c r="A34" s="43">
        <f>ROW()</f>
        <v>34</v>
      </c>
      <c r="E34" s="7"/>
    </row>
    <row r="35" spans="1:9" ht="16.5" customHeight="1" x14ac:dyDescent="0.5">
      <c r="A35" s="43">
        <f>ROW()</f>
        <v>35</v>
      </c>
      <c r="E35" s="7"/>
    </row>
    <row r="36" spans="1:9" ht="16.5" customHeight="1" x14ac:dyDescent="0.5">
      <c r="A36" s="43">
        <f>ROW()</f>
        <v>36</v>
      </c>
      <c r="E36" s="7"/>
    </row>
    <row r="37" spans="1:9" ht="16.5" customHeight="1" x14ac:dyDescent="0.5">
      <c r="A37" s="43">
        <f>ROW()</f>
        <v>37</v>
      </c>
      <c r="E37" s="7"/>
    </row>
    <row r="38" spans="1:9" ht="16.5" customHeight="1" x14ac:dyDescent="0.5">
      <c r="A38" s="43">
        <f>ROW()</f>
        <v>38</v>
      </c>
      <c r="E38" s="7"/>
    </row>
    <row r="39" spans="1:9" ht="16.5" customHeight="1" x14ac:dyDescent="0.5">
      <c r="A39" s="43">
        <f>ROW()</f>
        <v>39</v>
      </c>
      <c r="E39" s="62"/>
    </row>
    <row r="40" spans="1:9" ht="16.5" customHeight="1" x14ac:dyDescent="0.5"/>
    <row r="41" spans="1:9" ht="16.5" customHeight="1" x14ac:dyDescent="0.6">
      <c r="B41" s="44"/>
      <c r="C41" s="45"/>
      <c r="I41" s="7"/>
    </row>
    <row r="42" spans="1:9" ht="16.5" customHeight="1" x14ac:dyDescent="0.5"/>
    <row r="43" spans="1:9" ht="16.5" customHeight="1" x14ac:dyDescent="0.5"/>
    <row r="44" spans="1:9" ht="16.5" customHeight="1" x14ac:dyDescent="0.5"/>
    <row r="45" spans="1:9" ht="9" customHeight="1" x14ac:dyDescent="0.5"/>
    <row r="46" spans="1:9" ht="16.5" customHeight="1" x14ac:dyDescent="0.5"/>
    <row r="47" spans="1:9" ht="9.6" customHeight="1" x14ac:dyDescent="0.5"/>
    <row r="48" spans="1:9" ht="16.5" customHeight="1" x14ac:dyDescent="0.5"/>
    <row r="49" ht="16.5" customHeight="1" x14ac:dyDescent="0.5"/>
    <row r="50" ht="16.5" customHeight="1" x14ac:dyDescent="0.5"/>
    <row r="51" ht="16.5" customHeight="1" x14ac:dyDescent="0.5"/>
    <row r="52" ht="16.5" customHeight="1" x14ac:dyDescent="0.5"/>
    <row r="53" ht="16.5" customHeight="1" x14ac:dyDescent="0.5"/>
    <row r="54" ht="7.95" customHeight="1" x14ac:dyDescent="0.5"/>
    <row r="55" ht="16.5" customHeight="1" x14ac:dyDescent="0.5"/>
    <row r="56" ht="16.5" customHeight="1" x14ac:dyDescent="0.5"/>
    <row r="101" spans="1:14" x14ac:dyDescent="0.5">
      <c r="A101" s="43">
        <f>ROW()</f>
        <v>101</v>
      </c>
      <c r="B101" s="7"/>
      <c r="C101" s="7"/>
    </row>
    <row r="106" spans="1:14" x14ac:dyDescent="0.5">
      <c r="M106" t="s">
        <v>181</v>
      </c>
      <c r="N106" s="235">
        <f>+'Summary Val'!H8</f>
        <v>3.1</v>
      </c>
    </row>
    <row r="107" spans="1:14" x14ac:dyDescent="0.5">
      <c r="M107" t="s">
        <v>182</v>
      </c>
      <c r="N107" s="235">
        <f>+'Summary Val'!H10</f>
        <v>3.0337504740235115</v>
      </c>
    </row>
    <row r="108" spans="1:14" x14ac:dyDescent="0.5">
      <c r="M108" t="s">
        <v>183</v>
      </c>
      <c r="N108" s="235">
        <f>+'Method #3'!C11</f>
        <v>0</v>
      </c>
    </row>
    <row r="109" spans="1:14" x14ac:dyDescent="0.5">
      <c r="M109" t="s">
        <v>184</v>
      </c>
      <c r="N109" s="235">
        <f>+'Summary Val'!H12</f>
        <v>1.6076276137080574</v>
      </c>
    </row>
    <row r="110" spans="1:14" x14ac:dyDescent="0.5">
      <c r="M110" t="s">
        <v>185</v>
      </c>
      <c r="N110" s="235">
        <f>+'Summary Val'!H13</f>
        <v>3.0424867394688322</v>
      </c>
    </row>
    <row r="111" spans="1:14" x14ac:dyDescent="0.5">
      <c r="M111" t="s">
        <v>186</v>
      </c>
      <c r="N111" s="235">
        <f>+'Summary Val'!H14</f>
        <v>5.0273767800871871</v>
      </c>
    </row>
    <row r="120" spans="1:9" x14ac:dyDescent="0.5">
      <c r="A120" s="43">
        <f>ROW()</f>
        <v>120</v>
      </c>
    </row>
    <row r="121" spans="1:9" x14ac:dyDescent="0.5">
      <c r="A121" s="236"/>
    </row>
    <row r="123" spans="1:9" x14ac:dyDescent="0.5">
      <c r="D123" s="93"/>
      <c r="F123" s="93"/>
      <c r="G123" s="93"/>
      <c r="H123" s="93"/>
      <c r="I123" s="93"/>
    </row>
    <row r="124" spans="1:9" x14ac:dyDescent="0.5">
      <c r="D124" s="93"/>
      <c r="F124" s="93"/>
      <c r="G124" s="93"/>
      <c r="H124" s="93"/>
      <c r="I124" s="93"/>
    </row>
    <row r="125" spans="1:9" x14ac:dyDescent="0.5">
      <c r="D125" s="93"/>
      <c r="F125" s="93"/>
      <c r="G125" s="93"/>
      <c r="H125" s="93"/>
      <c r="I125" s="93"/>
    </row>
    <row r="126" spans="1:9" x14ac:dyDescent="0.5">
      <c r="D126" s="93"/>
      <c r="F126" s="93"/>
      <c r="G126" s="93"/>
      <c r="H126" s="93"/>
      <c r="I126" s="93"/>
    </row>
    <row r="127" spans="1:9" x14ac:dyDescent="0.5">
      <c r="D127" s="93"/>
      <c r="F127" s="93"/>
      <c r="G127" s="93"/>
      <c r="H127" s="93"/>
      <c r="I127" s="93"/>
    </row>
    <row r="128" spans="1:9" x14ac:dyDescent="0.5">
      <c r="D128" s="93"/>
      <c r="F128" s="93"/>
    </row>
    <row r="129" spans="4:4" x14ac:dyDescent="0.5">
      <c r="D129" s="93"/>
    </row>
    <row r="130" spans="4:4" x14ac:dyDescent="0.5">
      <c r="D130" s="93"/>
    </row>
    <row r="131" spans="4:4" x14ac:dyDescent="0.5">
      <c r="D131" s="93"/>
    </row>
    <row r="132" spans="4:4" x14ac:dyDescent="0.5">
      <c r="D132" s="93"/>
    </row>
    <row r="133" spans="4:4" x14ac:dyDescent="0.5">
      <c r="D133" s="93"/>
    </row>
    <row r="134" spans="4:4" x14ac:dyDescent="0.5">
      <c r="D134" s="93"/>
    </row>
    <row r="135" spans="4:4" x14ac:dyDescent="0.5">
      <c r="D135" s="93"/>
    </row>
    <row r="136" spans="4:4" x14ac:dyDescent="0.5">
      <c r="D136" s="93"/>
    </row>
    <row r="137" spans="4:4" x14ac:dyDescent="0.5">
      <c r="D137" s="93"/>
    </row>
    <row r="138" spans="4:4" x14ac:dyDescent="0.5">
      <c r="D138" s="93"/>
    </row>
    <row r="139" spans="4:4" x14ac:dyDescent="0.5">
      <c r="D139" s="93"/>
    </row>
    <row r="140" spans="4:4" x14ac:dyDescent="0.5">
      <c r="D140" s="93"/>
    </row>
    <row r="141" spans="4:4" x14ac:dyDescent="0.5">
      <c r="D141" s="93"/>
    </row>
    <row r="142" spans="4:4" x14ac:dyDescent="0.5">
      <c r="D142" s="93"/>
    </row>
    <row r="143" spans="4:4" x14ac:dyDescent="0.5">
      <c r="D143" s="93"/>
    </row>
    <row r="144" spans="4:4" x14ac:dyDescent="0.5">
      <c r="D144" s="93"/>
    </row>
    <row r="145" spans="4:4" x14ac:dyDescent="0.5">
      <c r="D145" s="93"/>
    </row>
    <row r="146" spans="4:4" x14ac:dyDescent="0.5">
      <c r="D146" s="93"/>
    </row>
    <row r="147" spans="4:4" x14ac:dyDescent="0.5">
      <c r="D147" s="93"/>
    </row>
    <row r="148" spans="4:4" x14ac:dyDescent="0.5">
      <c r="D148" s="93"/>
    </row>
    <row r="149" spans="4:4" x14ac:dyDescent="0.5">
      <c r="D149" s="93"/>
    </row>
    <row r="150" spans="4:4" x14ac:dyDescent="0.5">
      <c r="D150" s="93"/>
    </row>
    <row r="151" spans="4:4" x14ac:dyDescent="0.5">
      <c r="D151" s="93"/>
    </row>
    <row r="152" spans="4:4" x14ac:dyDescent="0.5">
      <c r="D152" s="93"/>
    </row>
    <row r="153" spans="4:4" x14ac:dyDescent="0.5">
      <c r="D153" s="93"/>
    </row>
    <row r="154" spans="4:4" x14ac:dyDescent="0.5">
      <c r="D154" s="93"/>
    </row>
    <row r="155" spans="4:4" x14ac:dyDescent="0.5">
      <c r="D155" s="93"/>
    </row>
    <row r="156" spans="4:4" x14ac:dyDescent="0.5">
      <c r="D156" s="93"/>
    </row>
    <row r="157" spans="4:4" x14ac:dyDescent="0.5">
      <c r="D157" s="93"/>
    </row>
    <row r="158" spans="4:4" x14ac:dyDescent="0.5">
      <c r="D158" s="9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5C64-13F8-4258-BBEA-BDF899984654}">
  <dimension ref="A1:J20"/>
  <sheetViews>
    <sheetView showGridLines="0" tabSelected="1" workbookViewId="0">
      <selection activeCell="L11" sqref="L11"/>
    </sheetView>
  </sheetViews>
  <sheetFormatPr defaultRowHeight="14.35" x14ac:dyDescent="0.5"/>
  <cols>
    <col min="1" max="1" width="3.8203125" customWidth="1"/>
    <col min="2" max="2" width="50.76171875" customWidth="1"/>
    <col min="3" max="7" width="12.17578125" customWidth="1"/>
    <col min="8" max="8" width="9.703125" customWidth="1"/>
  </cols>
  <sheetData>
    <row r="1" spans="1:10" ht="20" x14ac:dyDescent="0.6">
      <c r="A1" s="43"/>
      <c r="B1" s="44" t="str">
        <f>+'Method #1'!B1</f>
        <v>AK Steel Holding Corp. (AKS)</v>
      </c>
      <c r="C1" s="45"/>
      <c r="J1" s="7"/>
    </row>
    <row r="2" spans="1:10" ht="10.5" customHeight="1" x14ac:dyDescent="0.5">
      <c r="A2" s="43"/>
      <c r="B2" s="46" t="s">
        <v>42</v>
      </c>
      <c r="C2" s="45"/>
      <c r="J2" s="7"/>
    </row>
    <row r="3" spans="1:10" ht="10.5" customHeight="1" x14ac:dyDescent="0.5">
      <c r="A3" s="43"/>
      <c r="B3" s="46"/>
      <c r="C3" s="45"/>
      <c r="J3" s="7"/>
    </row>
    <row r="4" spans="1:10" ht="15.7" thickBot="1" x14ac:dyDescent="0.55000000000000004">
      <c r="B4" s="63" t="s">
        <v>65</v>
      </c>
      <c r="C4" s="64"/>
      <c r="D4" s="65"/>
      <c r="E4" s="65"/>
      <c r="F4" s="65"/>
      <c r="G4" s="65"/>
      <c r="H4" s="65"/>
    </row>
    <row r="5" spans="1:10" ht="26.35" thickBot="1" x14ac:dyDescent="0.55000000000000004">
      <c r="B5" s="16"/>
      <c r="C5" s="66" t="s">
        <v>66</v>
      </c>
      <c r="D5" s="66" t="s">
        <v>67</v>
      </c>
      <c r="E5" s="66" t="s">
        <v>68</v>
      </c>
      <c r="F5" s="382" t="s">
        <v>354</v>
      </c>
      <c r="G5" s="382" t="s">
        <v>353</v>
      </c>
      <c r="H5" s="109" t="s">
        <v>69</v>
      </c>
    </row>
    <row r="6" spans="1:10" x14ac:dyDescent="0.5">
      <c r="B6" s="67" t="s">
        <v>70</v>
      </c>
      <c r="C6" s="33">
        <f>+F6+D6-E6</f>
        <v>2079800</v>
      </c>
      <c r="D6" s="33">
        <f>+D8</f>
        <v>2030000</v>
      </c>
      <c r="E6" s="33">
        <f>+E8</f>
        <v>47300</v>
      </c>
      <c r="F6" s="33">
        <f>+INPUT!C14</f>
        <v>97100</v>
      </c>
      <c r="G6" s="33">
        <f>+G8</f>
        <v>315540</v>
      </c>
      <c r="H6" s="68">
        <f>+F6/G6</f>
        <v>0.30772643721873616</v>
      </c>
    </row>
    <row r="7" spans="1:10" x14ac:dyDescent="0.5">
      <c r="B7" s="67"/>
      <c r="C7" s="33"/>
      <c r="D7" s="33"/>
      <c r="E7" s="33"/>
      <c r="F7" s="33"/>
      <c r="G7" s="33"/>
      <c r="H7" s="68"/>
    </row>
    <row r="8" spans="1:10" x14ac:dyDescent="0.5">
      <c r="B8" s="69" t="s">
        <v>71</v>
      </c>
      <c r="C8" s="70">
        <f>+'Method #1'!I10</f>
        <v>2960874</v>
      </c>
      <c r="D8" s="70">
        <f>+'Method #1'!G10</f>
        <v>2030000</v>
      </c>
      <c r="E8" s="70">
        <f>+'Method #4'!$H$15</f>
        <v>47300</v>
      </c>
      <c r="F8" s="70">
        <f>+C8-D8+E8</f>
        <v>978174</v>
      </c>
      <c r="G8" s="70">
        <f>+'Method #1'!$E$10</f>
        <v>315540</v>
      </c>
      <c r="H8" s="71">
        <f>+F8/G8</f>
        <v>3.1</v>
      </c>
    </row>
    <row r="9" spans="1:10" x14ac:dyDescent="0.5">
      <c r="B9" s="67"/>
      <c r="C9" s="33"/>
      <c r="D9" s="33"/>
      <c r="E9" s="33"/>
      <c r="F9" s="33"/>
      <c r="G9" s="33"/>
      <c r="H9" s="68"/>
    </row>
    <row r="10" spans="1:10" x14ac:dyDescent="0.5">
      <c r="B10" s="67" t="s">
        <v>72</v>
      </c>
      <c r="C10" s="33">
        <f>+F10+D10-E10</f>
        <v>2939969.6245733788</v>
      </c>
      <c r="D10" s="33">
        <f>+D8</f>
        <v>2030000</v>
      </c>
      <c r="E10" s="33">
        <f>+E8</f>
        <v>47300</v>
      </c>
      <c r="F10" s="33">
        <f>+H10*G10</f>
        <v>957269.62457337882</v>
      </c>
      <c r="G10" s="33">
        <f>+G8</f>
        <v>315540</v>
      </c>
      <c r="H10" s="68">
        <f>+'Method #2'!G13</f>
        <v>3.0337504740235115</v>
      </c>
    </row>
    <row r="11" spans="1:10" x14ac:dyDescent="0.5">
      <c r="B11" s="67" t="s">
        <v>73</v>
      </c>
      <c r="C11" s="33">
        <f>+F11+D11-E11</f>
        <v>1982700</v>
      </c>
      <c r="D11" s="33">
        <f>+D10</f>
        <v>2030000</v>
      </c>
      <c r="E11" s="33">
        <f>+E10</f>
        <v>47300</v>
      </c>
      <c r="F11" s="33">
        <f>+G11*H11</f>
        <v>0</v>
      </c>
      <c r="G11" s="33">
        <f>+G10</f>
        <v>315540</v>
      </c>
      <c r="H11" s="68">
        <f>+'Method #3'!C11</f>
        <v>0</v>
      </c>
    </row>
    <row r="12" spans="1:10" x14ac:dyDescent="0.5">
      <c r="B12" s="72" t="s">
        <v>74</v>
      </c>
      <c r="C12" s="73">
        <f>+'Method #4'!C19</f>
        <v>2489970.8172294404</v>
      </c>
      <c r="D12" s="33">
        <f>+D8</f>
        <v>2030000</v>
      </c>
      <c r="E12" s="33">
        <f>+'Method #4'!$H$15</f>
        <v>47300</v>
      </c>
      <c r="F12" s="33">
        <f>+C12-D12+E12</f>
        <v>507270.81722944044</v>
      </c>
      <c r="G12" s="33">
        <f>+'Method #1'!$E$10</f>
        <v>315540</v>
      </c>
      <c r="H12" s="68">
        <f>+F12/G12</f>
        <v>1.6076276137080574</v>
      </c>
    </row>
    <row r="13" spans="1:10" x14ac:dyDescent="0.5">
      <c r="B13" s="72" t="s">
        <v>75</v>
      </c>
      <c r="C13" s="73">
        <f>+'Method #5'!C16</f>
        <v>2942726.2657719953</v>
      </c>
      <c r="D13" s="33">
        <f>+D8</f>
        <v>2030000</v>
      </c>
      <c r="E13" s="33">
        <f>+'Method #4'!$H$15</f>
        <v>47300</v>
      </c>
      <c r="F13" s="33">
        <f>+C13-D13+E13</f>
        <v>960026.2657719953</v>
      </c>
      <c r="G13" s="33">
        <f>+'Method #1'!$E$10</f>
        <v>315540</v>
      </c>
      <c r="H13" s="68">
        <f>+F13/G13</f>
        <v>3.0424867394688322</v>
      </c>
    </row>
    <row r="14" spans="1:10" ht="14.7" thickBot="1" x14ac:dyDescent="0.55000000000000004">
      <c r="B14" s="310" t="s">
        <v>76</v>
      </c>
      <c r="C14" s="311">
        <f>+'Method #6'!E43</f>
        <v>3569038.4691887111</v>
      </c>
      <c r="D14" s="311">
        <f>+D8</f>
        <v>2030000</v>
      </c>
      <c r="E14" s="311">
        <f>+'Method #4'!$H$15</f>
        <v>47300</v>
      </c>
      <c r="F14" s="311">
        <f>+C14-D14+E14</f>
        <v>1586338.4691887111</v>
      </c>
      <c r="G14" s="311">
        <f>+'Method #1'!$E$10</f>
        <v>315540</v>
      </c>
      <c r="H14" s="312">
        <f>+F14/G14</f>
        <v>5.0273767800871871</v>
      </c>
      <c r="I14" s="385" t="s">
        <v>190</v>
      </c>
    </row>
    <row r="15" spans="1:10" ht="14.7" thickBot="1" x14ac:dyDescent="0.55000000000000004">
      <c r="B15" s="310" t="s">
        <v>230</v>
      </c>
      <c r="C15" s="311">
        <f>+'Method#7b'!E49</f>
        <v>3339058.9699494177</v>
      </c>
      <c r="D15" s="311">
        <f>+D14</f>
        <v>2030000</v>
      </c>
      <c r="E15" s="311">
        <f>+'Method #4'!$H$15</f>
        <v>47300</v>
      </c>
      <c r="F15" s="311">
        <f>+C15-D15+E15</f>
        <v>1356358.9699494177</v>
      </c>
      <c r="G15" s="311">
        <f>+'Method #1'!$E$10</f>
        <v>315540</v>
      </c>
      <c r="H15" s="312">
        <f>+F15/G15</f>
        <v>4.2985325789104953</v>
      </c>
      <c r="I15" s="384">
        <f>+H15/H8-1</f>
        <v>0.38662341255177268</v>
      </c>
    </row>
    <row r="16" spans="1:10" x14ac:dyDescent="0.5">
      <c r="B16" s="16"/>
      <c r="C16" s="35"/>
      <c r="D16" s="35"/>
      <c r="E16" s="35"/>
      <c r="F16" s="35"/>
      <c r="G16" s="35"/>
      <c r="H16" s="74"/>
    </row>
    <row r="17" spans="2:8" ht="14.7" thickBot="1" x14ac:dyDescent="0.55000000000000004">
      <c r="B17" s="75" t="s">
        <v>77</v>
      </c>
      <c r="C17" s="76">
        <f>AVERAGE(C8:C14)</f>
        <v>2814213.1961272545</v>
      </c>
      <c r="D17" s="76">
        <f>AVERAGE(D8:D14)</f>
        <v>2030000</v>
      </c>
      <c r="E17" s="76">
        <f>AVERAGE(E8:E14)</f>
        <v>47300</v>
      </c>
      <c r="F17" s="76">
        <f>AVERAGE(F8:F14)</f>
        <v>831513.19612725417</v>
      </c>
      <c r="G17" s="76"/>
      <c r="H17" s="77">
        <f>AVERAGE(H5:H15)</f>
        <v>2.5521875779271026</v>
      </c>
    </row>
    <row r="18" spans="2:8" ht="15" thickTop="1" thickBot="1" x14ac:dyDescent="0.55000000000000004">
      <c r="B18" s="39"/>
      <c r="C18" s="40"/>
      <c r="D18" s="40"/>
      <c r="E18" s="40"/>
      <c r="F18" s="40"/>
      <c r="G18" s="40"/>
      <c r="H18" s="42"/>
    </row>
    <row r="20" spans="2:8" ht="17.7" x14ac:dyDescent="0.55000000000000004">
      <c r="B20" s="48" t="s">
        <v>55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02C5-ED3C-421E-899E-213AFEE06D08}">
  <dimension ref="B1:L36"/>
  <sheetViews>
    <sheetView showGridLines="0" workbookViewId="0">
      <selection activeCell="D26" sqref="D26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2.234375" bestFit="1" customWidth="1"/>
    <col min="6" max="6" width="4.17578125" customWidth="1"/>
    <col min="7" max="9" width="10.234375" customWidth="1"/>
    <col min="10" max="10" width="12.05859375" customWidth="1"/>
    <col min="11" max="11" width="10.234375" customWidth="1"/>
    <col min="12" max="12" width="4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1" spans="2:12" ht="14.7" thickBot="1" x14ac:dyDescent="0.55000000000000004"/>
    <row r="2" spans="2:12" ht="20" x14ac:dyDescent="0.6">
      <c r="B2" s="1" t="s">
        <v>0</v>
      </c>
      <c r="C2" s="2"/>
      <c r="D2" s="2"/>
      <c r="E2" s="2"/>
      <c r="F2" s="3"/>
      <c r="G2" s="3"/>
      <c r="H2" s="3"/>
      <c r="I2" s="3"/>
      <c r="J2" s="3"/>
      <c r="K2" s="3"/>
      <c r="L2" s="4"/>
    </row>
    <row r="3" spans="2:12" ht="15.35" x14ac:dyDescent="0.5">
      <c r="B3" s="5" t="s">
        <v>1</v>
      </c>
      <c r="C3" s="6"/>
      <c r="D3" s="6"/>
      <c r="E3" s="6"/>
      <c r="F3" s="7"/>
      <c r="G3" s="7"/>
      <c r="H3" s="7"/>
      <c r="I3" s="7"/>
      <c r="J3" s="7"/>
      <c r="K3" s="7"/>
      <c r="L3" s="8"/>
    </row>
    <row r="4" spans="2:12" x14ac:dyDescent="0.5">
      <c r="B4" s="9"/>
      <c r="C4" s="6"/>
      <c r="D4" s="6"/>
      <c r="E4" s="6"/>
      <c r="F4" s="7"/>
      <c r="G4" s="383" t="s">
        <v>2</v>
      </c>
      <c r="H4" s="383"/>
      <c r="I4" s="383"/>
      <c r="J4" s="383"/>
      <c r="K4" s="383"/>
      <c r="L4" s="8"/>
    </row>
    <row r="5" spans="2:12" x14ac:dyDescent="0.5">
      <c r="B5" s="9"/>
      <c r="C5" s="6"/>
      <c r="D5" s="6"/>
      <c r="E5" s="6"/>
      <c r="F5" s="7"/>
      <c r="G5" s="10"/>
      <c r="H5" s="10"/>
      <c r="I5" s="10"/>
      <c r="J5" s="11" t="s">
        <v>3</v>
      </c>
      <c r="K5" s="10"/>
      <c r="L5" s="8"/>
    </row>
    <row r="6" spans="2:12" ht="15.35" x14ac:dyDescent="0.5">
      <c r="B6" s="5"/>
      <c r="C6" s="6"/>
      <c r="D6" s="13" t="s">
        <v>231</v>
      </c>
      <c r="E6" s="13" t="s">
        <v>4</v>
      </c>
      <c r="F6" s="7"/>
      <c r="G6" s="14" t="s">
        <v>5</v>
      </c>
      <c r="H6" s="14" t="s">
        <v>6</v>
      </c>
      <c r="I6" s="14" t="s">
        <v>7</v>
      </c>
      <c r="J6" s="15" t="s">
        <v>8</v>
      </c>
      <c r="K6" s="14" t="s">
        <v>9</v>
      </c>
      <c r="L6" s="8"/>
    </row>
    <row r="7" spans="2:12" x14ac:dyDescent="0.5">
      <c r="B7" s="16" t="s">
        <v>10</v>
      </c>
      <c r="C7" s="7"/>
      <c r="D7" s="17">
        <v>960000</v>
      </c>
      <c r="E7" s="17">
        <v>1110000</v>
      </c>
      <c r="G7" s="17">
        <v>1228140</v>
      </c>
      <c r="H7" s="17">
        <v>1344199.848</v>
      </c>
      <c r="I7" s="17">
        <v>1442918.9540652002</v>
      </c>
      <c r="J7" s="18">
        <v>1529267.7156714478</v>
      </c>
      <c r="K7" s="17">
        <v>1605161.4860476251</v>
      </c>
      <c r="L7" s="8"/>
    </row>
    <row r="8" spans="2:12" x14ac:dyDescent="0.5">
      <c r="B8" s="16" t="s">
        <v>11</v>
      </c>
      <c r="C8" s="7"/>
      <c r="D8" s="17">
        <v>-345000</v>
      </c>
      <c r="E8" s="17">
        <v>-420000</v>
      </c>
      <c r="G8" s="17">
        <v>-463078.2</v>
      </c>
      <c r="H8" s="17">
        <v>-506823.33804</v>
      </c>
      <c r="I8" s="17">
        <v>-544053.13711893605</v>
      </c>
      <c r="J8" s="18">
        <v>-576709.25695468695</v>
      </c>
      <c r="K8" s="17">
        <v>-605474.36387137498</v>
      </c>
      <c r="L8" s="8"/>
    </row>
    <row r="9" spans="2:12" x14ac:dyDescent="0.5">
      <c r="B9" s="16" t="s">
        <v>12</v>
      </c>
      <c r="C9" s="7"/>
      <c r="D9" s="19">
        <v>-230000</v>
      </c>
      <c r="E9" s="19">
        <v>-257000</v>
      </c>
      <c r="G9" s="19">
        <v>-271501.2</v>
      </c>
      <c r="H9" s="19">
        <v>-289448.48784000002</v>
      </c>
      <c r="I9" s="19">
        <v>-306441.64132521598</v>
      </c>
      <c r="J9" s="20">
        <v>-322899.94850371598</v>
      </c>
      <c r="K9" s="19">
        <v>-338999.37669631001</v>
      </c>
      <c r="L9" s="8"/>
    </row>
    <row r="10" spans="2:12" x14ac:dyDescent="0.5">
      <c r="B10" s="21" t="s">
        <v>13</v>
      </c>
      <c r="C10" s="22"/>
      <c r="D10" s="23">
        <f>SUM(D7:D9)</f>
        <v>385000</v>
      </c>
      <c r="E10" s="23">
        <f>SUM(E7:E9)</f>
        <v>433000</v>
      </c>
      <c r="F10" s="23"/>
      <c r="G10" s="23">
        <f t="shared" ref="G10:K10" si="0">SUM(G7:G9)</f>
        <v>493560.60000000003</v>
      </c>
      <c r="H10" s="23">
        <f t="shared" si="0"/>
        <v>547928.02211999986</v>
      </c>
      <c r="I10" s="23">
        <f t="shared" si="0"/>
        <v>592424.17562104808</v>
      </c>
      <c r="J10" s="24">
        <f t="shared" si="0"/>
        <v>629658.51021304494</v>
      </c>
      <c r="K10" s="23">
        <f t="shared" si="0"/>
        <v>660687.74547994009</v>
      </c>
      <c r="L10" s="8"/>
    </row>
    <row r="11" spans="2:12" x14ac:dyDescent="0.5">
      <c r="B11" s="16" t="s">
        <v>14</v>
      </c>
      <c r="C11" s="7"/>
      <c r="D11" s="19">
        <v>-60000</v>
      </c>
      <c r="E11" s="19">
        <v>-65000</v>
      </c>
      <c r="F11" s="17"/>
      <c r="G11" s="19">
        <v>-73688.399999999994</v>
      </c>
      <c r="H11" s="19">
        <v>-80651.990879999998</v>
      </c>
      <c r="I11" s="19">
        <v>-86575.137243912002</v>
      </c>
      <c r="J11" s="20">
        <v>-91756.062940286865</v>
      </c>
      <c r="K11" s="19">
        <v>-96309.689162857496</v>
      </c>
      <c r="L11" s="8"/>
    </row>
    <row r="12" spans="2:12" x14ac:dyDescent="0.5">
      <c r="B12" s="21" t="s">
        <v>15</v>
      </c>
      <c r="C12" s="22"/>
      <c r="D12" s="17">
        <f>+D10+D11</f>
        <v>325000</v>
      </c>
      <c r="E12" s="17">
        <f>+E10+E11</f>
        <v>368000</v>
      </c>
      <c r="F12" s="23"/>
      <c r="G12" s="23">
        <f t="shared" ref="G12:K12" si="1">+G10+G11</f>
        <v>419872.20000000007</v>
      </c>
      <c r="H12" s="23">
        <f t="shared" si="1"/>
        <v>467276.03123999987</v>
      </c>
      <c r="I12" s="23">
        <f t="shared" si="1"/>
        <v>505849.03837713611</v>
      </c>
      <c r="J12" s="24">
        <f t="shared" si="1"/>
        <v>537902.44727275812</v>
      </c>
      <c r="K12" s="23">
        <f t="shared" si="1"/>
        <v>564378.05631708261</v>
      </c>
      <c r="L12" s="8"/>
    </row>
    <row r="13" spans="2:12" x14ac:dyDescent="0.5">
      <c r="B13" s="16" t="s">
        <v>17</v>
      </c>
      <c r="C13" s="7"/>
      <c r="D13" s="17"/>
      <c r="E13" s="17"/>
      <c r="F13" s="17"/>
      <c r="G13" s="19">
        <v>-129768.88</v>
      </c>
      <c r="H13" s="19">
        <v>-147070.412496</v>
      </c>
      <c r="I13" s="19">
        <v>-156959.615350854</v>
      </c>
      <c r="J13" s="20">
        <v>-158460.978909103</v>
      </c>
      <c r="K13" s="19">
        <v>-162851.22252683301</v>
      </c>
      <c r="L13" s="8"/>
    </row>
    <row r="14" spans="2:12" x14ac:dyDescent="0.5">
      <c r="B14" s="21" t="s">
        <v>18</v>
      </c>
      <c r="C14" s="22"/>
      <c r="D14" s="17"/>
      <c r="E14" s="17"/>
      <c r="F14" s="23"/>
      <c r="G14" s="23">
        <f>+G12+G13</f>
        <v>290103.32000000007</v>
      </c>
      <c r="H14" s="23">
        <f t="shared" ref="H14:K14" si="2">+H12+H13</f>
        <v>320205.61874399986</v>
      </c>
      <c r="I14" s="23">
        <f t="shared" si="2"/>
        <v>348889.42302628211</v>
      </c>
      <c r="J14" s="24">
        <f t="shared" si="2"/>
        <v>379441.46836365515</v>
      </c>
      <c r="K14" s="23">
        <f t="shared" si="2"/>
        <v>401526.8337902496</v>
      </c>
      <c r="L14" s="8"/>
    </row>
    <row r="15" spans="2:12" x14ac:dyDescent="0.5">
      <c r="B15" s="16" t="s">
        <v>19</v>
      </c>
      <c r="C15" s="7"/>
      <c r="D15" s="17"/>
      <c r="E15" s="17"/>
      <c r="F15" s="17"/>
      <c r="G15" s="17">
        <f>-G11</f>
        <v>73688.399999999994</v>
      </c>
      <c r="H15" s="17">
        <f t="shared" ref="H15:K15" si="3">-H11</f>
        <v>80651.990879999998</v>
      </c>
      <c r="I15" s="17">
        <f t="shared" si="3"/>
        <v>86575.137243912002</v>
      </c>
      <c r="J15" s="18">
        <f t="shared" si="3"/>
        <v>91756.062940286865</v>
      </c>
      <c r="K15" s="17">
        <f t="shared" si="3"/>
        <v>96309.689162857496</v>
      </c>
      <c r="L15" s="8"/>
    </row>
    <row r="16" spans="2:12" x14ac:dyDescent="0.5">
      <c r="B16" s="16" t="s">
        <v>20</v>
      </c>
      <c r="C16" s="7"/>
      <c r="D16" s="17"/>
      <c r="E16" s="17"/>
      <c r="F16" s="17"/>
      <c r="G16" s="17">
        <v>2870.189189189201</v>
      </c>
      <c r="H16" s="17">
        <v>-4548.2913405405416</v>
      </c>
      <c r="I16" s="17">
        <v>-3868.7217241767667</v>
      </c>
      <c r="J16" s="18">
        <v>-3383.9379548394299</v>
      </c>
      <c r="K16" s="17">
        <v>-2974.2153255528992</v>
      </c>
      <c r="L16" s="8"/>
    </row>
    <row r="17" spans="2:12" x14ac:dyDescent="0.5">
      <c r="B17" s="16" t="s">
        <v>21</v>
      </c>
      <c r="C17" s="7"/>
      <c r="D17" s="17"/>
      <c r="E17" s="17"/>
      <c r="F17" s="17"/>
      <c r="G17" s="19">
        <v>-193625.67567567568</v>
      </c>
      <c r="H17" s="19">
        <v>-211923.39945945944</v>
      </c>
      <c r="I17" s="19">
        <v>-227487.22248775678</v>
      </c>
      <c r="J17" s="20">
        <v>-241100.76598423725</v>
      </c>
      <c r="K17" s="19">
        <v>-253066.00005255349</v>
      </c>
      <c r="L17" s="8"/>
    </row>
    <row r="18" spans="2:12" x14ac:dyDescent="0.5">
      <c r="B18" s="21" t="s">
        <v>22</v>
      </c>
      <c r="C18" s="22"/>
      <c r="D18" s="17"/>
      <c r="E18" s="17"/>
      <c r="F18" s="23"/>
      <c r="G18" s="23">
        <f>SUM(G14:G17)</f>
        <v>173036.23351351364</v>
      </c>
      <c r="H18" s="23">
        <f t="shared" ref="H18:K18" si="4">SUM(H14:H17)</f>
        <v>184385.91882399985</v>
      </c>
      <c r="I18" s="23">
        <f t="shared" si="4"/>
        <v>204108.61605826052</v>
      </c>
      <c r="J18" s="24">
        <f t="shared" si="4"/>
        <v>226712.82736486534</v>
      </c>
      <c r="K18" s="23">
        <f t="shared" si="4"/>
        <v>241796.30757500068</v>
      </c>
      <c r="L18" s="8"/>
    </row>
    <row r="19" spans="2:12" x14ac:dyDescent="0.5">
      <c r="B19" s="16" t="s">
        <v>23</v>
      </c>
      <c r="C19" s="7"/>
      <c r="D19" s="17"/>
      <c r="E19" s="17"/>
      <c r="F19" s="17"/>
      <c r="G19" s="17">
        <v>-125450</v>
      </c>
      <c r="H19" s="17">
        <v>-129600</v>
      </c>
      <c r="I19" s="17">
        <v>-153450</v>
      </c>
      <c r="J19" s="18">
        <v>-201750</v>
      </c>
      <c r="K19" s="17">
        <v>-237250</v>
      </c>
      <c r="L19" s="8"/>
    </row>
    <row r="20" spans="2:12" x14ac:dyDescent="0.5">
      <c r="B20" s="21" t="s">
        <v>24</v>
      </c>
      <c r="C20" s="22"/>
      <c r="D20" s="17"/>
      <c r="E20" s="17"/>
      <c r="F20" s="23"/>
      <c r="G20" s="25">
        <f>+G18+G19</f>
        <v>47586.233513513638</v>
      </c>
      <c r="H20" s="25">
        <f t="shared" ref="H20:K20" si="5">+H18+H19</f>
        <v>54785.918823999848</v>
      </c>
      <c r="I20" s="25">
        <f t="shared" si="5"/>
        <v>50658.616058260523</v>
      </c>
      <c r="J20" s="26">
        <f t="shared" si="5"/>
        <v>24962.827364865341</v>
      </c>
      <c r="K20" s="25">
        <f t="shared" si="5"/>
        <v>4546.3075750006828</v>
      </c>
      <c r="L20" s="8"/>
    </row>
    <row r="21" spans="2:12" x14ac:dyDescent="0.5">
      <c r="B21" s="16"/>
      <c r="C21" s="7"/>
      <c r="D21" s="7"/>
      <c r="E21" s="7"/>
      <c r="F21" s="7"/>
      <c r="G21" s="7"/>
      <c r="H21" s="7"/>
      <c r="I21" s="7"/>
      <c r="J21" s="27"/>
      <c r="K21" s="7"/>
      <c r="L21" s="8"/>
    </row>
    <row r="22" spans="2:12" x14ac:dyDescent="0.5">
      <c r="B22" s="28" t="s">
        <v>25</v>
      </c>
      <c r="C22" s="7"/>
      <c r="D22" s="7"/>
      <c r="E22" s="29" t="s">
        <v>26</v>
      </c>
      <c r="F22" s="7"/>
      <c r="G22" s="7"/>
      <c r="H22" s="7"/>
      <c r="I22" s="7"/>
      <c r="J22" s="27"/>
      <c r="K22" s="7"/>
      <c r="L22" s="8"/>
    </row>
    <row r="23" spans="2:12" x14ac:dyDescent="0.5">
      <c r="B23" s="16" t="s">
        <v>27</v>
      </c>
      <c r="C23" s="7"/>
      <c r="D23" s="7"/>
      <c r="E23" s="30" t="s">
        <v>28</v>
      </c>
      <c r="F23" s="314">
        <v>7.5</v>
      </c>
      <c r="G23" s="7"/>
      <c r="H23" s="7"/>
      <c r="I23" s="7"/>
      <c r="J23" s="31">
        <f>+F23*J10</f>
        <v>4722438.8265978368</v>
      </c>
      <c r="K23" s="7"/>
      <c r="L23" s="8"/>
    </row>
    <row r="24" spans="2:12" x14ac:dyDescent="0.5">
      <c r="B24" s="16" t="s">
        <v>29</v>
      </c>
      <c r="C24" s="7"/>
      <c r="D24" s="7"/>
      <c r="E24" s="30" t="s">
        <v>30</v>
      </c>
      <c r="F24" s="313">
        <v>0.1</v>
      </c>
      <c r="G24" s="7"/>
      <c r="H24" s="7"/>
      <c r="I24" s="7"/>
      <c r="J24" s="20">
        <f>+K18/(F24-F25)</f>
        <v>4835926.1515000137</v>
      </c>
      <c r="K24" s="7"/>
      <c r="L24" s="8"/>
    </row>
    <row r="25" spans="2:12" x14ac:dyDescent="0.5">
      <c r="B25" s="16" t="s">
        <v>31</v>
      </c>
      <c r="C25" s="7"/>
      <c r="D25" s="7"/>
      <c r="E25" s="30" t="s">
        <v>32</v>
      </c>
      <c r="F25" s="313">
        <v>0.05</v>
      </c>
      <c r="G25" s="7"/>
      <c r="H25" s="7"/>
      <c r="I25" s="7"/>
      <c r="J25" s="31">
        <f>AVERAGE(J23:J24)</f>
        <v>4779182.4890489252</v>
      </c>
      <c r="K25" s="7"/>
      <c r="L25" s="8"/>
    </row>
    <row r="26" spans="2:12" x14ac:dyDescent="0.5">
      <c r="B26" s="16" t="s">
        <v>33</v>
      </c>
      <c r="C26" s="7"/>
      <c r="D26" s="7"/>
      <c r="E26" s="30"/>
      <c r="F26" s="7"/>
      <c r="G26" s="7"/>
      <c r="H26" s="7"/>
      <c r="I26" s="7"/>
      <c r="J26" s="20">
        <v>-1030000</v>
      </c>
      <c r="K26" s="7"/>
      <c r="L26" s="8"/>
    </row>
    <row r="27" spans="2:12" x14ac:dyDescent="0.5">
      <c r="B27" s="16" t="s">
        <v>34</v>
      </c>
      <c r="C27" s="7"/>
      <c r="D27" s="7"/>
      <c r="E27" s="30"/>
      <c r="F27" s="7"/>
      <c r="G27" s="7"/>
      <c r="H27" s="7"/>
      <c r="I27" s="7"/>
      <c r="J27" s="31">
        <f>SUM(J25:J26)</f>
        <v>3749182.4890489252</v>
      </c>
      <c r="K27" s="7"/>
      <c r="L27" s="8"/>
    </row>
    <row r="28" spans="2:12" x14ac:dyDescent="0.5">
      <c r="B28" s="16"/>
      <c r="C28" s="7"/>
      <c r="D28" s="7"/>
      <c r="E28" s="30"/>
      <c r="F28" s="7"/>
      <c r="G28" s="7"/>
      <c r="H28" s="7"/>
      <c r="I28" s="7"/>
      <c r="J28" s="27"/>
      <c r="K28" s="7"/>
      <c r="L28" s="8"/>
    </row>
    <row r="29" spans="2:12" x14ac:dyDescent="0.5">
      <c r="B29" s="16" t="s">
        <v>35</v>
      </c>
      <c r="C29" s="7"/>
      <c r="D29" s="7"/>
      <c r="E29" s="30" t="s">
        <v>36</v>
      </c>
      <c r="F29" s="313">
        <v>0.2</v>
      </c>
      <c r="G29" s="33">
        <f>+G20</f>
        <v>47586.233513513638</v>
      </c>
      <c r="H29" s="33">
        <f>+H20</f>
        <v>54785.918823999848</v>
      </c>
      <c r="I29" s="33">
        <f>+I20</f>
        <v>50658.616058260523</v>
      </c>
      <c r="J29" s="34">
        <f>+J27+J20</f>
        <v>3774145.3164137905</v>
      </c>
      <c r="K29" s="7"/>
      <c r="L29" s="8"/>
    </row>
    <row r="30" spans="2:12" x14ac:dyDescent="0.5">
      <c r="B30" s="16"/>
      <c r="C30" s="7"/>
      <c r="D30" s="7"/>
      <c r="E30" s="30"/>
      <c r="F30" s="32"/>
      <c r="G30" s="35"/>
      <c r="H30" s="35"/>
      <c r="I30" s="35"/>
      <c r="J30" s="31"/>
      <c r="K30" s="7"/>
      <c r="L30" s="8"/>
    </row>
    <row r="31" spans="2:12" x14ac:dyDescent="0.5">
      <c r="B31" s="16" t="s">
        <v>37</v>
      </c>
      <c r="C31" s="7"/>
      <c r="D31" s="7"/>
      <c r="E31" s="35">
        <f>SUM(G31:J31)</f>
        <v>1927110.5277303311</v>
      </c>
      <c r="F31" s="7"/>
      <c r="G31" s="17">
        <f>G29/(1+$F$29)^1</f>
        <v>39655.194594594701</v>
      </c>
      <c r="H31" s="17">
        <f>H29/(1+$F$29)^2</f>
        <v>38045.776961111005</v>
      </c>
      <c r="I31" s="17">
        <f>I29/(1+$F$29)^3</f>
        <v>29316.328737419284</v>
      </c>
      <c r="J31" s="18">
        <f>J29/(1+$F$29)^4</f>
        <v>1820093.2274372061</v>
      </c>
      <c r="K31" s="7"/>
      <c r="L31" s="8"/>
    </row>
    <row r="32" spans="2:12" x14ac:dyDescent="0.5">
      <c r="B32" s="16" t="s">
        <v>38</v>
      </c>
      <c r="C32" s="7"/>
      <c r="D32" s="7"/>
      <c r="E32" s="36">
        <f>1180000+10000</f>
        <v>1190000</v>
      </c>
      <c r="F32" s="7"/>
      <c r="G32" s="7"/>
      <c r="H32" s="7"/>
      <c r="I32" s="7"/>
      <c r="J32" s="27"/>
      <c r="K32" s="7"/>
      <c r="L32" s="8"/>
    </row>
    <row r="33" spans="2:12" x14ac:dyDescent="0.5">
      <c r="B33" s="16" t="s">
        <v>39</v>
      </c>
      <c r="C33" s="7"/>
      <c r="D33" s="7"/>
      <c r="E33" s="36">
        <v>-65800</v>
      </c>
      <c r="F33" s="7"/>
      <c r="G33" s="7"/>
      <c r="H33" s="7"/>
      <c r="I33" s="7"/>
      <c r="J33" s="27"/>
      <c r="K33" s="7"/>
      <c r="L33" s="8"/>
    </row>
    <row r="34" spans="2:12" ht="14.7" thickBot="1" x14ac:dyDescent="0.55000000000000004">
      <c r="B34" s="21" t="s">
        <v>40</v>
      </c>
      <c r="C34" s="7"/>
      <c r="D34" s="7"/>
      <c r="E34" s="37">
        <f>SUM(E31:E33)</f>
        <v>3051310.5277303308</v>
      </c>
      <c r="F34" s="7"/>
      <c r="G34" s="7"/>
      <c r="H34" s="7"/>
      <c r="I34" s="7"/>
      <c r="J34" s="38"/>
      <c r="K34" s="7"/>
      <c r="L34" s="8"/>
    </row>
    <row r="35" spans="2:12" ht="14.7" thickBot="1" x14ac:dyDescent="0.55000000000000004">
      <c r="B35" s="39" t="s">
        <v>41</v>
      </c>
      <c r="C35" s="40"/>
      <c r="D35" s="40"/>
      <c r="E35" s="41">
        <f>+E34/E10</f>
        <v>7.0469065305550362</v>
      </c>
      <c r="F35" s="40"/>
      <c r="G35" s="40"/>
      <c r="H35" s="40"/>
      <c r="I35" s="40"/>
      <c r="J35" s="40"/>
      <c r="K35" s="40"/>
      <c r="L35" s="42"/>
    </row>
    <row r="36" spans="2:12" x14ac:dyDescent="0.5">
      <c r="K36" t="s">
        <v>232</v>
      </c>
    </row>
  </sheetData>
  <mergeCells count="1">
    <mergeCell ref="G4:K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F672-C72C-4898-8A96-B91F17E0F7E8}">
  <dimension ref="B1:L57"/>
  <sheetViews>
    <sheetView workbookViewId="0">
      <selection activeCell="B23" sqref="B23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0.52734375" customWidth="1"/>
    <col min="6" max="6" width="6.76171875" customWidth="1"/>
    <col min="7" max="11" width="10.234375" customWidth="1"/>
    <col min="12" max="12" width="4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1" spans="2:12" ht="14.7" thickBot="1" x14ac:dyDescent="0.55000000000000004"/>
    <row r="2" spans="2:12" ht="20" x14ac:dyDescent="0.6">
      <c r="B2" s="1" t="s">
        <v>0</v>
      </c>
      <c r="C2" s="2"/>
      <c r="D2" s="2"/>
      <c r="E2" s="2"/>
      <c r="F2" s="3"/>
      <c r="G2" s="3"/>
      <c r="H2" s="3"/>
      <c r="I2" s="3"/>
      <c r="J2" s="3"/>
      <c r="K2" s="3"/>
      <c r="L2" s="4"/>
    </row>
    <row r="3" spans="2:12" ht="15.35" x14ac:dyDescent="0.5">
      <c r="B3" s="5" t="s">
        <v>233</v>
      </c>
      <c r="C3" s="6"/>
      <c r="D3" s="6"/>
      <c r="E3" s="6"/>
      <c r="F3" s="7"/>
      <c r="G3" s="7"/>
      <c r="H3" s="7"/>
      <c r="I3" s="7"/>
      <c r="J3" s="7"/>
      <c r="K3" s="7"/>
      <c r="L3" s="8"/>
    </row>
    <row r="4" spans="2:12" ht="15.35" x14ac:dyDescent="0.5">
      <c r="B4" s="5"/>
      <c r="C4" s="6"/>
      <c r="D4" s="6"/>
      <c r="E4" s="6"/>
      <c r="F4" s="7"/>
      <c r="G4" s="7"/>
      <c r="H4" s="7"/>
      <c r="I4" s="7"/>
      <c r="J4" s="7"/>
      <c r="K4" s="7"/>
      <c r="L4" s="8"/>
    </row>
    <row r="5" spans="2:12" x14ac:dyDescent="0.5">
      <c r="B5" s="21" t="s">
        <v>257</v>
      </c>
      <c r="C5" s="6"/>
      <c r="D5" s="6"/>
      <c r="E5" s="6"/>
      <c r="F5" s="7"/>
      <c r="G5" s="7"/>
      <c r="H5" s="7"/>
      <c r="I5" s="7"/>
      <c r="J5" s="7"/>
      <c r="K5" s="7"/>
      <c r="L5" s="8"/>
    </row>
    <row r="6" spans="2:12" ht="38.700000000000003" x14ac:dyDescent="0.5">
      <c r="B6" s="315" t="s">
        <v>234</v>
      </c>
      <c r="C6" s="317" t="s">
        <v>238</v>
      </c>
      <c r="D6" s="14" t="s">
        <v>237</v>
      </c>
      <c r="E6" s="14" t="s">
        <v>244</v>
      </c>
      <c r="F6" s="317" t="s">
        <v>254</v>
      </c>
      <c r="G6" s="317" t="s">
        <v>180</v>
      </c>
      <c r="H6" s="315" t="s">
        <v>240</v>
      </c>
      <c r="I6" s="315"/>
      <c r="J6" s="317" t="s">
        <v>241</v>
      </c>
      <c r="K6" s="317" t="s">
        <v>237</v>
      </c>
      <c r="L6" s="8"/>
    </row>
    <row r="7" spans="2:12" x14ac:dyDescent="0.5">
      <c r="B7" s="16" t="s">
        <v>202</v>
      </c>
      <c r="C7" s="316">
        <v>3.5</v>
      </c>
      <c r="D7" s="318">
        <f>+C7*E30</f>
        <v>1515500</v>
      </c>
      <c r="E7" s="332">
        <f>+D7/$D$11</f>
        <v>0.33816425120772947</v>
      </c>
      <c r="F7" s="320">
        <v>0.05</v>
      </c>
      <c r="G7" s="320">
        <f>+(F7*(1-$F$13))*E7</f>
        <v>1.0821256038647344E-2</v>
      </c>
      <c r="H7" s="7" t="s">
        <v>242</v>
      </c>
      <c r="I7" s="7"/>
      <c r="J7" s="316">
        <v>10</v>
      </c>
      <c r="K7" s="133">
        <f>+J7*E30</f>
        <v>4330000</v>
      </c>
      <c r="L7" s="8"/>
    </row>
    <row r="8" spans="2:12" x14ac:dyDescent="0.5">
      <c r="B8" s="16" t="s">
        <v>203</v>
      </c>
      <c r="C8" s="316">
        <v>2.5</v>
      </c>
      <c r="D8" s="321">
        <f>+C8*E30</f>
        <v>1082500</v>
      </c>
      <c r="E8" s="330">
        <f t="shared" ref="E8:E11" si="0">+D8/$D$11</f>
        <v>0.24154589371980675</v>
      </c>
      <c r="F8" s="322">
        <v>0.08</v>
      </c>
      <c r="G8" s="322">
        <f t="shared" ref="G8:G9" si="1">+(F8*(1-$F$13))*E8</f>
        <v>1.2367149758454106E-2</v>
      </c>
      <c r="H8" s="277" t="s">
        <v>243</v>
      </c>
      <c r="I8" s="192">
        <v>3.5000000000000003E-2</v>
      </c>
      <c r="J8" s="316"/>
      <c r="K8" s="35">
        <f>+I8*K7</f>
        <v>151550</v>
      </c>
      <c r="L8" s="8"/>
    </row>
    <row r="9" spans="2:12" x14ac:dyDescent="0.5">
      <c r="B9" s="16" t="s">
        <v>235</v>
      </c>
      <c r="C9" s="316">
        <f>+D9/E30</f>
        <v>6</v>
      </c>
      <c r="D9" s="318">
        <f>SUM(D7:D8)</f>
        <v>2598000</v>
      </c>
      <c r="E9" s="332">
        <f t="shared" si="0"/>
        <v>0.57971014492753625</v>
      </c>
      <c r="F9" s="325"/>
      <c r="G9" s="320">
        <f t="shared" si="1"/>
        <v>0</v>
      </c>
      <c r="L9" s="8"/>
    </row>
    <row r="10" spans="2:12" x14ac:dyDescent="0.5">
      <c r="B10" s="16" t="s">
        <v>204</v>
      </c>
      <c r="C10" s="6"/>
      <c r="D10" s="321">
        <f>+K11-D9</f>
        <v>1883550</v>
      </c>
      <c r="E10" s="332">
        <f t="shared" si="0"/>
        <v>0.42028985507246375</v>
      </c>
      <c r="F10" s="329">
        <v>0.25</v>
      </c>
      <c r="G10" s="330">
        <f>+E10*F10</f>
        <v>0.10507246376811594</v>
      </c>
      <c r="L10" s="8"/>
    </row>
    <row r="11" spans="2:12" ht="14.7" thickBot="1" x14ac:dyDescent="0.55000000000000004">
      <c r="B11" s="16" t="s">
        <v>236</v>
      </c>
      <c r="C11" s="6"/>
      <c r="D11" s="328">
        <f>SUM(D9:D10)</f>
        <v>4481550</v>
      </c>
      <c r="E11" s="333">
        <f t="shared" si="0"/>
        <v>1</v>
      </c>
      <c r="F11" s="319"/>
      <c r="G11" s="331">
        <f>SUM(G9:G10)</f>
        <v>0.10507246376811594</v>
      </c>
      <c r="H11" s="7"/>
      <c r="I11" s="7"/>
      <c r="J11" s="7"/>
      <c r="K11" s="328">
        <f>SUM(K7:K10)</f>
        <v>4481550</v>
      </c>
      <c r="L11" s="8"/>
    </row>
    <row r="12" spans="2:12" ht="7.5" customHeight="1" thickTop="1" x14ac:dyDescent="0.5">
      <c r="B12" s="16"/>
      <c r="C12" s="6"/>
      <c r="D12" s="6"/>
      <c r="G12" s="7"/>
      <c r="H12" s="7"/>
      <c r="I12" s="7"/>
      <c r="J12" s="7"/>
      <c r="K12" s="7"/>
      <c r="L12" s="8"/>
    </row>
    <row r="13" spans="2:12" x14ac:dyDescent="0.5">
      <c r="B13" s="16"/>
      <c r="C13" s="6"/>
      <c r="D13" s="6"/>
      <c r="E13" s="323" t="s">
        <v>239</v>
      </c>
      <c r="F13" s="324">
        <v>0.36</v>
      </c>
      <c r="G13" s="7"/>
      <c r="H13" s="7"/>
      <c r="I13" s="7"/>
      <c r="J13" s="7"/>
      <c r="K13" s="7"/>
      <c r="L13" s="8"/>
    </row>
    <row r="14" spans="2:12" x14ac:dyDescent="0.5">
      <c r="B14" s="67"/>
      <c r="C14" s="327"/>
      <c r="D14" s="327"/>
      <c r="E14" s="341"/>
      <c r="F14" s="342"/>
      <c r="G14" s="57"/>
      <c r="H14" s="7"/>
      <c r="I14" s="7"/>
      <c r="J14" s="7"/>
      <c r="K14" s="7"/>
      <c r="L14" s="8"/>
    </row>
    <row r="15" spans="2:12" x14ac:dyDescent="0.5">
      <c r="B15" s="21" t="s">
        <v>255</v>
      </c>
      <c r="C15" s="6"/>
      <c r="D15" s="6"/>
      <c r="E15" s="323"/>
      <c r="F15" s="324"/>
      <c r="G15" s="10"/>
      <c r="H15" s="338"/>
      <c r="I15" s="338"/>
      <c r="J15" s="339" t="s">
        <v>3</v>
      </c>
      <c r="K15" s="338"/>
      <c r="L15" s="8"/>
    </row>
    <row r="16" spans="2:12" x14ac:dyDescent="0.5">
      <c r="B16" s="315"/>
      <c r="C16" s="14" t="s">
        <v>221</v>
      </c>
      <c r="D16" s="14" t="s">
        <v>251</v>
      </c>
      <c r="E16" s="14" t="s">
        <v>4</v>
      </c>
      <c r="F16" s="324"/>
      <c r="G16" s="14" t="s">
        <v>5</v>
      </c>
      <c r="H16" s="14" t="s">
        <v>6</v>
      </c>
      <c r="I16" s="14" t="s">
        <v>7</v>
      </c>
      <c r="J16" s="15" t="s">
        <v>8</v>
      </c>
      <c r="K16" s="14" t="s">
        <v>9</v>
      </c>
      <c r="L16" s="8"/>
    </row>
    <row r="17" spans="2:12" x14ac:dyDescent="0.5">
      <c r="B17" s="16" t="s">
        <v>245</v>
      </c>
      <c r="C17" s="335">
        <v>5</v>
      </c>
      <c r="D17" s="336">
        <f>+F7</f>
        <v>0.05</v>
      </c>
      <c r="E17" s="334">
        <f>+D7</f>
        <v>1515500</v>
      </c>
      <c r="F17" s="324"/>
      <c r="G17" s="35">
        <f>+E17-G18</f>
        <v>1363950</v>
      </c>
      <c r="H17" s="35">
        <f>+G17-H18</f>
        <v>1212400</v>
      </c>
      <c r="I17" s="35">
        <f t="shared" ref="I17:K17" si="2">+H17-I18</f>
        <v>1060850</v>
      </c>
      <c r="J17" s="35">
        <f t="shared" si="2"/>
        <v>909300</v>
      </c>
      <c r="K17" s="35">
        <f t="shared" si="2"/>
        <v>0</v>
      </c>
      <c r="L17" s="8"/>
    </row>
    <row r="18" spans="2:12" x14ac:dyDescent="0.5">
      <c r="B18" s="16" t="s">
        <v>246</v>
      </c>
      <c r="C18" s="6"/>
      <c r="D18" s="335"/>
      <c r="E18" s="323"/>
      <c r="F18" s="324"/>
      <c r="G18" s="17">
        <f>+$E$17*0.1</f>
        <v>151550</v>
      </c>
      <c r="H18" s="17">
        <f>+$E$17*0.1</f>
        <v>151550</v>
      </c>
      <c r="I18" s="17">
        <f>+$E$17*0.1</f>
        <v>151550</v>
      </c>
      <c r="J18" s="17">
        <f>+$E$17*0.1</f>
        <v>151550</v>
      </c>
      <c r="K18" s="17">
        <f>+J17</f>
        <v>909300</v>
      </c>
      <c r="L18" s="8"/>
    </row>
    <row r="19" spans="2:12" x14ac:dyDescent="0.5">
      <c r="B19" s="16" t="s">
        <v>247</v>
      </c>
      <c r="C19" s="6"/>
      <c r="D19" s="335"/>
      <c r="E19" s="323"/>
      <c r="F19" s="324"/>
      <c r="G19" s="17">
        <f>+E17*$D$17</f>
        <v>75775</v>
      </c>
      <c r="H19" s="17">
        <f>+G17*$D$17</f>
        <v>68197.5</v>
      </c>
      <c r="I19" s="17">
        <f t="shared" ref="I19:K19" si="3">+H17*$D$17</f>
        <v>60620</v>
      </c>
      <c r="J19" s="17">
        <f t="shared" si="3"/>
        <v>53042.5</v>
      </c>
      <c r="K19" s="17">
        <f t="shared" si="3"/>
        <v>45465</v>
      </c>
      <c r="L19" s="8"/>
    </row>
    <row r="20" spans="2:12" x14ac:dyDescent="0.5">
      <c r="B20" s="16"/>
      <c r="C20" s="6"/>
      <c r="D20" s="335"/>
      <c r="E20" s="323"/>
      <c r="F20" s="324"/>
      <c r="G20" s="7"/>
      <c r="H20" s="7"/>
      <c r="I20" s="7"/>
      <c r="J20" s="7"/>
      <c r="K20" s="7"/>
      <c r="L20" s="8"/>
    </row>
    <row r="21" spans="2:12" x14ac:dyDescent="0.5">
      <c r="B21" s="16" t="s">
        <v>248</v>
      </c>
      <c r="C21" s="335">
        <v>10</v>
      </c>
      <c r="D21" s="336">
        <f>+F8</f>
        <v>0.08</v>
      </c>
      <c r="E21" s="334">
        <f>+D8</f>
        <v>1082500</v>
      </c>
      <c r="F21" s="324"/>
      <c r="G21" s="35">
        <f>+E21-G22</f>
        <v>1082500</v>
      </c>
      <c r="H21" s="35">
        <f>+G21-H22</f>
        <v>1082500</v>
      </c>
      <c r="I21" s="35">
        <f t="shared" ref="I21:K21" si="4">+H21-I22</f>
        <v>1082500</v>
      </c>
      <c r="J21" s="35">
        <f t="shared" si="4"/>
        <v>1082500</v>
      </c>
      <c r="K21" s="35">
        <f t="shared" si="4"/>
        <v>1082500</v>
      </c>
      <c r="L21" s="8"/>
    </row>
    <row r="22" spans="2:12" x14ac:dyDescent="0.5">
      <c r="B22" s="16" t="s">
        <v>249</v>
      </c>
      <c r="C22" s="6"/>
      <c r="D22" s="6"/>
      <c r="E22" s="323"/>
      <c r="F22" s="324"/>
      <c r="G22" s="17">
        <v>0</v>
      </c>
      <c r="H22" s="17">
        <v>0</v>
      </c>
      <c r="I22" s="17">
        <v>0</v>
      </c>
      <c r="J22" s="337">
        <v>0</v>
      </c>
      <c r="K22" s="337">
        <v>0</v>
      </c>
      <c r="L22" s="8"/>
    </row>
    <row r="23" spans="2:12" x14ac:dyDescent="0.5">
      <c r="B23" s="16" t="s">
        <v>250</v>
      </c>
      <c r="C23" s="6"/>
      <c r="D23" s="6"/>
      <c r="E23" s="323"/>
      <c r="F23" s="324"/>
      <c r="G23" s="17">
        <f>+E21*$D$21</f>
        <v>86600</v>
      </c>
      <c r="H23" s="17">
        <f>+G21*$D$21</f>
        <v>86600</v>
      </c>
      <c r="I23" s="17">
        <f t="shared" ref="I23:K23" si="5">+H21*$D$21</f>
        <v>86600</v>
      </c>
      <c r="J23" s="17">
        <f t="shared" si="5"/>
        <v>86600</v>
      </c>
      <c r="K23" s="17">
        <f t="shared" si="5"/>
        <v>86600</v>
      </c>
      <c r="L23" s="8"/>
    </row>
    <row r="24" spans="2:12" x14ac:dyDescent="0.5">
      <c r="B24" s="16"/>
      <c r="C24" s="6"/>
      <c r="D24" s="6"/>
      <c r="E24" s="323"/>
      <c r="F24" s="324"/>
      <c r="G24" s="7"/>
      <c r="H24" s="7"/>
      <c r="I24" s="7"/>
      <c r="J24" s="7"/>
      <c r="K24" s="7"/>
      <c r="L24" s="8"/>
    </row>
    <row r="25" spans="2:12" x14ac:dyDescent="0.5">
      <c r="B25" s="21" t="s">
        <v>256</v>
      </c>
      <c r="C25" s="6"/>
      <c r="D25" s="6"/>
      <c r="E25" s="6"/>
      <c r="F25" s="7"/>
      <c r="G25" s="10"/>
      <c r="H25" s="10"/>
      <c r="I25" s="10"/>
      <c r="J25" s="11" t="s">
        <v>3</v>
      </c>
      <c r="K25" s="10"/>
      <c r="L25" s="8"/>
    </row>
    <row r="26" spans="2:12" x14ac:dyDescent="0.5">
      <c r="B26" s="315"/>
      <c r="C26" s="315"/>
      <c r="D26" s="14" t="s">
        <v>231</v>
      </c>
      <c r="E26" s="14" t="s">
        <v>4</v>
      </c>
      <c r="F26" s="7"/>
      <c r="G26" s="14" t="s">
        <v>5</v>
      </c>
      <c r="H26" s="14" t="s">
        <v>6</v>
      </c>
      <c r="I26" s="14" t="s">
        <v>7</v>
      </c>
      <c r="J26" s="15" t="s">
        <v>8</v>
      </c>
      <c r="K26" s="14" t="s">
        <v>9</v>
      </c>
      <c r="L26" s="8"/>
    </row>
    <row r="27" spans="2:12" x14ac:dyDescent="0.5">
      <c r="B27" s="16" t="s">
        <v>10</v>
      </c>
      <c r="C27" s="7"/>
      <c r="D27" s="17">
        <v>960000</v>
      </c>
      <c r="E27" s="17">
        <v>1110000</v>
      </c>
      <c r="G27" s="17">
        <v>1228140</v>
      </c>
      <c r="H27" s="17">
        <v>1344199.848</v>
      </c>
      <c r="I27" s="17">
        <v>1442918.9540652002</v>
      </c>
      <c r="J27" s="18">
        <v>1529267.7156714478</v>
      </c>
      <c r="K27" s="17">
        <v>1605161.4860476251</v>
      </c>
      <c r="L27" s="8"/>
    </row>
    <row r="28" spans="2:12" x14ac:dyDescent="0.5">
      <c r="B28" s="16" t="s">
        <v>11</v>
      </c>
      <c r="C28" s="7"/>
      <c r="D28" s="17">
        <v>-345000</v>
      </c>
      <c r="E28" s="17">
        <v>-420000</v>
      </c>
      <c r="G28" s="17">
        <v>-463078.2</v>
      </c>
      <c r="H28" s="17">
        <v>-506823.33804</v>
      </c>
      <c r="I28" s="17">
        <v>-544053.13711893605</v>
      </c>
      <c r="J28" s="18">
        <v>-576709.25695468695</v>
      </c>
      <c r="K28" s="17">
        <v>-605474.36387137498</v>
      </c>
      <c r="L28" s="8"/>
    </row>
    <row r="29" spans="2:12" x14ac:dyDescent="0.5">
      <c r="B29" s="16" t="s">
        <v>12</v>
      </c>
      <c r="C29" s="7"/>
      <c r="D29" s="19">
        <v>-230000</v>
      </c>
      <c r="E29" s="19">
        <v>-257000</v>
      </c>
      <c r="G29" s="19">
        <v>-271501.2</v>
      </c>
      <c r="H29" s="19">
        <v>-289448.48784000002</v>
      </c>
      <c r="I29" s="19">
        <v>-306441.64132521598</v>
      </c>
      <c r="J29" s="20">
        <v>-322899.94850371598</v>
      </c>
      <c r="K29" s="19">
        <v>-338999.37669631001</v>
      </c>
      <c r="L29" s="8"/>
    </row>
    <row r="30" spans="2:12" x14ac:dyDescent="0.5">
      <c r="B30" s="21" t="s">
        <v>13</v>
      </c>
      <c r="C30" s="22"/>
      <c r="D30" s="23">
        <f>SUM(D27:D29)</f>
        <v>385000</v>
      </c>
      <c r="E30" s="23">
        <f>SUM(E27:E29)</f>
        <v>433000</v>
      </c>
      <c r="F30" s="23"/>
      <c r="G30" s="23">
        <f t="shared" ref="G30:K30" si="6">SUM(G27:G29)</f>
        <v>493560.60000000003</v>
      </c>
      <c r="H30" s="23">
        <f t="shared" si="6"/>
        <v>547928.02211999986</v>
      </c>
      <c r="I30" s="23">
        <f t="shared" si="6"/>
        <v>592424.17562104808</v>
      </c>
      <c r="J30" s="24">
        <f t="shared" si="6"/>
        <v>629658.51021304494</v>
      </c>
      <c r="K30" s="23">
        <f t="shared" si="6"/>
        <v>660687.74547994009</v>
      </c>
      <c r="L30" s="8"/>
    </row>
    <row r="31" spans="2:12" x14ac:dyDescent="0.5">
      <c r="B31" s="16" t="s">
        <v>252</v>
      </c>
      <c r="C31" s="7"/>
      <c r="D31" s="17">
        <v>-60000</v>
      </c>
      <c r="E31" s="17">
        <v>-65000</v>
      </c>
      <c r="F31" s="17"/>
      <c r="G31" s="17">
        <v>-73688.399999999994</v>
      </c>
      <c r="H31" s="17">
        <v>-80651.990879999998</v>
      </c>
      <c r="I31" s="17">
        <v>-86575.137243912002</v>
      </c>
      <c r="J31" s="17">
        <v>-91756.062940286865</v>
      </c>
      <c r="K31" s="17">
        <v>-96309.689162857496</v>
      </c>
      <c r="L31" s="8"/>
    </row>
    <row r="32" spans="2:12" x14ac:dyDescent="0.5">
      <c r="B32" s="16" t="s">
        <v>253</v>
      </c>
      <c r="C32" s="7"/>
      <c r="D32" s="17"/>
      <c r="E32" s="17"/>
      <c r="F32" s="17"/>
      <c r="G32" s="19">
        <f>-$K$8/$C$17</f>
        <v>-30310</v>
      </c>
      <c r="H32" s="19">
        <f>-$K$8/$C$17</f>
        <v>-30310</v>
      </c>
      <c r="I32" s="19">
        <f>-$K$8/$C$17</f>
        <v>-30310</v>
      </c>
      <c r="J32" s="20">
        <f>-$K$8/$C$17</f>
        <v>-30310</v>
      </c>
      <c r="K32" s="19">
        <f>-$K$8/$C$17</f>
        <v>-30310</v>
      </c>
      <c r="L32" s="8"/>
    </row>
    <row r="33" spans="2:12" x14ac:dyDescent="0.5">
      <c r="B33" s="21" t="s">
        <v>15</v>
      </c>
      <c r="C33" s="22"/>
      <c r="D33" s="17">
        <f>+D30+D31</f>
        <v>325000</v>
      </c>
      <c r="E33" s="17">
        <f>+E30+E31</f>
        <v>368000</v>
      </c>
      <c r="F33" s="23"/>
      <c r="G33" s="23">
        <f>+G30+G31+G32</f>
        <v>389562.20000000007</v>
      </c>
      <c r="H33" s="23">
        <f t="shared" ref="H33:K33" si="7">+H30+H31+H32</f>
        <v>436966.03123999987</v>
      </c>
      <c r="I33" s="23">
        <f t="shared" si="7"/>
        <v>475539.03837713611</v>
      </c>
      <c r="J33" s="24">
        <f t="shared" si="7"/>
        <v>507592.44727275812</v>
      </c>
      <c r="K33" s="23">
        <f t="shared" si="7"/>
        <v>534068.05631708261</v>
      </c>
      <c r="L33" s="8"/>
    </row>
    <row r="34" spans="2:12" x14ac:dyDescent="0.5">
      <c r="B34" s="16" t="s">
        <v>17</v>
      </c>
      <c r="C34" s="7"/>
      <c r="D34" s="17"/>
      <c r="E34" s="17"/>
      <c r="F34" s="17"/>
      <c r="G34" s="19">
        <f>-G33*$F$13</f>
        <v>-140242.39200000002</v>
      </c>
      <c r="H34" s="19">
        <f t="shared" ref="H34:K34" si="8">-H33*$F$13</f>
        <v>-157307.77124639993</v>
      </c>
      <c r="I34" s="19">
        <f t="shared" si="8"/>
        <v>-171194.053815769</v>
      </c>
      <c r="J34" s="20">
        <f t="shared" si="8"/>
        <v>-182733.28101819291</v>
      </c>
      <c r="K34" s="19">
        <f t="shared" si="8"/>
        <v>-192264.50027414973</v>
      </c>
      <c r="L34" s="8"/>
    </row>
    <row r="35" spans="2:12" x14ac:dyDescent="0.5">
      <c r="B35" s="21" t="s">
        <v>18</v>
      </c>
      <c r="C35" s="22"/>
      <c r="D35" s="17"/>
      <c r="E35" s="17"/>
      <c r="F35" s="23"/>
      <c r="G35" s="23">
        <f>+G33+G34</f>
        <v>249319.80800000005</v>
      </c>
      <c r="H35" s="23">
        <f t="shared" ref="H35:K35" si="9">+H33+H34</f>
        <v>279658.25999359996</v>
      </c>
      <c r="I35" s="23">
        <f t="shared" si="9"/>
        <v>304344.98456136708</v>
      </c>
      <c r="J35" s="24">
        <f t="shared" si="9"/>
        <v>324859.16625456524</v>
      </c>
      <c r="K35" s="23">
        <f t="shared" si="9"/>
        <v>341803.55604293291</v>
      </c>
      <c r="L35" s="8"/>
    </row>
    <row r="36" spans="2:12" x14ac:dyDescent="0.5">
      <c r="B36" s="16" t="s">
        <v>19</v>
      </c>
      <c r="C36" s="7"/>
      <c r="D36" s="17"/>
      <c r="E36" s="17"/>
      <c r="F36" s="17"/>
      <c r="G36" s="17">
        <f>-G31-G32</f>
        <v>103998.39999999999</v>
      </c>
      <c r="H36" s="17">
        <f t="shared" ref="H36:K36" si="10">-H31-H32</f>
        <v>110961.99088</v>
      </c>
      <c r="I36" s="17">
        <f t="shared" si="10"/>
        <v>116885.137243912</v>
      </c>
      <c r="J36" s="18">
        <f t="shared" si="10"/>
        <v>122066.06294028687</v>
      </c>
      <c r="K36" s="17">
        <f t="shared" si="10"/>
        <v>126619.6891628575</v>
      </c>
      <c r="L36" s="8"/>
    </row>
    <row r="37" spans="2:12" x14ac:dyDescent="0.5">
      <c r="B37" s="16" t="s">
        <v>20</v>
      </c>
      <c r="C37" s="7"/>
      <c r="D37" s="17"/>
      <c r="E37" s="17"/>
      <c r="F37" s="17"/>
      <c r="G37" s="17">
        <v>2870.189189189201</v>
      </c>
      <c r="H37" s="17">
        <v>-4548.2913405405416</v>
      </c>
      <c r="I37" s="17">
        <v>-3868.7217241767667</v>
      </c>
      <c r="J37" s="18">
        <v>-3383.9379548394299</v>
      </c>
      <c r="K37" s="17">
        <v>-2974.2153255528992</v>
      </c>
      <c r="L37" s="8"/>
    </row>
    <row r="38" spans="2:12" x14ac:dyDescent="0.5">
      <c r="B38" s="16" t="s">
        <v>21</v>
      </c>
      <c r="C38" s="7"/>
      <c r="D38" s="17"/>
      <c r="E38" s="17"/>
      <c r="F38" s="17"/>
      <c r="G38" s="19">
        <v>-193625.67567567568</v>
      </c>
      <c r="H38" s="19">
        <v>-211923.39945945944</v>
      </c>
      <c r="I38" s="19">
        <v>-227487.22248775678</v>
      </c>
      <c r="J38" s="20">
        <v>-241100.76598423725</v>
      </c>
      <c r="K38" s="19">
        <v>-253066.00005255349</v>
      </c>
      <c r="L38" s="8"/>
    </row>
    <row r="39" spans="2:12" x14ac:dyDescent="0.5">
      <c r="B39" s="21" t="s">
        <v>22</v>
      </c>
      <c r="C39" s="22"/>
      <c r="D39" s="17"/>
      <c r="E39" s="17"/>
      <c r="F39" s="23"/>
      <c r="G39" s="23">
        <f>SUM(G35:G38)</f>
        <v>162562.72151351353</v>
      </c>
      <c r="H39" s="23">
        <f t="shared" ref="H39:K39" si="11">SUM(H35:H38)</f>
        <v>174148.56007359995</v>
      </c>
      <c r="I39" s="23">
        <f t="shared" si="11"/>
        <v>189874.17759334549</v>
      </c>
      <c r="J39" s="24">
        <f t="shared" si="11"/>
        <v>202440.52525577543</v>
      </c>
      <c r="K39" s="23">
        <f t="shared" si="11"/>
        <v>212383.02982768399</v>
      </c>
      <c r="L39" s="8"/>
    </row>
    <row r="40" spans="2:12" x14ac:dyDescent="0.5">
      <c r="B40" s="16" t="s">
        <v>23</v>
      </c>
      <c r="C40" s="7"/>
      <c r="D40" s="17"/>
      <c r="E40" s="17"/>
      <c r="F40" s="17"/>
      <c r="G40" s="17">
        <v>-125450</v>
      </c>
      <c r="H40" s="17">
        <v>-129600</v>
      </c>
      <c r="I40" s="17">
        <v>-153450</v>
      </c>
      <c r="J40" s="18">
        <v>-201750</v>
      </c>
      <c r="K40" s="17">
        <v>-237250</v>
      </c>
      <c r="L40" s="8"/>
    </row>
    <row r="41" spans="2:12" x14ac:dyDescent="0.5">
      <c r="B41" s="21" t="s">
        <v>24</v>
      </c>
      <c r="C41" s="22"/>
      <c r="D41" s="17"/>
      <c r="E41" s="17"/>
      <c r="F41" s="23"/>
      <c r="G41" s="25">
        <f>+G39+G40</f>
        <v>37112.721513513534</v>
      </c>
      <c r="H41" s="25">
        <f t="shared" ref="H41:K41" si="12">+H39+H40</f>
        <v>44548.560073599947</v>
      </c>
      <c r="I41" s="25">
        <f t="shared" si="12"/>
        <v>36424.177593345492</v>
      </c>
      <c r="J41" s="26">
        <f t="shared" si="12"/>
        <v>690.52525577542838</v>
      </c>
      <c r="K41" s="25">
        <f t="shared" si="12"/>
        <v>-24866.970172316011</v>
      </c>
      <c r="L41" s="8"/>
    </row>
    <row r="42" spans="2:12" x14ac:dyDescent="0.5">
      <c r="B42" s="16"/>
      <c r="C42" s="7"/>
      <c r="D42" s="7"/>
      <c r="E42" s="7"/>
      <c r="F42" s="7"/>
      <c r="G42" s="7"/>
      <c r="H42" s="7"/>
      <c r="I42" s="7"/>
      <c r="J42" s="27"/>
      <c r="K42" s="7"/>
      <c r="L42" s="8"/>
    </row>
    <row r="43" spans="2:12" x14ac:dyDescent="0.5">
      <c r="B43" s="28" t="s">
        <v>25</v>
      </c>
      <c r="C43" s="7"/>
      <c r="D43" s="7"/>
      <c r="E43" s="29" t="s">
        <v>26</v>
      </c>
      <c r="F43" s="7"/>
      <c r="G43" s="7"/>
      <c r="H43" s="7"/>
      <c r="I43" s="7"/>
      <c r="J43" s="27"/>
      <c r="K43" s="7"/>
      <c r="L43" s="8"/>
    </row>
    <row r="44" spans="2:12" x14ac:dyDescent="0.5">
      <c r="B44" s="16" t="s">
        <v>27</v>
      </c>
      <c r="C44" s="7"/>
      <c r="D44" s="7"/>
      <c r="E44" s="30" t="s">
        <v>28</v>
      </c>
      <c r="F44" s="314">
        <f>+J7</f>
        <v>10</v>
      </c>
      <c r="G44" s="7"/>
      <c r="H44" s="7"/>
      <c r="I44" s="7"/>
      <c r="J44" s="31">
        <f>+F44*J30</f>
        <v>6296585.1021304494</v>
      </c>
      <c r="K44" s="7"/>
      <c r="L44" s="8"/>
    </row>
    <row r="45" spans="2:12" x14ac:dyDescent="0.5">
      <c r="B45" s="16" t="s">
        <v>29</v>
      </c>
      <c r="C45" s="7"/>
      <c r="D45" s="7"/>
      <c r="E45" s="30" t="s">
        <v>30</v>
      </c>
      <c r="F45" s="340">
        <f>+G11</f>
        <v>0.10507246376811594</v>
      </c>
      <c r="G45" s="7"/>
      <c r="H45" s="7"/>
      <c r="I45" s="7"/>
      <c r="J45" s="20">
        <f>+K39/(F45-F46)</f>
        <v>3856428.6995026837</v>
      </c>
      <c r="K45" s="7"/>
      <c r="L45" s="8"/>
    </row>
    <row r="46" spans="2:12" x14ac:dyDescent="0.5">
      <c r="B46" s="16" t="s">
        <v>31</v>
      </c>
      <c r="C46" s="7"/>
      <c r="D46" s="7"/>
      <c r="E46" s="30" t="s">
        <v>32</v>
      </c>
      <c r="F46" s="326">
        <v>0.05</v>
      </c>
      <c r="G46" s="7"/>
      <c r="H46" s="7"/>
      <c r="I46" s="7"/>
      <c r="J46" s="31">
        <f>AVERAGE(J44:J45)</f>
        <v>5076506.9008165663</v>
      </c>
      <c r="K46" s="7"/>
      <c r="L46" s="8"/>
    </row>
    <row r="47" spans="2:12" x14ac:dyDescent="0.5">
      <c r="B47" s="16" t="s">
        <v>33</v>
      </c>
      <c r="C47" s="7"/>
      <c r="D47" s="7"/>
      <c r="E47" s="30"/>
      <c r="F47" s="7"/>
      <c r="G47" s="7"/>
      <c r="H47" s="7"/>
      <c r="I47" s="7"/>
      <c r="J47" s="20">
        <v>-1030000</v>
      </c>
      <c r="K47" s="7"/>
      <c r="L47" s="8"/>
    </row>
    <row r="48" spans="2:12" x14ac:dyDescent="0.5">
      <c r="B48" s="16" t="s">
        <v>34</v>
      </c>
      <c r="C48" s="7"/>
      <c r="D48" s="7"/>
      <c r="E48" s="30"/>
      <c r="F48" s="7"/>
      <c r="G48" s="7"/>
      <c r="H48" s="7"/>
      <c r="I48" s="7"/>
      <c r="J48" s="31">
        <f>SUM(J46:J47)</f>
        <v>4046506.9008165663</v>
      </c>
      <c r="K48" s="7"/>
      <c r="L48" s="8"/>
    </row>
    <row r="49" spans="2:12" x14ac:dyDescent="0.5">
      <c r="B49" s="16"/>
      <c r="C49" s="7"/>
      <c r="D49" s="7"/>
      <c r="E49" s="30"/>
      <c r="F49" s="7"/>
      <c r="G49" s="7"/>
      <c r="H49" s="7"/>
      <c r="I49" s="7"/>
      <c r="J49" s="27"/>
      <c r="K49" s="7"/>
      <c r="L49" s="8"/>
    </row>
    <row r="50" spans="2:12" x14ac:dyDescent="0.5">
      <c r="B50" s="16" t="s">
        <v>35</v>
      </c>
      <c r="C50" s="7"/>
      <c r="D50" s="7"/>
      <c r="E50" s="30" t="s">
        <v>36</v>
      </c>
      <c r="F50" s="313">
        <f>+F10</f>
        <v>0.25</v>
      </c>
      <c r="G50" s="33">
        <f>+G41</f>
        <v>37112.721513513534</v>
      </c>
      <c r="H50" s="33">
        <f>+H41</f>
        <v>44548.560073599947</v>
      </c>
      <c r="I50" s="33">
        <f>+I41</f>
        <v>36424.177593345492</v>
      </c>
      <c r="J50" s="34">
        <f>+J48+J41</f>
        <v>4047197.4260723419</v>
      </c>
      <c r="K50" s="7"/>
      <c r="L50" s="8"/>
    </row>
    <row r="51" spans="2:12" x14ac:dyDescent="0.5">
      <c r="B51" s="16"/>
      <c r="C51" s="7"/>
      <c r="D51" s="7"/>
      <c r="E51" s="30"/>
      <c r="F51" s="32"/>
      <c r="G51" s="35"/>
      <c r="H51" s="35"/>
      <c r="I51" s="35"/>
      <c r="J51" s="31"/>
      <c r="K51" s="7"/>
      <c r="L51" s="8"/>
    </row>
    <row r="52" spans="2:12" x14ac:dyDescent="0.5">
      <c r="B52" s="16" t="s">
        <v>37</v>
      </c>
      <c r="C52" s="7"/>
      <c r="D52" s="7"/>
      <c r="E52" s="35">
        <f>SUM(G52:J52)</f>
        <v>1734582.500304939</v>
      </c>
      <c r="F52" s="7"/>
      <c r="G52" s="17">
        <f>G50/(1+$F$50)^1</f>
        <v>29690.177210810827</v>
      </c>
      <c r="H52" s="17">
        <f>H50/(1+$F$50)^2</f>
        <v>28511.078447103966</v>
      </c>
      <c r="I52" s="17">
        <f>I50/(1+$F$50)^3</f>
        <v>18649.178927792891</v>
      </c>
      <c r="J52" s="18">
        <f>J50/(1+$F$50)^4</f>
        <v>1657732.0657192313</v>
      </c>
      <c r="K52" s="7"/>
      <c r="L52" s="8"/>
    </row>
    <row r="53" spans="2:12" x14ac:dyDescent="0.5">
      <c r="B53" s="16" t="s">
        <v>38</v>
      </c>
      <c r="C53" s="7"/>
      <c r="D53" s="7"/>
      <c r="E53" s="36">
        <f>+D9</f>
        <v>2598000</v>
      </c>
      <c r="F53" s="7"/>
      <c r="G53" s="7"/>
      <c r="H53" s="7"/>
      <c r="I53" s="7"/>
      <c r="J53" s="27"/>
      <c r="K53" s="7"/>
      <c r="L53" s="8"/>
    </row>
    <row r="54" spans="2:12" x14ac:dyDescent="0.5">
      <c r="B54" s="16" t="s">
        <v>39</v>
      </c>
      <c r="C54" s="7"/>
      <c r="D54" s="7"/>
      <c r="E54" s="36">
        <v>0</v>
      </c>
      <c r="F54" s="7"/>
      <c r="G54" s="7"/>
      <c r="H54" s="7"/>
      <c r="I54" s="7"/>
      <c r="J54" s="27"/>
      <c r="K54" s="7"/>
      <c r="L54" s="8"/>
    </row>
    <row r="55" spans="2:12" ht="14.7" thickBot="1" x14ac:dyDescent="0.55000000000000004">
      <c r="B55" s="21" t="s">
        <v>40</v>
      </c>
      <c r="C55" s="7"/>
      <c r="D55" s="7"/>
      <c r="E55" s="37">
        <f>SUM(E52:E54)</f>
        <v>4332582.5003049392</v>
      </c>
      <c r="F55" s="7"/>
      <c r="G55" s="7"/>
      <c r="H55" s="7"/>
      <c r="I55" s="7"/>
      <c r="J55" s="38"/>
      <c r="K55" s="7"/>
      <c r="L55" s="8"/>
    </row>
    <row r="56" spans="2:12" ht="14.7" thickBot="1" x14ac:dyDescent="0.55000000000000004">
      <c r="B56" s="39" t="s">
        <v>41</v>
      </c>
      <c r="C56" s="40"/>
      <c r="D56" s="40"/>
      <c r="E56" s="41">
        <f>+E55/E30</f>
        <v>10.005964203937504</v>
      </c>
      <c r="F56" s="40"/>
      <c r="G56" s="40"/>
      <c r="H56" s="40"/>
      <c r="I56" s="40"/>
      <c r="J56" s="40"/>
      <c r="K56" s="40"/>
      <c r="L56" s="42"/>
    </row>
    <row r="57" spans="2:12" x14ac:dyDescent="0.5">
      <c r="K57" t="s">
        <v>232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407F-FFB2-4E25-90AB-F232E760D2F2}">
  <dimension ref="B1:M57"/>
  <sheetViews>
    <sheetView showGridLines="0" topLeftCell="B1" zoomScale="110" zoomScaleNormal="110" workbookViewId="0">
      <selection activeCell="M8" sqref="M8"/>
    </sheetView>
  </sheetViews>
  <sheetFormatPr defaultRowHeight="14.35" x14ac:dyDescent="0.5"/>
  <cols>
    <col min="1" max="1" width="3.234375" customWidth="1"/>
    <col min="2" max="2" width="30.41015625" customWidth="1"/>
    <col min="4" max="8" width="9.8203125" customWidth="1"/>
    <col min="10" max="10" width="3.1171875" customWidth="1"/>
    <col min="257" max="257" width="3.234375" customWidth="1"/>
    <col min="258" max="258" width="27.29296875" customWidth="1"/>
    <col min="260" max="260" width="10.703125" customWidth="1"/>
    <col min="261" max="261" width="13" customWidth="1"/>
    <col min="262" max="262" width="10.17578125" customWidth="1"/>
    <col min="263" max="263" width="10.8203125" customWidth="1"/>
    <col min="264" max="264" width="16.87890625" customWidth="1"/>
    <col min="266" max="266" width="3.1171875" customWidth="1"/>
    <col min="513" max="513" width="3.234375" customWidth="1"/>
    <col min="514" max="514" width="27.29296875" customWidth="1"/>
    <col min="516" max="516" width="10.703125" customWidth="1"/>
    <col min="517" max="517" width="13" customWidth="1"/>
    <col min="518" max="518" width="10.17578125" customWidth="1"/>
    <col min="519" max="519" width="10.8203125" customWidth="1"/>
    <col min="520" max="520" width="16.87890625" customWidth="1"/>
    <col min="522" max="522" width="3.1171875" customWidth="1"/>
    <col min="769" max="769" width="3.234375" customWidth="1"/>
    <col min="770" max="770" width="27.29296875" customWidth="1"/>
    <col min="772" max="772" width="10.703125" customWidth="1"/>
    <col min="773" max="773" width="13" customWidth="1"/>
    <col min="774" max="774" width="10.17578125" customWidth="1"/>
    <col min="775" max="775" width="10.8203125" customWidth="1"/>
    <col min="776" max="776" width="16.87890625" customWidth="1"/>
    <col min="778" max="778" width="3.1171875" customWidth="1"/>
    <col min="1025" max="1025" width="3.234375" customWidth="1"/>
    <col min="1026" max="1026" width="27.29296875" customWidth="1"/>
    <col min="1028" max="1028" width="10.703125" customWidth="1"/>
    <col min="1029" max="1029" width="13" customWidth="1"/>
    <col min="1030" max="1030" width="10.17578125" customWidth="1"/>
    <col min="1031" max="1031" width="10.8203125" customWidth="1"/>
    <col min="1032" max="1032" width="16.87890625" customWidth="1"/>
    <col min="1034" max="1034" width="3.1171875" customWidth="1"/>
    <col min="1281" max="1281" width="3.234375" customWidth="1"/>
    <col min="1282" max="1282" width="27.29296875" customWidth="1"/>
    <col min="1284" max="1284" width="10.703125" customWidth="1"/>
    <col min="1285" max="1285" width="13" customWidth="1"/>
    <col min="1286" max="1286" width="10.17578125" customWidth="1"/>
    <col min="1287" max="1287" width="10.8203125" customWidth="1"/>
    <col min="1288" max="1288" width="16.87890625" customWidth="1"/>
    <col min="1290" max="1290" width="3.1171875" customWidth="1"/>
    <col min="1537" max="1537" width="3.234375" customWidth="1"/>
    <col min="1538" max="1538" width="27.29296875" customWidth="1"/>
    <col min="1540" max="1540" width="10.703125" customWidth="1"/>
    <col min="1541" max="1541" width="13" customWidth="1"/>
    <col min="1542" max="1542" width="10.17578125" customWidth="1"/>
    <col min="1543" max="1543" width="10.8203125" customWidth="1"/>
    <col min="1544" max="1544" width="16.87890625" customWidth="1"/>
    <col min="1546" max="1546" width="3.1171875" customWidth="1"/>
    <col min="1793" max="1793" width="3.234375" customWidth="1"/>
    <col min="1794" max="1794" width="27.29296875" customWidth="1"/>
    <col min="1796" max="1796" width="10.703125" customWidth="1"/>
    <col min="1797" max="1797" width="13" customWidth="1"/>
    <col min="1798" max="1798" width="10.17578125" customWidth="1"/>
    <col min="1799" max="1799" width="10.8203125" customWidth="1"/>
    <col min="1800" max="1800" width="16.87890625" customWidth="1"/>
    <col min="1802" max="1802" width="3.1171875" customWidth="1"/>
    <col min="2049" max="2049" width="3.234375" customWidth="1"/>
    <col min="2050" max="2050" width="27.29296875" customWidth="1"/>
    <col min="2052" max="2052" width="10.703125" customWidth="1"/>
    <col min="2053" max="2053" width="13" customWidth="1"/>
    <col min="2054" max="2054" width="10.17578125" customWidth="1"/>
    <col min="2055" max="2055" width="10.8203125" customWidth="1"/>
    <col min="2056" max="2056" width="16.87890625" customWidth="1"/>
    <col min="2058" max="2058" width="3.1171875" customWidth="1"/>
    <col min="2305" max="2305" width="3.234375" customWidth="1"/>
    <col min="2306" max="2306" width="27.29296875" customWidth="1"/>
    <col min="2308" max="2308" width="10.703125" customWidth="1"/>
    <col min="2309" max="2309" width="13" customWidth="1"/>
    <col min="2310" max="2310" width="10.17578125" customWidth="1"/>
    <col min="2311" max="2311" width="10.8203125" customWidth="1"/>
    <col min="2312" max="2312" width="16.87890625" customWidth="1"/>
    <col min="2314" max="2314" width="3.1171875" customWidth="1"/>
    <col min="2561" max="2561" width="3.234375" customWidth="1"/>
    <col min="2562" max="2562" width="27.29296875" customWidth="1"/>
    <col min="2564" max="2564" width="10.703125" customWidth="1"/>
    <col min="2565" max="2565" width="13" customWidth="1"/>
    <col min="2566" max="2566" width="10.17578125" customWidth="1"/>
    <col min="2567" max="2567" width="10.8203125" customWidth="1"/>
    <col min="2568" max="2568" width="16.87890625" customWidth="1"/>
    <col min="2570" max="2570" width="3.1171875" customWidth="1"/>
    <col min="2817" max="2817" width="3.234375" customWidth="1"/>
    <col min="2818" max="2818" width="27.29296875" customWidth="1"/>
    <col min="2820" max="2820" width="10.703125" customWidth="1"/>
    <col min="2821" max="2821" width="13" customWidth="1"/>
    <col min="2822" max="2822" width="10.17578125" customWidth="1"/>
    <col min="2823" max="2823" width="10.8203125" customWidth="1"/>
    <col min="2824" max="2824" width="16.87890625" customWidth="1"/>
    <col min="2826" max="2826" width="3.1171875" customWidth="1"/>
    <col min="3073" max="3073" width="3.234375" customWidth="1"/>
    <col min="3074" max="3074" width="27.29296875" customWidth="1"/>
    <col min="3076" max="3076" width="10.703125" customWidth="1"/>
    <col min="3077" max="3077" width="13" customWidth="1"/>
    <col min="3078" max="3078" width="10.17578125" customWidth="1"/>
    <col min="3079" max="3079" width="10.8203125" customWidth="1"/>
    <col min="3080" max="3080" width="16.87890625" customWidth="1"/>
    <col min="3082" max="3082" width="3.1171875" customWidth="1"/>
    <col min="3329" max="3329" width="3.234375" customWidth="1"/>
    <col min="3330" max="3330" width="27.29296875" customWidth="1"/>
    <col min="3332" max="3332" width="10.703125" customWidth="1"/>
    <col min="3333" max="3333" width="13" customWidth="1"/>
    <col min="3334" max="3334" width="10.17578125" customWidth="1"/>
    <col min="3335" max="3335" width="10.8203125" customWidth="1"/>
    <col min="3336" max="3336" width="16.87890625" customWidth="1"/>
    <col min="3338" max="3338" width="3.1171875" customWidth="1"/>
    <col min="3585" max="3585" width="3.234375" customWidth="1"/>
    <col min="3586" max="3586" width="27.29296875" customWidth="1"/>
    <col min="3588" max="3588" width="10.703125" customWidth="1"/>
    <col min="3589" max="3589" width="13" customWidth="1"/>
    <col min="3590" max="3590" width="10.17578125" customWidth="1"/>
    <col min="3591" max="3591" width="10.8203125" customWidth="1"/>
    <col min="3592" max="3592" width="16.87890625" customWidth="1"/>
    <col min="3594" max="3594" width="3.1171875" customWidth="1"/>
    <col min="3841" max="3841" width="3.234375" customWidth="1"/>
    <col min="3842" max="3842" width="27.29296875" customWidth="1"/>
    <col min="3844" max="3844" width="10.703125" customWidth="1"/>
    <col min="3845" max="3845" width="13" customWidth="1"/>
    <col min="3846" max="3846" width="10.17578125" customWidth="1"/>
    <col min="3847" max="3847" width="10.8203125" customWidth="1"/>
    <col min="3848" max="3848" width="16.87890625" customWidth="1"/>
    <col min="3850" max="3850" width="3.1171875" customWidth="1"/>
    <col min="4097" max="4097" width="3.234375" customWidth="1"/>
    <col min="4098" max="4098" width="27.29296875" customWidth="1"/>
    <col min="4100" max="4100" width="10.703125" customWidth="1"/>
    <col min="4101" max="4101" width="13" customWidth="1"/>
    <col min="4102" max="4102" width="10.17578125" customWidth="1"/>
    <col min="4103" max="4103" width="10.8203125" customWidth="1"/>
    <col min="4104" max="4104" width="16.87890625" customWidth="1"/>
    <col min="4106" max="4106" width="3.1171875" customWidth="1"/>
    <col min="4353" max="4353" width="3.234375" customWidth="1"/>
    <col min="4354" max="4354" width="27.29296875" customWidth="1"/>
    <col min="4356" max="4356" width="10.703125" customWidth="1"/>
    <col min="4357" max="4357" width="13" customWidth="1"/>
    <col min="4358" max="4358" width="10.17578125" customWidth="1"/>
    <col min="4359" max="4359" width="10.8203125" customWidth="1"/>
    <col min="4360" max="4360" width="16.87890625" customWidth="1"/>
    <col min="4362" max="4362" width="3.1171875" customWidth="1"/>
    <col min="4609" max="4609" width="3.234375" customWidth="1"/>
    <col min="4610" max="4610" width="27.29296875" customWidth="1"/>
    <col min="4612" max="4612" width="10.703125" customWidth="1"/>
    <col min="4613" max="4613" width="13" customWidth="1"/>
    <col min="4614" max="4614" width="10.17578125" customWidth="1"/>
    <col min="4615" max="4615" width="10.8203125" customWidth="1"/>
    <col min="4616" max="4616" width="16.87890625" customWidth="1"/>
    <col min="4618" max="4618" width="3.1171875" customWidth="1"/>
    <col min="4865" max="4865" width="3.234375" customWidth="1"/>
    <col min="4866" max="4866" width="27.29296875" customWidth="1"/>
    <col min="4868" max="4868" width="10.703125" customWidth="1"/>
    <col min="4869" max="4869" width="13" customWidth="1"/>
    <col min="4870" max="4870" width="10.17578125" customWidth="1"/>
    <col min="4871" max="4871" width="10.8203125" customWidth="1"/>
    <col min="4872" max="4872" width="16.87890625" customWidth="1"/>
    <col min="4874" max="4874" width="3.1171875" customWidth="1"/>
    <col min="5121" max="5121" width="3.234375" customWidth="1"/>
    <col min="5122" max="5122" width="27.29296875" customWidth="1"/>
    <col min="5124" max="5124" width="10.703125" customWidth="1"/>
    <col min="5125" max="5125" width="13" customWidth="1"/>
    <col min="5126" max="5126" width="10.17578125" customWidth="1"/>
    <col min="5127" max="5127" width="10.8203125" customWidth="1"/>
    <col min="5128" max="5128" width="16.87890625" customWidth="1"/>
    <col min="5130" max="5130" width="3.1171875" customWidth="1"/>
    <col min="5377" max="5377" width="3.234375" customWidth="1"/>
    <col min="5378" max="5378" width="27.29296875" customWidth="1"/>
    <col min="5380" max="5380" width="10.703125" customWidth="1"/>
    <col min="5381" max="5381" width="13" customWidth="1"/>
    <col min="5382" max="5382" width="10.17578125" customWidth="1"/>
    <col min="5383" max="5383" width="10.8203125" customWidth="1"/>
    <col min="5384" max="5384" width="16.87890625" customWidth="1"/>
    <col min="5386" max="5386" width="3.1171875" customWidth="1"/>
    <col min="5633" max="5633" width="3.234375" customWidth="1"/>
    <col min="5634" max="5634" width="27.29296875" customWidth="1"/>
    <col min="5636" max="5636" width="10.703125" customWidth="1"/>
    <col min="5637" max="5637" width="13" customWidth="1"/>
    <col min="5638" max="5638" width="10.17578125" customWidth="1"/>
    <col min="5639" max="5639" width="10.8203125" customWidth="1"/>
    <col min="5640" max="5640" width="16.87890625" customWidth="1"/>
    <col min="5642" max="5642" width="3.1171875" customWidth="1"/>
    <col min="5889" max="5889" width="3.234375" customWidth="1"/>
    <col min="5890" max="5890" width="27.29296875" customWidth="1"/>
    <col min="5892" max="5892" width="10.703125" customWidth="1"/>
    <col min="5893" max="5893" width="13" customWidth="1"/>
    <col min="5894" max="5894" width="10.17578125" customWidth="1"/>
    <col min="5895" max="5895" width="10.8203125" customWidth="1"/>
    <col min="5896" max="5896" width="16.87890625" customWidth="1"/>
    <col min="5898" max="5898" width="3.1171875" customWidth="1"/>
    <col min="6145" max="6145" width="3.234375" customWidth="1"/>
    <col min="6146" max="6146" width="27.29296875" customWidth="1"/>
    <col min="6148" max="6148" width="10.703125" customWidth="1"/>
    <col min="6149" max="6149" width="13" customWidth="1"/>
    <col min="6150" max="6150" width="10.17578125" customWidth="1"/>
    <col min="6151" max="6151" width="10.8203125" customWidth="1"/>
    <col min="6152" max="6152" width="16.87890625" customWidth="1"/>
    <col min="6154" max="6154" width="3.1171875" customWidth="1"/>
    <col min="6401" max="6401" width="3.234375" customWidth="1"/>
    <col min="6402" max="6402" width="27.29296875" customWidth="1"/>
    <col min="6404" max="6404" width="10.703125" customWidth="1"/>
    <col min="6405" max="6405" width="13" customWidth="1"/>
    <col min="6406" max="6406" width="10.17578125" customWidth="1"/>
    <col min="6407" max="6407" width="10.8203125" customWidth="1"/>
    <col min="6408" max="6408" width="16.87890625" customWidth="1"/>
    <col min="6410" max="6410" width="3.1171875" customWidth="1"/>
    <col min="6657" max="6657" width="3.234375" customWidth="1"/>
    <col min="6658" max="6658" width="27.29296875" customWidth="1"/>
    <col min="6660" max="6660" width="10.703125" customWidth="1"/>
    <col min="6661" max="6661" width="13" customWidth="1"/>
    <col min="6662" max="6662" width="10.17578125" customWidth="1"/>
    <col min="6663" max="6663" width="10.8203125" customWidth="1"/>
    <col min="6664" max="6664" width="16.87890625" customWidth="1"/>
    <col min="6666" max="6666" width="3.1171875" customWidth="1"/>
    <col min="6913" max="6913" width="3.234375" customWidth="1"/>
    <col min="6914" max="6914" width="27.29296875" customWidth="1"/>
    <col min="6916" max="6916" width="10.703125" customWidth="1"/>
    <col min="6917" max="6917" width="13" customWidth="1"/>
    <col min="6918" max="6918" width="10.17578125" customWidth="1"/>
    <col min="6919" max="6919" width="10.8203125" customWidth="1"/>
    <col min="6920" max="6920" width="16.87890625" customWidth="1"/>
    <col min="6922" max="6922" width="3.1171875" customWidth="1"/>
    <col min="7169" max="7169" width="3.234375" customWidth="1"/>
    <col min="7170" max="7170" width="27.29296875" customWidth="1"/>
    <col min="7172" max="7172" width="10.703125" customWidth="1"/>
    <col min="7173" max="7173" width="13" customWidth="1"/>
    <col min="7174" max="7174" width="10.17578125" customWidth="1"/>
    <col min="7175" max="7175" width="10.8203125" customWidth="1"/>
    <col min="7176" max="7176" width="16.87890625" customWidth="1"/>
    <col min="7178" max="7178" width="3.1171875" customWidth="1"/>
    <col min="7425" max="7425" width="3.234375" customWidth="1"/>
    <col min="7426" max="7426" width="27.29296875" customWidth="1"/>
    <col min="7428" max="7428" width="10.703125" customWidth="1"/>
    <col min="7429" max="7429" width="13" customWidth="1"/>
    <col min="7430" max="7430" width="10.17578125" customWidth="1"/>
    <col min="7431" max="7431" width="10.8203125" customWidth="1"/>
    <col min="7432" max="7432" width="16.87890625" customWidth="1"/>
    <col min="7434" max="7434" width="3.1171875" customWidth="1"/>
    <col min="7681" max="7681" width="3.234375" customWidth="1"/>
    <col min="7682" max="7682" width="27.29296875" customWidth="1"/>
    <col min="7684" max="7684" width="10.703125" customWidth="1"/>
    <col min="7685" max="7685" width="13" customWidth="1"/>
    <col min="7686" max="7686" width="10.17578125" customWidth="1"/>
    <col min="7687" max="7687" width="10.8203125" customWidth="1"/>
    <col min="7688" max="7688" width="16.87890625" customWidth="1"/>
    <col min="7690" max="7690" width="3.1171875" customWidth="1"/>
    <col min="7937" max="7937" width="3.234375" customWidth="1"/>
    <col min="7938" max="7938" width="27.29296875" customWidth="1"/>
    <col min="7940" max="7940" width="10.703125" customWidth="1"/>
    <col min="7941" max="7941" width="13" customWidth="1"/>
    <col min="7942" max="7942" width="10.17578125" customWidth="1"/>
    <col min="7943" max="7943" width="10.8203125" customWidth="1"/>
    <col min="7944" max="7944" width="16.87890625" customWidth="1"/>
    <col min="7946" max="7946" width="3.1171875" customWidth="1"/>
    <col min="8193" max="8193" width="3.234375" customWidth="1"/>
    <col min="8194" max="8194" width="27.29296875" customWidth="1"/>
    <col min="8196" max="8196" width="10.703125" customWidth="1"/>
    <col min="8197" max="8197" width="13" customWidth="1"/>
    <col min="8198" max="8198" width="10.17578125" customWidth="1"/>
    <col min="8199" max="8199" width="10.8203125" customWidth="1"/>
    <col min="8200" max="8200" width="16.87890625" customWidth="1"/>
    <col min="8202" max="8202" width="3.1171875" customWidth="1"/>
    <col min="8449" max="8449" width="3.234375" customWidth="1"/>
    <col min="8450" max="8450" width="27.29296875" customWidth="1"/>
    <col min="8452" max="8452" width="10.703125" customWidth="1"/>
    <col min="8453" max="8453" width="13" customWidth="1"/>
    <col min="8454" max="8454" width="10.17578125" customWidth="1"/>
    <col min="8455" max="8455" width="10.8203125" customWidth="1"/>
    <col min="8456" max="8456" width="16.87890625" customWidth="1"/>
    <col min="8458" max="8458" width="3.1171875" customWidth="1"/>
    <col min="8705" max="8705" width="3.234375" customWidth="1"/>
    <col min="8706" max="8706" width="27.29296875" customWidth="1"/>
    <col min="8708" max="8708" width="10.703125" customWidth="1"/>
    <col min="8709" max="8709" width="13" customWidth="1"/>
    <col min="8710" max="8710" width="10.17578125" customWidth="1"/>
    <col min="8711" max="8711" width="10.8203125" customWidth="1"/>
    <col min="8712" max="8712" width="16.87890625" customWidth="1"/>
    <col min="8714" max="8714" width="3.1171875" customWidth="1"/>
    <col min="8961" max="8961" width="3.234375" customWidth="1"/>
    <col min="8962" max="8962" width="27.29296875" customWidth="1"/>
    <col min="8964" max="8964" width="10.703125" customWidth="1"/>
    <col min="8965" max="8965" width="13" customWidth="1"/>
    <col min="8966" max="8966" width="10.17578125" customWidth="1"/>
    <col min="8967" max="8967" width="10.8203125" customWidth="1"/>
    <col min="8968" max="8968" width="16.87890625" customWidth="1"/>
    <col min="8970" max="8970" width="3.1171875" customWidth="1"/>
    <col min="9217" max="9217" width="3.234375" customWidth="1"/>
    <col min="9218" max="9218" width="27.29296875" customWidth="1"/>
    <col min="9220" max="9220" width="10.703125" customWidth="1"/>
    <col min="9221" max="9221" width="13" customWidth="1"/>
    <col min="9222" max="9222" width="10.17578125" customWidth="1"/>
    <col min="9223" max="9223" width="10.8203125" customWidth="1"/>
    <col min="9224" max="9224" width="16.87890625" customWidth="1"/>
    <col min="9226" max="9226" width="3.1171875" customWidth="1"/>
    <col min="9473" max="9473" width="3.234375" customWidth="1"/>
    <col min="9474" max="9474" width="27.29296875" customWidth="1"/>
    <col min="9476" max="9476" width="10.703125" customWidth="1"/>
    <col min="9477" max="9477" width="13" customWidth="1"/>
    <col min="9478" max="9478" width="10.17578125" customWidth="1"/>
    <col min="9479" max="9479" width="10.8203125" customWidth="1"/>
    <col min="9480" max="9480" width="16.87890625" customWidth="1"/>
    <col min="9482" max="9482" width="3.1171875" customWidth="1"/>
    <col min="9729" max="9729" width="3.234375" customWidth="1"/>
    <col min="9730" max="9730" width="27.29296875" customWidth="1"/>
    <col min="9732" max="9732" width="10.703125" customWidth="1"/>
    <col min="9733" max="9733" width="13" customWidth="1"/>
    <col min="9734" max="9734" width="10.17578125" customWidth="1"/>
    <col min="9735" max="9735" width="10.8203125" customWidth="1"/>
    <col min="9736" max="9736" width="16.87890625" customWidth="1"/>
    <col min="9738" max="9738" width="3.1171875" customWidth="1"/>
    <col min="9985" max="9985" width="3.234375" customWidth="1"/>
    <col min="9986" max="9986" width="27.29296875" customWidth="1"/>
    <col min="9988" max="9988" width="10.703125" customWidth="1"/>
    <col min="9989" max="9989" width="13" customWidth="1"/>
    <col min="9990" max="9990" width="10.17578125" customWidth="1"/>
    <col min="9991" max="9991" width="10.8203125" customWidth="1"/>
    <col min="9992" max="9992" width="16.87890625" customWidth="1"/>
    <col min="9994" max="9994" width="3.1171875" customWidth="1"/>
    <col min="10241" max="10241" width="3.234375" customWidth="1"/>
    <col min="10242" max="10242" width="27.29296875" customWidth="1"/>
    <col min="10244" max="10244" width="10.703125" customWidth="1"/>
    <col min="10245" max="10245" width="13" customWidth="1"/>
    <col min="10246" max="10246" width="10.17578125" customWidth="1"/>
    <col min="10247" max="10247" width="10.8203125" customWidth="1"/>
    <col min="10248" max="10248" width="16.87890625" customWidth="1"/>
    <col min="10250" max="10250" width="3.1171875" customWidth="1"/>
    <col min="10497" max="10497" width="3.234375" customWidth="1"/>
    <col min="10498" max="10498" width="27.29296875" customWidth="1"/>
    <col min="10500" max="10500" width="10.703125" customWidth="1"/>
    <col min="10501" max="10501" width="13" customWidth="1"/>
    <col min="10502" max="10502" width="10.17578125" customWidth="1"/>
    <col min="10503" max="10503" width="10.8203125" customWidth="1"/>
    <col min="10504" max="10504" width="16.87890625" customWidth="1"/>
    <col min="10506" max="10506" width="3.1171875" customWidth="1"/>
    <col min="10753" max="10753" width="3.234375" customWidth="1"/>
    <col min="10754" max="10754" width="27.29296875" customWidth="1"/>
    <col min="10756" max="10756" width="10.703125" customWidth="1"/>
    <col min="10757" max="10757" width="13" customWidth="1"/>
    <col min="10758" max="10758" width="10.17578125" customWidth="1"/>
    <col min="10759" max="10759" width="10.8203125" customWidth="1"/>
    <col min="10760" max="10760" width="16.87890625" customWidth="1"/>
    <col min="10762" max="10762" width="3.1171875" customWidth="1"/>
    <col min="11009" max="11009" width="3.234375" customWidth="1"/>
    <col min="11010" max="11010" width="27.29296875" customWidth="1"/>
    <col min="11012" max="11012" width="10.703125" customWidth="1"/>
    <col min="11013" max="11013" width="13" customWidth="1"/>
    <col min="11014" max="11014" width="10.17578125" customWidth="1"/>
    <col min="11015" max="11015" width="10.8203125" customWidth="1"/>
    <col min="11016" max="11016" width="16.87890625" customWidth="1"/>
    <col min="11018" max="11018" width="3.1171875" customWidth="1"/>
    <col min="11265" max="11265" width="3.234375" customWidth="1"/>
    <col min="11266" max="11266" width="27.29296875" customWidth="1"/>
    <col min="11268" max="11268" width="10.703125" customWidth="1"/>
    <col min="11269" max="11269" width="13" customWidth="1"/>
    <col min="11270" max="11270" width="10.17578125" customWidth="1"/>
    <col min="11271" max="11271" width="10.8203125" customWidth="1"/>
    <col min="11272" max="11272" width="16.87890625" customWidth="1"/>
    <col min="11274" max="11274" width="3.1171875" customWidth="1"/>
    <col min="11521" max="11521" width="3.234375" customWidth="1"/>
    <col min="11522" max="11522" width="27.29296875" customWidth="1"/>
    <col min="11524" max="11524" width="10.703125" customWidth="1"/>
    <col min="11525" max="11525" width="13" customWidth="1"/>
    <col min="11526" max="11526" width="10.17578125" customWidth="1"/>
    <col min="11527" max="11527" width="10.8203125" customWidth="1"/>
    <col min="11528" max="11528" width="16.87890625" customWidth="1"/>
    <col min="11530" max="11530" width="3.1171875" customWidth="1"/>
    <col min="11777" max="11777" width="3.234375" customWidth="1"/>
    <col min="11778" max="11778" width="27.29296875" customWidth="1"/>
    <col min="11780" max="11780" width="10.703125" customWidth="1"/>
    <col min="11781" max="11781" width="13" customWidth="1"/>
    <col min="11782" max="11782" width="10.17578125" customWidth="1"/>
    <col min="11783" max="11783" width="10.8203125" customWidth="1"/>
    <col min="11784" max="11784" width="16.87890625" customWidth="1"/>
    <col min="11786" max="11786" width="3.1171875" customWidth="1"/>
    <col min="12033" max="12033" width="3.234375" customWidth="1"/>
    <col min="12034" max="12034" width="27.29296875" customWidth="1"/>
    <col min="12036" max="12036" width="10.703125" customWidth="1"/>
    <col min="12037" max="12037" width="13" customWidth="1"/>
    <col min="12038" max="12038" width="10.17578125" customWidth="1"/>
    <col min="12039" max="12039" width="10.8203125" customWidth="1"/>
    <col min="12040" max="12040" width="16.87890625" customWidth="1"/>
    <col min="12042" max="12042" width="3.1171875" customWidth="1"/>
    <col min="12289" max="12289" width="3.234375" customWidth="1"/>
    <col min="12290" max="12290" width="27.29296875" customWidth="1"/>
    <col min="12292" max="12292" width="10.703125" customWidth="1"/>
    <col min="12293" max="12293" width="13" customWidth="1"/>
    <col min="12294" max="12294" width="10.17578125" customWidth="1"/>
    <col min="12295" max="12295" width="10.8203125" customWidth="1"/>
    <col min="12296" max="12296" width="16.87890625" customWidth="1"/>
    <col min="12298" max="12298" width="3.1171875" customWidth="1"/>
    <col min="12545" max="12545" width="3.234375" customWidth="1"/>
    <col min="12546" max="12546" width="27.29296875" customWidth="1"/>
    <col min="12548" max="12548" width="10.703125" customWidth="1"/>
    <col min="12549" max="12549" width="13" customWidth="1"/>
    <col min="12550" max="12550" width="10.17578125" customWidth="1"/>
    <col min="12551" max="12551" width="10.8203125" customWidth="1"/>
    <col min="12552" max="12552" width="16.87890625" customWidth="1"/>
    <col min="12554" max="12554" width="3.1171875" customWidth="1"/>
    <col min="12801" max="12801" width="3.234375" customWidth="1"/>
    <col min="12802" max="12802" width="27.29296875" customWidth="1"/>
    <col min="12804" max="12804" width="10.703125" customWidth="1"/>
    <col min="12805" max="12805" width="13" customWidth="1"/>
    <col min="12806" max="12806" width="10.17578125" customWidth="1"/>
    <col min="12807" max="12807" width="10.8203125" customWidth="1"/>
    <col min="12808" max="12808" width="16.87890625" customWidth="1"/>
    <col min="12810" max="12810" width="3.1171875" customWidth="1"/>
    <col min="13057" max="13057" width="3.234375" customWidth="1"/>
    <col min="13058" max="13058" width="27.29296875" customWidth="1"/>
    <col min="13060" max="13060" width="10.703125" customWidth="1"/>
    <col min="13061" max="13061" width="13" customWidth="1"/>
    <col min="13062" max="13062" width="10.17578125" customWidth="1"/>
    <col min="13063" max="13063" width="10.8203125" customWidth="1"/>
    <col min="13064" max="13064" width="16.87890625" customWidth="1"/>
    <col min="13066" max="13066" width="3.1171875" customWidth="1"/>
    <col min="13313" max="13313" width="3.234375" customWidth="1"/>
    <col min="13314" max="13314" width="27.29296875" customWidth="1"/>
    <col min="13316" max="13316" width="10.703125" customWidth="1"/>
    <col min="13317" max="13317" width="13" customWidth="1"/>
    <col min="13318" max="13318" width="10.17578125" customWidth="1"/>
    <col min="13319" max="13319" width="10.8203125" customWidth="1"/>
    <col min="13320" max="13320" width="16.87890625" customWidth="1"/>
    <col min="13322" max="13322" width="3.1171875" customWidth="1"/>
    <col min="13569" max="13569" width="3.234375" customWidth="1"/>
    <col min="13570" max="13570" width="27.29296875" customWidth="1"/>
    <col min="13572" max="13572" width="10.703125" customWidth="1"/>
    <col min="13573" max="13573" width="13" customWidth="1"/>
    <col min="13574" max="13574" width="10.17578125" customWidth="1"/>
    <col min="13575" max="13575" width="10.8203125" customWidth="1"/>
    <col min="13576" max="13576" width="16.87890625" customWidth="1"/>
    <col min="13578" max="13578" width="3.1171875" customWidth="1"/>
    <col min="13825" max="13825" width="3.234375" customWidth="1"/>
    <col min="13826" max="13826" width="27.29296875" customWidth="1"/>
    <col min="13828" max="13828" width="10.703125" customWidth="1"/>
    <col min="13829" max="13829" width="13" customWidth="1"/>
    <col min="13830" max="13830" width="10.17578125" customWidth="1"/>
    <col min="13831" max="13831" width="10.8203125" customWidth="1"/>
    <col min="13832" max="13832" width="16.87890625" customWidth="1"/>
    <col min="13834" max="13834" width="3.1171875" customWidth="1"/>
    <col min="14081" max="14081" width="3.234375" customWidth="1"/>
    <col min="14082" max="14082" width="27.29296875" customWidth="1"/>
    <col min="14084" max="14084" width="10.703125" customWidth="1"/>
    <col min="14085" max="14085" width="13" customWidth="1"/>
    <col min="14086" max="14086" width="10.17578125" customWidth="1"/>
    <col min="14087" max="14087" width="10.8203125" customWidth="1"/>
    <col min="14088" max="14088" width="16.87890625" customWidth="1"/>
    <col min="14090" max="14090" width="3.1171875" customWidth="1"/>
    <col min="14337" max="14337" width="3.234375" customWidth="1"/>
    <col min="14338" max="14338" width="27.29296875" customWidth="1"/>
    <col min="14340" max="14340" width="10.703125" customWidth="1"/>
    <col min="14341" max="14341" width="13" customWidth="1"/>
    <col min="14342" max="14342" width="10.17578125" customWidth="1"/>
    <col min="14343" max="14343" width="10.8203125" customWidth="1"/>
    <col min="14344" max="14344" width="16.87890625" customWidth="1"/>
    <col min="14346" max="14346" width="3.1171875" customWidth="1"/>
    <col min="14593" max="14593" width="3.234375" customWidth="1"/>
    <col min="14594" max="14594" width="27.29296875" customWidth="1"/>
    <col min="14596" max="14596" width="10.703125" customWidth="1"/>
    <col min="14597" max="14597" width="13" customWidth="1"/>
    <col min="14598" max="14598" width="10.17578125" customWidth="1"/>
    <col min="14599" max="14599" width="10.8203125" customWidth="1"/>
    <col min="14600" max="14600" width="16.87890625" customWidth="1"/>
    <col min="14602" max="14602" width="3.1171875" customWidth="1"/>
    <col min="14849" max="14849" width="3.234375" customWidth="1"/>
    <col min="14850" max="14850" width="27.29296875" customWidth="1"/>
    <col min="14852" max="14852" width="10.703125" customWidth="1"/>
    <col min="14853" max="14853" width="13" customWidth="1"/>
    <col min="14854" max="14854" width="10.17578125" customWidth="1"/>
    <col min="14855" max="14855" width="10.8203125" customWidth="1"/>
    <col min="14856" max="14856" width="16.87890625" customWidth="1"/>
    <col min="14858" max="14858" width="3.1171875" customWidth="1"/>
    <col min="15105" max="15105" width="3.234375" customWidth="1"/>
    <col min="15106" max="15106" width="27.29296875" customWidth="1"/>
    <col min="15108" max="15108" width="10.703125" customWidth="1"/>
    <col min="15109" max="15109" width="13" customWidth="1"/>
    <col min="15110" max="15110" width="10.17578125" customWidth="1"/>
    <col min="15111" max="15111" width="10.8203125" customWidth="1"/>
    <col min="15112" max="15112" width="16.87890625" customWidth="1"/>
    <col min="15114" max="15114" width="3.1171875" customWidth="1"/>
    <col min="15361" max="15361" width="3.234375" customWidth="1"/>
    <col min="15362" max="15362" width="27.29296875" customWidth="1"/>
    <col min="15364" max="15364" width="10.703125" customWidth="1"/>
    <col min="15365" max="15365" width="13" customWidth="1"/>
    <col min="15366" max="15366" width="10.17578125" customWidth="1"/>
    <col min="15367" max="15367" width="10.8203125" customWidth="1"/>
    <col min="15368" max="15368" width="16.87890625" customWidth="1"/>
    <col min="15370" max="15370" width="3.1171875" customWidth="1"/>
    <col min="15617" max="15617" width="3.234375" customWidth="1"/>
    <col min="15618" max="15618" width="27.29296875" customWidth="1"/>
    <col min="15620" max="15620" width="10.703125" customWidth="1"/>
    <col min="15621" max="15621" width="13" customWidth="1"/>
    <col min="15622" max="15622" width="10.17578125" customWidth="1"/>
    <col min="15623" max="15623" width="10.8203125" customWidth="1"/>
    <col min="15624" max="15624" width="16.87890625" customWidth="1"/>
    <col min="15626" max="15626" width="3.1171875" customWidth="1"/>
    <col min="15873" max="15873" width="3.234375" customWidth="1"/>
    <col min="15874" max="15874" width="27.29296875" customWidth="1"/>
    <col min="15876" max="15876" width="10.703125" customWidth="1"/>
    <col min="15877" max="15877" width="13" customWidth="1"/>
    <col min="15878" max="15878" width="10.17578125" customWidth="1"/>
    <col min="15879" max="15879" width="10.8203125" customWidth="1"/>
    <col min="15880" max="15880" width="16.87890625" customWidth="1"/>
    <col min="15882" max="15882" width="3.1171875" customWidth="1"/>
    <col min="16129" max="16129" width="3.234375" customWidth="1"/>
    <col min="16130" max="16130" width="27.29296875" customWidth="1"/>
    <col min="16132" max="16132" width="10.703125" customWidth="1"/>
    <col min="16133" max="16133" width="13" customWidth="1"/>
    <col min="16134" max="16134" width="10.17578125" customWidth="1"/>
    <col min="16135" max="16135" width="10.8203125" customWidth="1"/>
    <col min="16136" max="16136" width="16.87890625" customWidth="1"/>
    <col min="16138" max="16138" width="3.1171875" customWidth="1"/>
  </cols>
  <sheetData>
    <row r="1" spans="2:13" ht="20" x14ac:dyDescent="0.6">
      <c r="B1" s="44"/>
    </row>
    <row r="2" spans="2:13" ht="20" x14ac:dyDescent="0.6">
      <c r="B2" s="44" t="s">
        <v>297</v>
      </c>
    </row>
    <row r="3" spans="2:13" x14ac:dyDescent="0.5">
      <c r="B3" s="96" t="s">
        <v>298</v>
      </c>
      <c r="F3" s="343"/>
      <c r="G3" s="343"/>
      <c r="H3" s="343"/>
    </row>
    <row r="5" spans="2:13" x14ac:dyDescent="0.5">
      <c r="B5" s="49" t="s">
        <v>258</v>
      </c>
      <c r="E5" s="49" t="s">
        <v>259</v>
      </c>
    </row>
    <row r="6" spans="2:13" x14ac:dyDescent="0.5">
      <c r="B6" t="s">
        <v>260</v>
      </c>
      <c r="C6">
        <v>600</v>
      </c>
      <c r="E6" t="s">
        <v>299</v>
      </c>
      <c r="H6" s="344">
        <v>3.1510000000000003E-2</v>
      </c>
    </row>
    <row r="7" spans="2:13" x14ac:dyDescent="0.5">
      <c r="B7" t="s">
        <v>261</v>
      </c>
      <c r="C7">
        <v>5</v>
      </c>
      <c r="D7" t="s">
        <v>262</v>
      </c>
      <c r="E7" t="s">
        <v>300</v>
      </c>
      <c r="H7" s="344">
        <v>2.1600000000000001E-2</v>
      </c>
    </row>
    <row r="8" spans="2:13" x14ac:dyDescent="0.5">
      <c r="B8" t="s">
        <v>263</v>
      </c>
      <c r="C8">
        <v>8.6999999999999993</v>
      </c>
      <c r="D8" t="s">
        <v>262</v>
      </c>
      <c r="E8" t="s">
        <v>264</v>
      </c>
      <c r="H8">
        <v>0.25</v>
      </c>
      <c r="M8" s="364">
        <f>80/((1.1)^10)</f>
        <v>30.843463154362517</v>
      </c>
    </row>
    <row r="9" spans="2:13" x14ac:dyDescent="0.5">
      <c r="B9" t="s">
        <v>265</v>
      </c>
      <c r="C9" s="345">
        <v>0.1</v>
      </c>
      <c r="E9" t="s">
        <v>266</v>
      </c>
      <c r="H9" s="344">
        <v>0.88300000000000001</v>
      </c>
    </row>
    <row r="10" spans="2:13" x14ac:dyDescent="0.5">
      <c r="B10" t="s">
        <v>267</v>
      </c>
      <c r="C10" s="345">
        <f>162/450</f>
        <v>0.36</v>
      </c>
    </row>
    <row r="12" spans="2:13" x14ac:dyDescent="0.5">
      <c r="B12" s="346" t="s">
        <v>301</v>
      </c>
      <c r="D12" s="14">
        <v>1991</v>
      </c>
      <c r="E12" s="14">
        <f>+D12+1</f>
        <v>1992</v>
      </c>
      <c r="F12" s="14">
        <f>+E12+1</f>
        <v>1993</v>
      </c>
      <c r="G12" s="14">
        <f>+F12+1</f>
        <v>1994</v>
      </c>
      <c r="H12" s="14">
        <f>+G12+1</f>
        <v>1995</v>
      </c>
    </row>
    <row r="14" spans="2:13" x14ac:dyDescent="0.5">
      <c r="B14" t="s">
        <v>268</v>
      </c>
      <c r="C14" s="344"/>
      <c r="D14" s="347">
        <v>1250</v>
      </c>
      <c r="E14" s="347">
        <v>1137.5</v>
      </c>
      <c r="F14" s="347">
        <v>1114.8</v>
      </c>
      <c r="G14" s="347">
        <v>1159.3</v>
      </c>
      <c r="H14" s="347">
        <v>1205.7</v>
      </c>
    </row>
    <row r="15" spans="2:13" x14ac:dyDescent="0.5">
      <c r="B15" t="s">
        <v>269</v>
      </c>
      <c r="C15" s="344"/>
      <c r="D15" s="347">
        <v>-980</v>
      </c>
      <c r="E15" s="347">
        <v>-810</v>
      </c>
      <c r="F15" s="347">
        <v>-668</v>
      </c>
      <c r="G15" s="347">
        <v>-695.6</v>
      </c>
      <c r="H15" s="347">
        <v>-723.4</v>
      </c>
    </row>
    <row r="16" spans="2:13" x14ac:dyDescent="0.5">
      <c r="B16" t="s">
        <v>270</v>
      </c>
      <c r="C16" s="344"/>
      <c r="D16" s="348">
        <v>-720</v>
      </c>
      <c r="E16" s="348">
        <v>-210</v>
      </c>
      <c r="F16" s="348">
        <v>-205.8</v>
      </c>
      <c r="G16" s="348">
        <v>-214</v>
      </c>
      <c r="H16" s="348">
        <v>-222.6</v>
      </c>
    </row>
    <row r="17" spans="2:9" x14ac:dyDescent="0.5">
      <c r="B17" s="96" t="s">
        <v>271</v>
      </c>
      <c r="C17" s="349"/>
      <c r="D17" s="350">
        <f>SUM(D14:D16)</f>
        <v>-450</v>
      </c>
      <c r="E17" s="350">
        <f>SUM(E14:E16)</f>
        <v>117.5</v>
      </c>
      <c r="F17" s="350">
        <f>SUM(F14:F16)</f>
        <v>240.99999999999994</v>
      </c>
      <c r="G17" s="350">
        <f>SUM(G14:G16)</f>
        <v>249.69999999999993</v>
      </c>
      <c r="H17" s="350">
        <f>SUM(H14:H16)</f>
        <v>259.70000000000005</v>
      </c>
    </row>
    <row r="18" spans="2:9" x14ac:dyDescent="0.5">
      <c r="B18" s="96" t="s">
        <v>272</v>
      </c>
      <c r="C18" s="349"/>
      <c r="D18" s="351">
        <f>+$C$10*D17</f>
        <v>-162</v>
      </c>
      <c r="E18" s="351">
        <f>+$C$10*E17</f>
        <v>42.3</v>
      </c>
      <c r="F18" s="351">
        <f>+$C$10*F17</f>
        <v>86.759999999999977</v>
      </c>
      <c r="G18" s="351">
        <f>+$C$10*G17</f>
        <v>89.891999999999967</v>
      </c>
      <c r="H18" s="351">
        <f>+$C$10*H17</f>
        <v>93.492000000000019</v>
      </c>
    </row>
    <row r="19" spans="2:9" x14ac:dyDescent="0.5">
      <c r="B19" s="96" t="s">
        <v>273</v>
      </c>
      <c r="C19" s="349"/>
      <c r="D19" s="350">
        <f>+D17-D18</f>
        <v>-288</v>
      </c>
      <c r="E19" s="350">
        <f>+E17-E18</f>
        <v>75.2</v>
      </c>
      <c r="F19" s="350">
        <f>+F17-F18</f>
        <v>154.23999999999995</v>
      </c>
      <c r="G19" s="350">
        <f>+G17-G18</f>
        <v>159.80799999999996</v>
      </c>
      <c r="H19" s="350">
        <f>+H17-H18</f>
        <v>166.20800000000003</v>
      </c>
    </row>
    <row r="20" spans="2:9" x14ac:dyDescent="0.5">
      <c r="B20" s="96"/>
      <c r="C20" s="349"/>
      <c r="D20" s="350"/>
      <c r="E20" s="350"/>
      <c r="F20" s="350"/>
      <c r="G20" s="350"/>
      <c r="H20" s="350"/>
    </row>
    <row r="21" spans="2:9" x14ac:dyDescent="0.5">
      <c r="B21" t="s">
        <v>302</v>
      </c>
      <c r="C21" s="344"/>
      <c r="D21" s="347">
        <v>0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</row>
    <row r="22" spans="2:9" x14ac:dyDescent="0.5">
      <c r="B22" t="s">
        <v>303</v>
      </c>
      <c r="C22" s="344"/>
      <c r="D22" s="347">
        <v>0</v>
      </c>
      <c r="E22" s="347">
        <v>0</v>
      </c>
      <c r="F22" s="347">
        <v>0</v>
      </c>
      <c r="G22" s="347">
        <v>0</v>
      </c>
      <c r="H22" s="347">
        <v>0</v>
      </c>
    </row>
    <row r="23" spans="2:9" ht="14.7" thickBot="1" x14ac:dyDescent="0.55000000000000004">
      <c r="B23" t="s">
        <v>274</v>
      </c>
      <c r="D23" s="352">
        <f>SUM(D19:D22)</f>
        <v>-288</v>
      </c>
      <c r="E23" s="352">
        <f>SUM(E19:E22)</f>
        <v>75.2</v>
      </c>
      <c r="F23" s="352">
        <f>SUM(F19:F22)</f>
        <v>154.23999999999995</v>
      </c>
      <c r="G23" s="352">
        <f>SUM(G19:G22)</f>
        <v>159.80799999999996</v>
      </c>
      <c r="H23" s="352">
        <f>SUM(H19:H22)</f>
        <v>166.20800000000003</v>
      </c>
    </row>
    <row r="24" spans="2:9" ht="14.7" thickTop="1" x14ac:dyDescent="0.5">
      <c r="E24" s="353"/>
      <c r="F24" s="353"/>
      <c r="G24" s="353"/>
      <c r="H24" s="353"/>
    </row>
    <row r="25" spans="2:9" x14ac:dyDescent="0.5">
      <c r="B25" t="s">
        <v>275</v>
      </c>
      <c r="C25" s="354">
        <v>5</v>
      </c>
      <c r="D25" t="s">
        <v>15</v>
      </c>
      <c r="E25" s="353"/>
      <c r="F25" s="353"/>
      <c r="G25" s="353"/>
      <c r="H25" s="353">
        <f>+C25*H17</f>
        <v>1298.5000000000002</v>
      </c>
    </row>
    <row r="27" spans="2:9" ht="14.7" thickBot="1" x14ac:dyDescent="0.55000000000000004">
      <c r="B27" s="96" t="s">
        <v>276</v>
      </c>
      <c r="C27" s="355">
        <f>NPV(C9,D27:H27)</f>
        <v>934.83281693376591</v>
      </c>
      <c r="D27" s="356">
        <f>SUM(D23:D26)</f>
        <v>-288</v>
      </c>
      <c r="E27" s="356">
        <f>SUM(E23:E26)</f>
        <v>75.2</v>
      </c>
      <c r="F27" s="356">
        <f>SUM(F23:F26)</f>
        <v>154.23999999999995</v>
      </c>
      <c r="G27" s="356">
        <f>SUM(G23:G26)</f>
        <v>159.80799999999996</v>
      </c>
      <c r="H27" s="356">
        <f>SUM(H23:H26)</f>
        <v>1464.7080000000003</v>
      </c>
    </row>
    <row r="28" spans="2:9" ht="14.7" thickTop="1" x14ac:dyDescent="0.5"/>
    <row r="29" spans="2:9" ht="15.35" x14ac:dyDescent="0.5">
      <c r="B29" s="357" t="s">
        <v>277</v>
      </c>
    </row>
    <row r="30" spans="2:9" x14ac:dyDescent="0.5">
      <c r="B30" t="s">
        <v>278</v>
      </c>
      <c r="D30" s="55">
        <f>+H6*12</f>
        <v>0.37812000000000001</v>
      </c>
      <c r="E30" s="55" t="s">
        <v>279</v>
      </c>
      <c r="G30" t="s">
        <v>280</v>
      </c>
      <c r="H30">
        <f>SQRT(D30)</f>
        <v>0.61491462822086129</v>
      </c>
    </row>
    <row r="31" spans="2:9" x14ac:dyDescent="0.5">
      <c r="B31" t="s">
        <v>281</v>
      </c>
      <c r="D31">
        <f>+H7*12</f>
        <v>0.25919999999999999</v>
      </c>
      <c r="E31" s="55" t="s">
        <v>279</v>
      </c>
      <c r="G31" t="s">
        <v>280</v>
      </c>
      <c r="H31">
        <f>SQRT(D31)</f>
        <v>0.50911688245431419</v>
      </c>
    </row>
    <row r="33" spans="2:6" ht="15.35" x14ac:dyDescent="0.5">
      <c r="B33" s="357" t="s">
        <v>282</v>
      </c>
    </row>
    <row r="34" spans="2:6" ht="14.7" thickBot="1" x14ac:dyDescent="0.55000000000000004">
      <c r="B34" s="49"/>
    </row>
    <row r="35" spans="2:6" ht="19.5" customHeight="1" thickBot="1" x14ac:dyDescent="0.55000000000000004">
      <c r="B35" s="101" t="s">
        <v>304</v>
      </c>
      <c r="C35" s="358"/>
      <c r="D35" s="358"/>
      <c r="E35" s="358"/>
      <c r="F35" s="359"/>
    </row>
    <row r="36" spans="2:6" x14ac:dyDescent="0.5">
      <c r="B36" s="49"/>
    </row>
    <row r="37" spans="2:6" x14ac:dyDescent="0.5">
      <c r="B37" s="96" t="s">
        <v>283</v>
      </c>
      <c r="C37" s="344">
        <f>1-C38</f>
        <v>0.11699999999999999</v>
      </c>
      <c r="E37" s="216" t="s">
        <v>305</v>
      </c>
      <c r="F37">
        <f>+H8</f>
        <v>0.25</v>
      </c>
    </row>
    <row r="38" spans="2:6" x14ac:dyDescent="0.5">
      <c r="B38" s="96" t="s">
        <v>284</v>
      </c>
      <c r="C38" s="344">
        <f>+H9</f>
        <v>0.88300000000000001</v>
      </c>
    </row>
    <row r="39" spans="2:6" x14ac:dyDescent="0.5">
      <c r="B39" s="47"/>
    </row>
    <row r="40" spans="2:6" x14ac:dyDescent="0.5">
      <c r="B40" t="s">
        <v>285</v>
      </c>
      <c r="C40">
        <f>+((C37^2)*(D30))+((C38^2)*(D31))+(2*C37*C38*H8*H30*H31)*H8</f>
        <v>0.21131433533352173</v>
      </c>
    </row>
    <row r="42" spans="2:6" x14ac:dyDescent="0.5">
      <c r="B42" t="s">
        <v>286</v>
      </c>
    </row>
    <row r="44" spans="2:6" ht="15.35" x14ac:dyDescent="0.5">
      <c r="B44" s="357" t="s">
        <v>287</v>
      </c>
    </row>
    <row r="46" spans="2:6" x14ac:dyDescent="0.5">
      <c r="B46" t="s">
        <v>288</v>
      </c>
      <c r="E46" s="360">
        <f>+C27</f>
        <v>934.83281693376591</v>
      </c>
    </row>
    <row r="47" spans="2:6" x14ac:dyDescent="0.5">
      <c r="B47" t="s">
        <v>289</v>
      </c>
      <c r="E47" s="360">
        <f>+C6</f>
        <v>600</v>
      </c>
    </row>
    <row r="48" spans="2:6" x14ac:dyDescent="0.5">
      <c r="B48" t="s">
        <v>290</v>
      </c>
      <c r="E48">
        <f>+C7</f>
        <v>5</v>
      </c>
      <c r="F48" t="s">
        <v>262</v>
      </c>
    </row>
    <row r="49" spans="2:8" x14ac:dyDescent="0.5">
      <c r="B49" t="s">
        <v>291</v>
      </c>
      <c r="E49">
        <f>+C40</f>
        <v>0.21131433533352173</v>
      </c>
    </row>
    <row r="50" spans="2:8" x14ac:dyDescent="0.5">
      <c r="B50" t="s">
        <v>292</v>
      </c>
      <c r="E50" s="363">
        <v>0.06</v>
      </c>
    </row>
    <row r="52" spans="2:8" x14ac:dyDescent="0.5">
      <c r="B52" s="216" t="s">
        <v>293</v>
      </c>
      <c r="C52" s="55">
        <f>+(LN(E46/E47)+(E50+E49/2)*E48)/((SQRT(E49)*(SQRT(E48))))</f>
        <v>1.2372097900791295</v>
      </c>
      <c r="D52" s="216" t="s">
        <v>294</v>
      </c>
      <c r="E52">
        <f>NORMSDIST(C52)</f>
        <v>0.89199539606233424</v>
      </c>
    </row>
    <row r="53" spans="2:8" x14ac:dyDescent="0.5">
      <c r="B53" s="216" t="s">
        <v>295</v>
      </c>
      <c r="C53" s="55">
        <f>+C52-((SQRT(E49)*(SQRT(E48))))</f>
        <v>0.20931306537007166</v>
      </c>
      <c r="D53" s="216" t="s">
        <v>296</v>
      </c>
      <c r="E53">
        <f>NORMSDIST(C53)</f>
        <v>0.58289807350740941</v>
      </c>
    </row>
    <row r="54" spans="2:8" ht="14.7" thickBot="1" x14ac:dyDescent="0.55000000000000004"/>
    <row r="55" spans="2:8" ht="14.7" thickBot="1" x14ac:dyDescent="0.55000000000000004">
      <c r="B55" s="361" t="s">
        <v>306</v>
      </c>
      <c r="C55" s="362">
        <f>+(E46*E52)-(E47*(2.71^(-E50*E48))*E53)</f>
        <v>574.53637589242703</v>
      </c>
    </row>
    <row r="56" spans="2:8" x14ac:dyDescent="0.5">
      <c r="H56" t="s">
        <v>307</v>
      </c>
    </row>
    <row r="57" spans="2:8" x14ac:dyDescent="0.5">
      <c r="B57" s="1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0B79-0A33-4727-B619-14A429A42C84}">
  <dimension ref="A1:J16"/>
  <sheetViews>
    <sheetView showGridLines="0" workbookViewId="0">
      <selection activeCell="G15" sqref="G15"/>
    </sheetView>
  </sheetViews>
  <sheetFormatPr defaultRowHeight="14.35" x14ac:dyDescent="0.5"/>
  <cols>
    <col min="1" max="1" width="4.5859375" customWidth="1"/>
    <col min="2" max="2" width="10.17578125" customWidth="1"/>
    <col min="3" max="3" width="11.3515625" customWidth="1"/>
    <col min="4" max="4" width="11" customWidth="1"/>
    <col min="5" max="5" width="11.703125" customWidth="1"/>
    <col min="6" max="6" width="11.1171875" customWidth="1"/>
    <col min="7" max="7" width="12.3515625" customWidth="1"/>
    <col min="8" max="8" width="10.8203125" customWidth="1"/>
    <col min="9" max="9" width="16.703125" customWidth="1"/>
  </cols>
  <sheetData>
    <row r="1" spans="1:10" ht="20" x14ac:dyDescent="0.6">
      <c r="A1" s="43"/>
      <c r="B1" s="44" t="str">
        <f>+INPUT!B1</f>
        <v>AK Steel Holding Corp. (AKS)</v>
      </c>
      <c r="C1" s="45"/>
      <c r="J1" s="7"/>
    </row>
    <row r="2" spans="1:10" ht="10.5" customHeight="1" x14ac:dyDescent="0.5">
      <c r="A2" s="43"/>
      <c r="B2" s="46" t="s">
        <v>42</v>
      </c>
      <c r="C2" s="45"/>
      <c r="J2" s="7"/>
    </row>
    <row r="3" spans="1:10" ht="10.5" customHeight="1" x14ac:dyDescent="0.5"/>
    <row r="4" spans="1:10" ht="15.35" x14ac:dyDescent="0.5">
      <c r="A4" s="43"/>
      <c r="B4" s="78" t="s">
        <v>71</v>
      </c>
      <c r="C4" s="79"/>
      <c r="D4" s="65"/>
      <c r="E4" s="65"/>
      <c r="F4" s="65"/>
      <c r="G4" s="65"/>
      <c r="H4" s="65"/>
      <c r="I4" s="65"/>
    </row>
    <row r="5" spans="1:10" ht="8.25" customHeight="1" x14ac:dyDescent="0.5">
      <c r="A5" s="43"/>
    </row>
    <row r="6" spans="1:10" ht="21" customHeight="1" x14ac:dyDescent="0.5">
      <c r="A6" s="43"/>
      <c r="B6" t="s">
        <v>78</v>
      </c>
      <c r="D6" s="80" t="s">
        <v>79</v>
      </c>
      <c r="E6" s="80" t="s">
        <v>80</v>
      </c>
      <c r="F6" s="80" t="s">
        <v>81</v>
      </c>
      <c r="G6" s="80" t="s">
        <v>82</v>
      </c>
      <c r="H6" s="80" t="s">
        <v>83</v>
      </c>
      <c r="I6" s="81" t="s">
        <v>84</v>
      </c>
    </row>
    <row r="7" spans="1:10" ht="1" customHeight="1" thickBot="1" x14ac:dyDescent="0.55000000000000004">
      <c r="A7" s="43"/>
      <c r="D7" s="43"/>
      <c r="E7" s="43"/>
      <c r="F7" s="43"/>
      <c r="G7" s="43"/>
      <c r="H7" s="43"/>
      <c r="I7" s="82"/>
    </row>
    <row r="8" spans="1:10" ht="48" customHeight="1" thickBot="1" x14ac:dyDescent="0.55000000000000004">
      <c r="A8" s="43"/>
      <c r="B8" s="83" t="s">
        <v>85</v>
      </c>
      <c r="C8" s="84" t="s">
        <v>86</v>
      </c>
      <c r="D8" s="85" t="s">
        <v>348</v>
      </c>
      <c r="E8" s="85" t="s">
        <v>87</v>
      </c>
      <c r="F8" s="85" t="s">
        <v>88</v>
      </c>
      <c r="G8" s="86" t="s">
        <v>119</v>
      </c>
      <c r="H8" s="87" t="s">
        <v>120</v>
      </c>
      <c r="I8" s="88" t="s">
        <v>89</v>
      </c>
    </row>
    <row r="9" spans="1:10" ht="15.75" customHeight="1" thickBot="1" x14ac:dyDescent="0.55000000000000004">
      <c r="A9" s="43"/>
      <c r="B9" s="83"/>
      <c r="C9" s="84"/>
      <c r="D9" s="370">
        <f>+INPUT!G3</f>
        <v>43433</v>
      </c>
      <c r="E9" s="370">
        <f>+D9</f>
        <v>43433</v>
      </c>
      <c r="F9" s="370">
        <f>+E9</f>
        <v>43433</v>
      </c>
      <c r="G9" s="371">
        <f>+INPUT!C3</f>
        <v>43373</v>
      </c>
      <c r="H9" s="372">
        <f>INPUT!C3</f>
        <v>43373</v>
      </c>
      <c r="I9" s="373">
        <f>+E9</f>
        <v>43433</v>
      </c>
    </row>
    <row r="10" spans="1:10" ht="29.7" customHeight="1" x14ac:dyDescent="0.5">
      <c r="A10" s="43"/>
      <c r="B10" s="91" t="s">
        <v>308</v>
      </c>
      <c r="C10" s="374" t="s">
        <v>310</v>
      </c>
      <c r="D10" s="375">
        <f>+INPUT!G9</f>
        <v>3.1</v>
      </c>
      <c r="E10" s="376">
        <f>+INPUT!G10</f>
        <v>315540</v>
      </c>
      <c r="F10" s="377">
        <f>+E10*D10</f>
        <v>978174</v>
      </c>
      <c r="G10" s="377">
        <f>+INPUT!C15</f>
        <v>2030000</v>
      </c>
      <c r="H10" s="377">
        <f>+INPUT!C16</f>
        <v>47300</v>
      </c>
      <c r="I10" s="378">
        <f>+F10+G10-H10</f>
        <v>2960874</v>
      </c>
    </row>
    <row r="11" spans="1:10" x14ac:dyDescent="0.5">
      <c r="A11" s="43"/>
    </row>
    <row r="12" spans="1:10" x14ac:dyDescent="0.5">
      <c r="A12" s="43"/>
      <c r="I12" s="216"/>
    </row>
    <row r="13" spans="1:10" x14ac:dyDescent="0.5">
      <c r="A13" s="43"/>
    </row>
    <row r="14" spans="1:10" x14ac:dyDescent="0.5">
      <c r="A14" s="43"/>
    </row>
    <row r="15" spans="1:10" x14ac:dyDescent="0.5">
      <c r="A15" s="43"/>
    </row>
    <row r="16" spans="1:10" x14ac:dyDescent="0.5">
      <c r="A16" s="4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7D4E-E9A2-4043-823D-1A1D47619B31}">
  <dimension ref="A1:J17"/>
  <sheetViews>
    <sheetView showGridLines="0" workbookViewId="0">
      <selection activeCell="E21" sqref="E21"/>
    </sheetView>
  </sheetViews>
  <sheetFormatPr defaultRowHeight="14.35" x14ac:dyDescent="0.5"/>
  <cols>
    <col min="1" max="1" width="4.17578125" customWidth="1"/>
    <col min="2" max="2" width="26.87890625" customWidth="1"/>
    <col min="3" max="3" width="11.703125" customWidth="1"/>
  </cols>
  <sheetData>
    <row r="1" spans="1:10" ht="14.7" thickBot="1" x14ac:dyDescent="0.55000000000000004"/>
    <row r="2" spans="1:10" ht="20" x14ac:dyDescent="0.6">
      <c r="A2" s="43"/>
      <c r="B2" s="1" t="str">
        <f>+'Method #1'!B1</f>
        <v>AK Steel Holding Corp. (AKS)</v>
      </c>
      <c r="C2" s="237"/>
      <c r="D2" s="3"/>
      <c r="E2" s="3"/>
      <c r="F2" s="3"/>
      <c r="G2" s="3"/>
      <c r="H2" s="3"/>
      <c r="I2" s="3"/>
      <c r="J2" s="4"/>
    </row>
    <row r="3" spans="1:10" ht="10.5" customHeight="1" x14ac:dyDescent="0.5">
      <c r="A3" s="43"/>
      <c r="B3" s="238" t="s">
        <v>42</v>
      </c>
      <c r="C3" s="239"/>
      <c r="D3" s="7"/>
      <c r="E3" s="7"/>
      <c r="F3" s="7"/>
      <c r="G3" s="7"/>
      <c r="H3" s="7"/>
      <c r="I3" s="7"/>
      <c r="J3" s="8"/>
    </row>
    <row r="4" spans="1:10" x14ac:dyDescent="0.5">
      <c r="A4" s="43"/>
      <c r="B4" s="16"/>
      <c r="C4" s="7"/>
      <c r="D4" s="7"/>
      <c r="E4" s="7"/>
      <c r="F4" s="7"/>
      <c r="G4" s="7"/>
      <c r="H4" s="7"/>
      <c r="I4" s="7"/>
      <c r="J4" s="8"/>
    </row>
    <row r="5" spans="1:10" ht="15.35" x14ac:dyDescent="0.5">
      <c r="A5" s="43"/>
      <c r="B5" s="240" t="s">
        <v>72</v>
      </c>
      <c r="C5" s="64"/>
      <c r="D5" s="64"/>
      <c r="E5" s="64"/>
      <c r="F5" s="64"/>
      <c r="G5" s="64"/>
      <c r="H5" s="64"/>
      <c r="I5" s="97"/>
      <c r="J5" s="241"/>
    </row>
    <row r="6" spans="1:10" ht="15.35" x14ac:dyDescent="0.5">
      <c r="A6" s="43"/>
      <c r="B6" s="242"/>
      <c r="C6" s="7"/>
      <c r="D6" s="7"/>
      <c r="E6" s="7"/>
      <c r="F6" s="7"/>
      <c r="G6" s="7"/>
      <c r="H6" s="7"/>
      <c r="I6" s="12"/>
      <c r="J6" s="243"/>
    </row>
    <row r="7" spans="1:10" ht="16.5" customHeight="1" x14ac:dyDescent="0.5">
      <c r="A7" s="43"/>
      <c r="B7" s="244" t="s">
        <v>91</v>
      </c>
      <c r="C7" s="245"/>
      <c r="D7" s="7"/>
      <c r="E7" s="98" t="s">
        <v>92</v>
      </c>
      <c r="F7" s="245"/>
      <c r="G7" s="7"/>
      <c r="H7" s="7"/>
      <c r="I7" s="7"/>
      <c r="J7" s="8"/>
    </row>
    <row r="8" spans="1:10" ht="16.5" customHeight="1" x14ac:dyDescent="0.5">
      <c r="A8" s="43"/>
      <c r="B8" s="246" t="s">
        <v>93</v>
      </c>
      <c r="C8" s="247">
        <v>2.75E-2</v>
      </c>
      <c r="D8" s="7"/>
      <c r="E8" s="99" t="s">
        <v>94</v>
      </c>
      <c r="F8" s="7"/>
      <c r="G8" s="248">
        <v>0</v>
      </c>
      <c r="H8" s="7"/>
      <c r="I8" s="7"/>
      <c r="J8" s="8"/>
    </row>
    <row r="9" spans="1:10" ht="16.5" customHeight="1" x14ac:dyDescent="0.5">
      <c r="A9" s="43"/>
      <c r="B9" s="246" t="s">
        <v>95</v>
      </c>
      <c r="C9" s="249">
        <v>2.91</v>
      </c>
      <c r="D9" s="7"/>
      <c r="E9" s="99" t="s">
        <v>96</v>
      </c>
      <c r="F9" s="7"/>
      <c r="G9" s="250">
        <v>0</v>
      </c>
      <c r="H9" s="251" t="s">
        <v>97</v>
      </c>
      <c r="I9" s="7"/>
      <c r="J9" s="8"/>
    </row>
    <row r="10" spans="1:10" ht="16.5" customHeight="1" x14ac:dyDescent="0.5">
      <c r="A10" s="43"/>
      <c r="B10" s="246" t="s">
        <v>98</v>
      </c>
      <c r="C10" s="247">
        <v>0.1</v>
      </c>
      <c r="D10" s="7"/>
      <c r="E10" s="99" t="s">
        <v>99</v>
      </c>
      <c r="F10" s="7"/>
      <c r="G10" s="252">
        <f>+INPUT!G19</f>
        <v>-117.495</v>
      </c>
      <c r="H10" s="7"/>
      <c r="I10" s="7"/>
      <c r="J10" s="8"/>
    </row>
    <row r="11" spans="1:10" ht="16.5" customHeight="1" x14ac:dyDescent="0.5">
      <c r="A11" s="43"/>
      <c r="B11" s="246" t="s">
        <v>100</v>
      </c>
      <c r="C11" s="192">
        <f>+C10+C8</f>
        <v>0.1275</v>
      </c>
      <c r="D11" s="7"/>
      <c r="E11" s="99" t="s">
        <v>101</v>
      </c>
      <c r="F11" s="7"/>
      <c r="G11" s="250">
        <v>4</v>
      </c>
      <c r="H11" s="251" t="s">
        <v>102</v>
      </c>
      <c r="I11" s="7"/>
      <c r="J11" s="8"/>
    </row>
    <row r="12" spans="1:10" ht="16.5" customHeight="1" thickBot="1" x14ac:dyDescent="0.65">
      <c r="A12" s="43"/>
      <c r="B12" s="253"/>
      <c r="C12" s="239"/>
      <c r="D12" s="7"/>
      <c r="E12" s="99" t="s">
        <v>103</v>
      </c>
      <c r="F12" s="7"/>
      <c r="G12" s="254">
        <f>+C13</f>
        <v>0.31850000000000006</v>
      </c>
      <c r="H12" s="7"/>
      <c r="I12" s="7"/>
      <c r="J12" s="8"/>
    </row>
    <row r="13" spans="1:10" ht="16.5" customHeight="1" thickBot="1" x14ac:dyDescent="0.55000000000000004">
      <c r="A13" s="43"/>
      <c r="B13" s="101" t="s">
        <v>104</v>
      </c>
      <c r="C13" s="102">
        <f>+C8+(C9*C10)</f>
        <v>0.31850000000000006</v>
      </c>
      <c r="D13" s="7"/>
      <c r="E13" s="101" t="s">
        <v>105</v>
      </c>
      <c r="F13" s="103"/>
      <c r="G13" s="104">
        <f>+(G11+G8)/(1+(G12))</f>
        <v>3.0337504740235115</v>
      </c>
      <c r="H13" s="251"/>
      <c r="I13" s="7"/>
      <c r="J13" s="8"/>
    </row>
    <row r="14" spans="1:10" ht="16.5" customHeight="1" thickBot="1" x14ac:dyDescent="0.55000000000000004">
      <c r="A14" s="43"/>
      <c r="B14" s="16"/>
      <c r="C14" s="7"/>
      <c r="D14" s="7"/>
      <c r="E14" s="7"/>
      <c r="F14" s="7"/>
      <c r="G14" s="7"/>
      <c r="H14" s="7"/>
      <c r="I14" s="7"/>
      <c r="J14" s="8"/>
    </row>
    <row r="15" spans="1:10" ht="16.5" customHeight="1" thickBot="1" x14ac:dyDescent="0.55000000000000004">
      <c r="A15" s="43"/>
      <c r="B15" s="94" t="s">
        <v>90</v>
      </c>
      <c r="C15" s="95">
        <f>+'Summary Val'!C10</f>
        <v>2939969.6245733788</v>
      </c>
      <c r="D15" s="7"/>
      <c r="E15" s="7"/>
      <c r="F15" s="7"/>
      <c r="G15" s="7"/>
      <c r="H15" s="7"/>
      <c r="I15" s="7"/>
      <c r="J15" s="8"/>
    </row>
    <row r="16" spans="1:10" ht="14.7" thickBot="1" x14ac:dyDescent="0.55000000000000004">
      <c r="A16" s="43"/>
      <c r="B16" s="39"/>
      <c r="C16" s="40"/>
      <c r="D16" s="40"/>
      <c r="E16" s="40"/>
      <c r="F16" s="40"/>
      <c r="G16" s="40"/>
      <c r="H16" s="40"/>
      <c r="I16" s="40"/>
      <c r="J16" s="42"/>
    </row>
    <row r="17" spans="10:10" x14ac:dyDescent="0.5">
      <c r="J17" s="216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2B35-A374-42CE-A8D3-F0EF87305D53}">
  <dimension ref="A1:J15"/>
  <sheetViews>
    <sheetView showGridLines="0" workbookViewId="0">
      <selection activeCell="E29" sqref="E29"/>
    </sheetView>
  </sheetViews>
  <sheetFormatPr defaultRowHeight="14.35" x14ac:dyDescent="0.5"/>
  <cols>
    <col min="2" max="2" width="23.76171875" customWidth="1"/>
    <col min="3" max="3" width="13.76171875" customWidth="1"/>
  </cols>
  <sheetData>
    <row r="1" spans="1:10" ht="20" x14ac:dyDescent="0.6">
      <c r="A1" s="43"/>
      <c r="B1" s="1" t="str">
        <f>+'Method #1'!B1</f>
        <v>AK Steel Holding Corp. (AKS)</v>
      </c>
      <c r="C1" s="237"/>
      <c r="D1" s="3"/>
      <c r="E1" s="3"/>
      <c r="F1" s="3"/>
      <c r="G1" s="3"/>
      <c r="H1" s="3"/>
      <c r="I1" s="4"/>
      <c r="J1" s="7"/>
    </row>
    <row r="2" spans="1:10" ht="10.5" customHeight="1" x14ac:dyDescent="0.5">
      <c r="A2" s="43"/>
      <c r="B2" s="238" t="s">
        <v>42</v>
      </c>
      <c r="C2" s="239"/>
      <c r="D2" s="7"/>
      <c r="E2" s="7"/>
      <c r="F2" s="7"/>
      <c r="G2" s="7"/>
      <c r="H2" s="7"/>
      <c r="I2" s="8"/>
      <c r="J2" s="7"/>
    </row>
    <row r="3" spans="1:10" x14ac:dyDescent="0.5">
      <c r="B3" s="16"/>
      <c r="C3" s="7"/>
      <c r="D3" s="7"/>
      <c r="E3" s="7"/>
      <c r="F3" s="7"/>
      <c r="G3" s="7"/>
      <c r="H3" s="7"/>
      <c r="I3" s="8"/>
      <c r="J3" s="7"/>
    </row>
    <row r="4" spans="1:10" x14ac:dyDescent="0.5">
      <c r="B4" s="16"/>
      <c r="C4" s="7"/>
      <c r="D4" s="7"/>
      <c r="E4" s="7"/>
      <c r="F4" s="7"/>
      <c r="G4" s="7"/>
      <c r="H4" s="7"/>
      <c r="I4" s="8"/>
      <c r="J4" s="7"/>
    </row>
    <row r="5" spans="1:10" ht="15.35" x14ac:dyDescent="0.5">
      <c r="A5" s="43"/>
      <c r="B5" s="240" t="s">
        <v>73</v>
      </c>
      <c r="C5" s="64"/>
      <c r="D5" s="64"/>
      <c r="E5" s="64"/>
      <c r="F5" s="64"/>
      <c r="G5" s="64"/>
      <c r="H5" s="64"/>
      <c r="I5" s="241"/>
      <c r="J5" s="7"/>
    </row>
    <row r="6" spans="1:10" x14ac:dyDescent="0.5">
      <c r="A6" s="43"/>
      <c r="B6" s="16"/>
      <c r="C6" s="7"/>
      <c r="D6" s="7"/>
      <c r="E6" s="7"/>
      <c r="F6" s="7"/>
      <c r="G6" s="7"/>
      <c r="H6" s="7"/>
      <c r="I6" s="8"/>
      <c r="J6" s="7"/>
    </row>
    <row r="7" spans="1:10" x14ac:dyDescent="0.5">
      <c r="A7" s="43"/>
      <c r="B7" s="279" t="s">
        <v>106</v>
      </c>
      <c r="C7" s="245"/>
      <c r="D7" s="7"/>
      <c r="E7" s="280" t="s">
        <v>107</v>
      </c>
      <c r="F7" s="245"/>
      <c r="G7" s="7"/>
      <c r="H7" s="7"/>
      <c r="I7" s="8"/>
      <c r="J7" s="7"/>
    </row>
    <row r="8" spans="1:10" x14ac:dyDescent="0.5">
      <c r="A8" s="43"/>
      <c r="B8" s="281" t="s">
        <v>108</v>
      </c>
      <c r="C8" s="248">
        <f>+G8</f>
        <v>0</v>
      </c>
      <c r="D8" s="7"/>
      <c r="E8" s="245" t="s">
        <v>109</v>
      </c>
      <c r="F8" s="7"/>
      <c r="G8" s="248">
        <f>+INPUT!G13</f>
        <v>0</v>
      </c>
      <c r="H8" s="190" t="s">
        <v>110</v>
      </c>
      <c r="I8" s="8"/>
      <c r="J8" s="7"/>
    </row>
    <row r="9" spans="1:10" x14ac:dyDescent="0.5">
      <c r="A9" s="43"/>
      <c r="B9" s="281" t="s">
        <v>111</v>
      </c>
      <c r="C9" s="254">
        <f>+'Method #2'!C13</f>
        <v>0.31850000000000006</v>
      </c>
      <c r="D9" s="7"/>
      <c r="E9" s="245" t="s">
        <v>112</v>
      </c>
      <c r="F9" s="7"/>
      <c r="G9" s="248">
        <f>+INPUT!G9+G8</f>
        <v>3.1</v>
      </c>
      <c r="H9" s="7"/>
      <c r="I9" s="8"/>
      <c r="J9" s="7"/>
    </row>
    <row r="10" spans="1:10" ht="14.7" thickBot="1" x14ac:dyDescent="0.55000000000000004">
      <c r="A10" s="43"/>
      <c r="B10" s="281" t="s">
        <v>113</v>
      </c>
      <c r="C10" s="282">
        <v>0.1</v>
      </c>
      <c r="D10" s="7"/>
      <c r="E10" s="245" t="s">
        <v>114</v>
      </c>
      <c r="F10" s="7"/>
      <c r="G10" s="283">
        <f>+INPUT!G9</f>
        <v>3.1</v>
      </c>
      <c r="H10" s="7"/>
      <c r="I10" s="8"/>
      <c r="J10" s="7"/>
    </row>
    <row r="11" spans="1:10" ht="14.7" thickBot="1" x14ac:dyDescent="0.55000000000000004">
      <c r="A11" s="43"/>
      <c r="B11" s="101" t="s">
        <v>105</v>
      </c>
      <c r="C11" s="104">
        <f>+(C8*(1+C10))/(C9-C10)</f>
        <v>0</v>
      </c>
      <c r="D11" s="7"/>
      <c r="E11" s="101" t="s">
        <v>115</v>
      </c>
      <c r="F11" s="103"/>
      <c r="G11" s="105">
        <f>+(G8+(G9-G10))/G10</f>
        <v>0</v>
      </c>
      <c r="H11" s="7"/>
      <c r="I11" s="8"/>
      <c r="J11" s="7"/>
    </row>
    <row r="12" spans="1:10" ht="14.7" thickBot="1" x14ac:dyDescent="0.55000000000000004">
      <c r="A12" s="43"/>
      <c r="B12" s="16"/>
      <c r="C12" s="7"/>
      <c r="D12" s="7"/>
      <c r="E12" s="7"/>
      <c r="F12" s="7"/>
      <c r="G12" s="7"/>
      <c r="H12" s="7"/>
      <c r="I12" s="8"/>
      <c r="J12" s="7"/>
    </row>
    <row r="13" spans="1:10" ht="17.100000000000001" customHeight="1" thickBot="1" x14ac:dyDescent="0.55000000000000004">
      <c r="A13" s="43"/>
      <c r="B13" s="94" t="s">
        <v>90</v>
      </c>
      <c r="C13" s="95">
        <f>+'Summary Val'!C11</f>
        <v>1982700</v>
      </c>
      <c r="D13" s="7"/>
      <c r="E13" s="7"/>
      <c r="F13" s="7"/>
      <c r="G13" s="7"/>
      <c r="H13" s="7"/>
      <c r="I13" s="8"/>
      <c r="J13" s="7"/>
    </row>
    <row r="14" spans="1:10" ht="14.7" thickBot="1" x14ac:dyDescent="0.55000000000000004">
      <c r="A14" s="43"/>
      <c r="B14" s="39"/>
      <c r="C14" s="40"/>
      <c r="D14" s="40"/>
      <c r="E14" s="40"/>
      <c r="F14" s="40"/>
      <c r="G14" s="40"/>
      <c r="H14" s="40"/>
      <c r="I14" s="42"/>
      <c r="J14" s="7"/>
    </row>
    <row r="15" spans="1:10" x14ac:dyDescent="0.5">
      <c r="I15" s="216" t="s">
        <v>215</v>
      </c>
      <c r="J15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2CEC-E663-4E11-A73C-ACED1439FD8E}">
  <dimension ref="A1:L21"/>
  <sheetViews>
    <sheetView showGridLines="0" workbookViewId="0">
      <selection activeCell="B1" sqref="B1:L20"/>
    </sheetView>
  </sheetViews>
  <sheetFormatPr defaultRowHeight="14.35" x14ac:dyDescent="0.5"/>
  <cols>
    <col min="2" max="2" width="28" customWidth="1"/>
    <col min="3" max="3" width="12.76171875" customWidth="1"/>
    <col min="4" max="4" width="10.52734375" customWidth="1"/>
    <col min="5" max="5" width="11.3515625" customWidth="1"/>
    <col min="6" max="6" width="11.17578125" customWidth="1"/>
  </cols>
  <sheetData>
    <row r="1" spans="1:12" ht="20" x14ac:dyDescent="0.6">
      <c r="A1" s="43"/>
      <c r="B1" s="44" t="str">
        <f>+'Method #1'!B1</f>
        <v>AK Steel Holding Corp. (AKS)</v>
      </c>
      <c r="C1" s="45"/>
      <c r="J1" s="7"/>
    </row>
    <row r="2" spans="1:12" ht="10.5" customHeight="1" x14ac:dyDescent="0.5">
      <c r="A2" s="43"/>
      <c r="B2" s="46" t="s">
        <v>42</v>
      </c>
      <c r="C2" s="45"/>
      <c r="J2" s="7"/>
    </row>
    <row r="3" spans="1:12" ht="10.5" customHeight="1" x14ac:dyDescent="0.5">
      <c r="A3" s="43"/>
      <c r="B3" s="46"/>
      <c r="C3" s="45"/>
      <c r="J3" s="7"/>
    </row>
    <row r="4" spans="1:12" ht="15.35" x14ac:dyDescent="0.5">
      <c r="A4" s="43"/>
      <c r="B4" s="78" t="s">
        <v>74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8.25" customHeight="1" x14ac:dyDescent="0.6">
      <c r="A5" s="43"/>
      <c r="B5" s="106"/>
    </row>
    <row r="6" spans="1:12" ht="11.25" customHeight="1" x14ac:dyDescent="0.5">
      <c r="A6" s="43"/>
      <c r="B6" s="96"/>
      <c r="D6" s="80" t="s">
        <v>79</v>
      </c>
      <c r="E6" s="80" t="s">
        <v>80</v>
      </c>
      <c r="F6" s="80" t="s">
        <v>81</v>
      </c>
      <c r="G6" s="80" t="s">
        <v>82</v>
      </c>
      <c r="H6" s="80" t="s">
        <v>83</v>
      </c>
      <c r="I6" s="81" t="s">
        <v>84</v>
      </c>
      <c r="J6" s="80" t="s">
        <v>116</v>
      </c>
      <c r="K6" s="80" t="s">
        <v>117</v>
      </c>
    </row>
    <row r="7" spans="1:12" ht="7.5" customHeight="1" thickBot="1" x14ac:dyDescent="0.55000000000000004">
      <c r="A7" s="43"/>
      <c r="B7" s="96"/>
      <c r="D7" s="43"/>
      <c r="E7" s="43"/>
      <c r="F7" s="43"/>
      <c r="G7" s="43"/>
      <c r="H7" s="43"/>
    </row>
    <row r="8" spans="1:12" ht="64.349999999999994" thickBot="1" x14ac:dyDescent="0.55000000000000004">
      <c r="A8" s="43"/>
      <c r="B8" s="83" t="s">
        <v>85</v>
      </c>
      <c r="C8" s="107" t="s">
        <v>86</v>
      </c>
      <c r="D8" s="85" t="str">
        <f>+'Method #1'!D8</f>
        <v xml:space="preserve">Stock Price </v>
      </c>
      <c r="E8" s="85" t="s">
        <v>87</v>
      </c>
      <c r="F8" s="85" t="s">
        <v>118</v>
      </c>
      <c r="G8" s="86" t="s">
        <v>119</v>
      </c>
      <c r="H8" s="87" t="s">
        <v>120</v>
      </c>
      <c r="I8" s="88" t="s">
        <v>89</v>
      </c>
      <c r="J8" s="86" t="s">
        <v>121</v>
      </c>
      <c r="K8" s="108" t="s">
        <v>122</v>
      </c>
      <c r="L8" s="109" t="s">
        <v>123</v>
      </c>
    </row>
    <row r="9" spans="1:12" ht="15.6" customHeight="1" x14ac:dyDescent="0.5">
      <c r="A9" s="43"/>
      <c r="B9" s="89" t="s">
        <v>317</v>
      </c>
      <c r="C9" s="110" t="s">
        <v>318</v>
      </c>
      <c r="D9" s="111">
        <v>22.93</v>
      </c>
      <c r="E9" s="112">
        <v>177270</v>
      </c>
      <c r="F9" s="92">
        <f t="shared" ref="F9:F13" si="0">+E9*D9</f>
        <v>4064801.1</v>
      </c>
      <c r="G9" s="113">
        <v>2500000</v>
      </c>
      <c r="H9" s="114">
        <v>1340000</v>
      </c>
      <c r="I9" s="115">
        <f t="shared" ref="I9:I13" si="1">+F9+G9-H9</f>
        <v>5224801.0999999996</v>
      </c>
      <c r="J9" s="113">
        <v>1360000</v>
      </c>
      <c r="K9" s="116">
        <f t="shared" ref="K9:K13" si="2">+I9/J9</f>
        <v>3.841765514705882</v>
      </c>
      <c r="L9" s="255">
        <v>4.04</v>
      </c>
    </row>
    <row r="10" spans="1:12" ht="15.6" customHeight="1" x14ac:dyDescent="0.5">
      <c r="A10" s="43"/>
      <c r="B10" s="89" t="s">
        <v>319</v>
      </c>
      <c r="C10" s="110" t="s">
        <v>320</v>
      </c>
      <c r="D10" s="111">
        <v>35.119999999999997</v>
      </c>
      <c r="E10" s="112">
        <v>229550</v>
      </c>
      <c r="F10" s="92">
        <f t="shared" si="0"/>
        <v>8061795.9999999991</v>
      </c>
      <c r="G10" s="113">
        <v>2370000</v>
      </c>
      <c r="H10" s="114">
        <v>999320</v>
      </c>
      <c r="I10" s="115">
        <f t="shared" si="1"/>
        <v>9432476</v>
      </c>
      <c r="J10" s="113">
        <v>1860000</v>
      </c>
      <c r="K10" s="116">
        <f t="shared" si="2"/>
        <v>5.0712236559139781</v>
      </c>
      <c r="L10" s="255">
        <v>1.5</v>
      </c>
    </row>
    <row r="11" spans="1:12" ht="15.6" customHeight="1" x14ac:dyDescent="0.5">
      <c r="A11" s="43"/>
      <c r="B11" s="91" t="s">
        <v>322</v>
      </c>
      <c r="C11" s="117" t="s">
        <v>321</v>
      </c>
      <c r="D11" s="118">
        <v>79.989999999999995</v>
      </c>
      <c r="E11" s="119">
        <v>70430</v>
      </c>
      <c r="F11" s="92">
        <f t="shared" si="0"/>
        <v>5633695.6999999993</v>
      </c>
      <c r="G11" s="120">
        <v>2070000</v>
      </c>
      <c r="H11" s="121">
        <v>112100</v>
      </c>
      <c r="I11" s="115">
        <f t="shared" si="1"/>
        <v>7591595.6999999993</v>
      </c>
      <c r="J11" s="120">
        <v>1180000</v>
      </c>
      <c r="K11" s="116">
        <f t="shared" si="2"/>
        <v>6.4335556779661012</v>
      </c>
      <c r="L11" s="255">
        <v>1.08</v>
      </c>
    </row>
    <row r="12" spans="1:12" ht="15.6" customHeight="1" x14ac:dyDescent="0.5">
      <c r="A12" s="43"/>
      <c r="B12" s="91" t="s">
        <v>323</v>
      </c>
      <c r="C12" s="122" t="s">
        <v>324</v>
      </c>
      <c r="D12" s="118">
        <v>26.66</v>
      </c>
      <c r="E12" s="119">
        <v>25690</v>
      </c>
      <c r="F12" s="92">
        <f t="shared" si="0"/>
        <v>684895.4</v>
      </c>
      <c r="G12" s="120">
        <v>107380</v>
      </c>
      <c r="H12" s="121">
        <v>4700</v>
      </c>
      <c r="I12" s="115">
        <f t="shared" si="1"/>
        <v>787575.4</v>
      </c>
      <c r="J12" s="120">
        <v>195020</v>
      </c>
      <c r="K12" s="116">
        <f t="shared" si="2"/>
        <v>4.0384340067685365</v>
      </c>
      <c r="L12" s="255">
        <v>0.78</v>
      </c>
    </row>
    <row r="13" spans="1:12" ht="15.6" customHeight="1" x14ac:dyDescent="0.5">
      <c r="A13" s="43"/>
      <c r="B13" s="91" t="s">
        <v>325</v>
      </c>
      <c r="C13" s="122" t="s">
        <v>326</v>
      </c>
      <c r="D13" s="118">
        <v>18.190000000000001</v>
      </c>
      <c r="E13" s="119">
        <v>11010</v>
      </c>
      <c r="F13" s="92">
        <f t="shared" si="0"/>
        <v>200271.90000000002</v>
      </c>
      <c r="G13" s="120">
        <v>304480</v>
      </c>
      <c r="H13" s="121">
        <v>4270</v>
      </c>
      <c r="I13" s="115">
        <f t="shared" si="1"/>
        <v>500481.9</v>
      </c>
      <c r="J13" s="120">
        <v>70450</v>
      </c>
      <c r="K13" s="116">
        <f t="shared" si="2"/>
        <v>7.1040723917672111</v>
      </c>
      <c r="L13" s="255">
        <v>2.52</v>
      </c>
    </row>
    <row r="14" spans="1:12" ht="15.6" customHeight="1" thickBot="1" x14ac:dyDescent="0.55000000000000004">
      <c r="A14" s="43"/>
      <c r="L14" s="43"/>
    </row>
    <row r="15" spans="1:12" ht="15.6" customHeight="1" thickBot="1" x14ac:dyDescent="0.55000000000000004">
      <c r="A15" s="43"/>
      <c r="B15" s="123" t="str">
        <f>+B1</f>
        <v>AK Steel Holding Corp. (AKS)</v>
      </c>
      <c r="C15" s="124" t="str">
        <f>+INPUT!G4</f>
        <v>AKS</v>
      </c>
      <c r="D15" s="125">
        <f>+INPUT!G9</f>
        <v>3.1</v>
      </c>
      <c r="E15" s="126">
        <f>+INPUT!G10</f>
        <v>315540</v>
      </c>
      <c r="F15" s="126">
        <f>+E15*D15</f>
        <v>978174</v>
      </c>
      <c r="G15" s="127">
        <f>+INPUT!C15</f>
        <v>2030000</v>
      </c>
      <c r="H15" s="128">
        <f>+INPUT!C16</f>
        <v>47300</v>
      </c>
      <c r="I15" s="129">
        <f>+G15+F15-H15</f>
        <v>2960874</v>
      </c>
      <c r="J15" s="127">
        <f>+C17</f>
        <v>470000</v>
      </c>
      <c r="K15" s="130">
        <f>+I15/J15</f>
        <v>6.2997319148936173</v>
      </c>
      <c r="L15" s="256">
        <f>+INPUT!G14</f>
        <v>2.91</v>
      </c>
    </row>
    <row r="16" spans="1:12" x14ac:dyDescent="0.5">
      <c r="A16" s="43"/>
      <c r="B16" s="96"/>
      <c r="D16" s="93"/>
      <c r="E16" s="93"/>
      <c r="K16" s="132"/>
    </row>
    <row r="17" spans="1:12" x14ac:dyDescent="0.5">
      <c r="A17" s="43"/>
      <c r="B17" s="96" t="s">
        <v>124</v>
      </c>
      <c r="C17" s="133">
        <f>+INPUT!C10</f>
        <v>470000</v>
      </c>
      <c r="D17" s="100">
        <f>+K17</f>
        <v>5.2978102494243418</v>
      </c>
      <c r="J17" s="96" t="s">
        <v>125</v>
      </c>
      <c r="K17" s="134">
        <f>AVERAGE(K9:K13)</f>
        <v>5.2978102494243418</v>
      </c>
      <c r="L17" s="134">
        <f>AVERAGE(L9:L15)</f>
        <v>2.1383333333333332</v>
      </c>
    </row>
    <row r="18" spans="1:12" ht="14.7" thickBot="1" x14ac:dyDescent="0.55000000000000004">
      <c r="A18" s="43"/>
      <c r="B18" s="96"/>
      <c r="F18" s="96"/>
      <c r="G18" s="134"/>
      <c r="H18" s="134"/>
      <c r="K18" s="134"/>
    </row>
    <row r="19" spans="1:12" ht="14.7" thickBot="1" x14ac:dyDescent="0.55000000000000004">
      <c r="A19" s="43"/>
      <c r="B19" s="94" t="s">
        <v>327</v>
      </c>
      <c r="C19" s="95">
        <f>+C17*D17</f>
        <v>2489970.8172294404</v>
      </c>
      <c r="F19" s="96"/>
      <c r="G19" s="134"/>
      <c r="H19" s="134"/>
      <c r="K19" s="135"/>
    </row>
    <row r="21" spans="1:12" x14ac:dyDescent="0.5">
      <c r="L21" s="2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9362-0F51-4F90-92F1-F9C69CCEB04D}">
  <dimension ref="A1:N18"/>
  <sheetViews>
    <sheetView showGridLines="0" workbookViewId="0">
      <selection activeCell="I27" sqref="I27"/>
    </sheetView>
  </sheetViews>
  <sheetFormatPr defaultRowHeight="14.35" x14ac:dyDescent="0.5"/>
  <cols>
    <col min="1" max="1" width="5.52734375" customWidth="1"/>
    <col min="2" max="2" width="22.29296875" customWidth="1"/>
    <col min="3" max="3" width="19.29296875" customWidth="1"/>
    <col min="5" max="5" width="11.703125" customWidth="1"/>
    <col min="6" max="6" width="10.703125" customWidth="1"/>
    <col min="7" max="7" width="10.1171875" customWidth="1"/>
    <col min="8" max="8" width="10.29296875" customWidth="1"/>
    <col min="9" max="9" width="9.29296875" bestFit="1" customWidth="1"/>
  </cols>
  <sheetData>
    <row r="1" spans="1:14" ht="20" x14ac:dyDescent="0.6">
      <c r="A1" s="43"/>
      <c r="B1" s="44" t="str">
        <f>+'Method #1'!B1</f>
        <v>AK Steel Holding Corp. (AKS)</v>
      </c>
      <c r="C1" s="45"/>
      <c r="J1" s="7"/>
    </row>
    <row r="2" spans="1:14" ht="10.5" customHeight="1" x14ac:dyDescent="0.5">
      <c r="A2" s="43"/>
      <c r="B2" s="46" t="s">
        <v>42</v>
      </c>
      <c r="C2" s="45"/>
      <c r="J2" s="7"/>
    </row>
    <row r="4" spans="1:14" ht="15.35" x14ac:dyDescent="0.5">
      <c r="A4" s="43"/>
      <c r="B4" s="136" t="s">
        <v>126</v>
      </c>
      <c r="C4" s="137"/>
      <c r="D4" s="137"/>
      <c r="E4" s="137"/>
      <c r="F4" s="137"/>
      <c r="G4" s="137"/>
      <c r="H4" s="137"/>
      <c r="I4" s="137"/>
      <c r="J4" s="137"/>
    </row>
    <row r="5" spans="1:14" ht="4.5" customHeight="1" x14ac:dyDescent="0.5">
      <c r="A5" s="43"/>
    </row>
    <row r="6" spans="1:14" ht="16.5" customHeight="1" x14ac:dyDescent="0.5">
      <c r="A6" s="43"/>
      <c r="C6" t="s">
        <v>78</v>
      </c>
      <c r="D6" s="80" t="s">
        <v>127</v>
      </c>
      <c r="E6" s="80" t="s">
        <v>80</v>
      </c>
      <c r="F6" s="80" t="s">
        <v>128</v>
      </c>
      <c r="G6" s="80" t="s">
        <v>129</v>
      </c>
      <c r="H6" s="80" t="s">
        <v>130</v>
      </c>
      <c r="I6" s="80" t="s">
        <v>116</v>
      </c>
      <c r="J6" s="80" t="s">
        <v>117</v>
      </c>
      <c r="M6" s="43"/>
      <c r="N6" s="43"/>
    </row>
    <row r="7" spans="1:14" ht="11.25" customHeight="1" thickBot="1" x14ac:dyDescent="0.55000000000000004">
      <c r="A7" s="43"/>
      <c r="D7" s="43"/>
      <c r="E7" s="43"/>
      <c r="F7" s="43"/>
      <c r="G7" s="43"/>
      <c r="H7" s="43"/>
      <c r="I7" s="138"/>
      <c r="J7" s="43"/>
      <c r="M7" s="43"/>
      <c r="N7" s="43"/>
    </row>
    <row r="8" spans="1:14" ht="39" thickBot="1" x14ac:dyDescent="0.55000000000000004">
      <c r="A8" s="43"/>
      <c r="B8" s="85" t="s">
        <v>131</v>
      </c>
      <c r="C8" s="85" t="s">
        <v>132</v>
      </c>
      <c r="D8" s="85" t="s">
        <v>133</v>
      </c>
      <c r="E8" s="85" t="s">
        <v>134</v>
      </c>
      <c r="F8" s="85" t="s">
        <v>330</v>
      </c>
      <c r="G8" s="85" t="s">
        <v>331</v>
      </c>
      <c r="H8" s="85" t="s">
        <v>135</v>
      </c>
      <c r="I8" s="85" t="s">
        <v>332</v>
      </c>
      <c r="J8" s="139" t="s">
        <v>122</v>
      </c>
    </row>
    <row r="9" spans="1:14" s="135" customFormat="1" ht="17.45" customHeight="1" x14ac:dyDescent="0.5">
      <c r="A9" s="43"/>
      <c r="B9" s="140" t="s">
        <v>328</v>
      </c>
      <c r="C9" s="140" t="s">
        <v>329</v>
      </c>
      <c r="D9" s="141">
        <v>47.5</v>
      </c>
      <c r="E9" s="142">
        <v>24000000</v>
      </c>
      <c r="F9" s="367">
        <f>+E9*D9/1000</f>
        <v>1140000</v>
      </c>
      <c r="G9" s="368">
        <v>1500000</v>
      </c>
      <c r="H9" s="367">
        <f>+G9+F9</f>
        <v>2640000</v>
      </c>
      <c r="I9" s="367">
        <v>350000</v>
      </c>
      <c r="J9" s="143">
        <f>+H9/I9</f>
        <v>7.5428571428571427</v>
      </c>
      <c r="K9" s="144"/>
      <c r="L9" s="144"/>
    </row>
    <row r="10" spans="1:14" s="135" customFormat="1" ht="17.45" customHeight="1" x14ac:dyDescent="0.5">
      <c r="A10" s="43"/>
      <c r="B10" s="140" t="s">
        <v>333</v>
      </c>
      <c r="C10" s="140" t="s">
        <v>342</v>
      </c>
      <c r="D10" s="141">
        <v>34</v>
      </c>
      <c r="E10" s="142">
        <v>123000000</v>
      </c>
      <c r="F10" s="367">
        <f>+E10*D10/1000</f>
        <v>4182000</v>
      </c>
      <c r="G10" s="368">
        <v>2500000</v>
      </c>
      <c r="H10" s="367">
        <f>+G10+F10</f>
        <v>6682000</v>
      </c>
      <c r="I10" s="367">
        <v>1100000</v>
      </c>
      <c r="J10" s="143">
        <f>+H10/I10</f>
        <v>6.0745454545454542</v>
      </c>
      <c r="K10" s="144"/>
      <c r="L10" s="144"/>
    </row>
    <row r="11" spans="1:14" s="135" customFormat="1" ht="17.45" customHeight="1" x14ac:dyDescent="0.5">
      <c r="A11" s="43"/>
      <c r="B11" s="90" t="s">
        <v>334</v>
      </c>
      <c r="C11" s="90" t="s">
        <v>340</v>
      </c>
      <c r="D11" s="141">
        <v>45</v>
      </c>
      <c r="E11" s="142">
        <v>13500000</v>
      </c>
      <c r="F11" s="367">
        <f t="shared" ref="F11:F13" si="0">+E11*D11/1000</f>
        <v>607500</v>
      </c>
      <c r="G11" s="368">
        <v>450000</v>
      </c>
      <c r="H11" s="367">
        <f t="shared" ref="H11:H14" si="1">+G11+F11</f>
        <v>1057500</v>
      </c>
      <c r="I11" s="367">
        <v>190000</v>
      </c>
      <c r="J11" s="143">
        <f t="shared" ref="J11:J13" si="2">+H11/I11</f>
        <v>5.5657894736842106</v>
      </c>
      <c r="K11" s="144"/>
      <c r="L11" s="144"/>
    </row>
    <row r="12" spans="1:14" s="135" customFormat="1" ht="17.45" customHeight="1" x14ac:dyDescent="0.5">
      <c r="A12" s="43"/>
      <c r="B12" s="90" t="s">
        <v>335</v>
      </c>
      <c r="C12" s="90" t="s">
        <v>341</v>
      </c>
      <c r="D12" s="141">
        <v>22</v>
      </c>
      <c r="E12" s="142">
        <v>234000000</v>
      </c>
      <c r="F12" s="367">
        <f t="shared" si="0"/>
        <v>5148000</v>
      </c>
      <c r="G12" s="368">
        <v>1400000</v>
      </c>
      <c r="H12" s="367">
        <f t="shared" si="1"/>
        <v>6548000</v>
      </c>
      <c r="I12" s="367">
        <v>1230000</v>
      </c>
      <c r="J12" s="143">
        <f t="shared" si="2"/>
        <v>5.3235772357723574</v>
      </c>
      <c r="K12" s="144"/>
      <c r="L12" s="144"/>
    </row>
    <row r="13" spans="1:14" s="135" customFormat="1" ht="17.45" customHeight="1" x14ac:dyDescent="0.5">
      <c r="A13" s="43"/>
      <c r="B13" s="145" t="s">
        <v>336</v>
      </c>
      <c r="C13" s="90" t="s">
        <v>339</v>
      </c>
      <c r="D13" s="141">
        <v>12</v>
      </c>
      <c r="E13" s="142">
        <v>85000000</v>
      </c>
      <c r="F13" s="367">
        <f t="shared" si="0"/>
        <v>1020000</v>
      </c>
      <c r="G13" s="368">
        <v>1200000</v>
      </c>
      <c r="H13" s="367">
        <f t="shared" si="1"/>
        <v>2220000</v>
      </c>
      <c r="I13" s="367">
        <v>320000</v>
      </c>
      <c r="J13" s="143">
        <f t="shared" si="2"/>
        <v>6.9375</v>
      </c>
      <c r="K13" s="144"/>
      <c r="L13" s="144"/>
    </row>
    <row r="14" spans="1:14" s="135" customFormat="1" ht="17.45" customHeight="1" thickBot="1" x14ac:dyDescent="0.55000000000000004">
      <c r="A14" s="43"/>
      <c r="B14" s="146" t="s">
        <v>337</v>
      </c>
      <c r="C14" s="146" t="s">
        <v>338</v>
      </c>
      <c r="D14" s="141">
        <v>8</v>
      </c>
      <c r="E14" s="142">
        <v>45000000</v>
      </c>
      <c r="F14" s="367">
        <f t="shared" ref="F14" si="3">+E14*D14/1000</f>
        <v>360000</v>
      </c>
      <c r="G14" s="368">
        <v>240000</v>
      </c>
      <c r="H14" s="367">
        <f t="shared" si="1"/>
        <v>600000</v>
      </c>
      <c r="I14" s="367">
        <v>98000</v>
      </c>
      <c r="J14" s="143">
        <f t="shared" ref="J14" si="4">+H14/I14</f>
        <v>6.1224489795918364</v>
      </c>
      <c r="K14" s="144"/>
      <c r="L14" s="144"/>
    </row>
    <row r="15" spans="1:14" ht="14.7" thickBot="1" x14ac:dyDescent="0.55000000000000004">
      <c r="A15" s="43"/>
      <c r="B15" s="7"/>
      <c r="C15" s="7"/>
      <c r="D15" s="7"/>
      <c r="E15" s="7"/>
      <c r="F15" s="7"/>
      <c r="G15" s="7"/>
      <c r="H15" s="7"/>
      <c r="I15" s="96" t="s">
        <v>125</v>
      </c>
      <c r="J15" s="134">
        <f>AVERAGE(J9:J14)</f>
        <v>6.2611197144085002</v>
      </c>
      <c r="K15" s="147"/>
      <c r="L15" s="7"/>
      <c r="M15" s="7"/>
      <c r="N15" s="7"/>
    </row>
    <row r="16" spans="1:14" ht="13.2" customHeight="1" thickBot="1" x14ac:dyDescent="0.55000000000000004">
      <c r="A16" s="43"/>
      <c r="B16" s="94" t="s">
        <v>327</v>
      </c>
      <c r="C16" s="95">
        <f>+F16*G16</f>
        <v>2942726.2657719953</v>
      </c>
      <c r="E16" s="148"/>
      <c r="F16" s="133">
        <f>+'Method #4'!C17</f>
        <v>470000</v>
      </c>
      <c r="G16" s="100">
        <f>+J15</f>
        <v>6.2611197144085002</v>
      </c>
    </row>
    <row r="18" spans="10:10" x14ac:dyDescent="0.5">
      <c r="J18" s="2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42C0-7730-4A4A-AE0D-C0EC57F181EF}">
  <dimension ref="A1:M48"/>
  <sheetViews>
    <sheetView showGridLines="0" workbookViewId="0">
      <selection activeCell="F6" sqref="F6"/>
    </sheetView>
  </sheetViews>
  <sheetFormatPr defaultRowHeight="14.35" x14ac:dyDescent="0.5"/>
  <cols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</cols>
  <sheetData>
    <row r="1" spans="1:13" ht="20" x14ac:dyDescent="0.6">
      <c r="A1" s="43"/>
      <c r="B1" s="44" t="str">
        <f>+'Method #1'!B1</f>
        <v>AK Steel Holding Corp. (AKS)</v>
      </c>
      <c r="C1" s="45"/>
      <c r="J1" s="7"/>
    </row>
    <row r="2" spans="1:13" ht="10.5" customHeight="1" x14ac:dyDescent="0.5">
      <c r="A2" s="43"/>
      <c r="B2" s="46" t="s">
        <v>42</v>
      </c>
      <c r="C2" s="45"/>
      <c r="J2" s="7"/>
    </row>
    <row r="4" spans="1:13" ht="15.35" x14ac:dyDescent="0.5">
      <c r="A4" s="43"/>
      <c r="B4" s="136" t="s">
        <v>76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ht="11.5" customHeight="1" x14ac:dyDescent="0.6">
      <c r="A5" s="43"/>
      <c r="B5" s="44"/>
      <c r="C5" s="57"/>
      <c r="D5" s="57"/>
      <c r="E5" s="149" t="s">
        <v>136</v>
      </c>
      <c r="F5" s="150">
        <v>1</v>
      </c>
      <c r="G5" s="150">
        <v>2</v>
      </c>
      <c r="H5" s="150">
        <v>3</v>
      </c>
      <c r="I5" s="150">
        <v>4</v>
      </c>
      <c r="J5" s="150">
        <v>5</v>
      </c>
      <c r="K5" s="150">
        <v>6</v>
      </c>
    </row>
    <row r="6" spans="1:13" x14ac:dyDescent="0.5">
      <c r="A6" s="43"/>
      <c r="B6" t="s">
        <v>137</v>
      </c>
      <c r="C6" s="151" t="s">
        <v>138</v>
      </c>
      <c r="D6" s="152" t="s">
        <v>139</v>
      </c>
      <c r="E6" s="15" t="s">
        <v>140</v>
      </c>
      <c r="J6" s="15" t="s">
        <v>3</v>
      </c>
    </row>
    <row r="7" spans="1:13" ht="14.7" thickBot="1" x14ac:dyDescent="0.55000000000000004">
      <c r="A7" s="43"/>
      <c r="C7" s="153" t="s">
        <v>141</v>
      </c>
      <c r="D7" s="66" t="s">
        <v>141</v>
      </c>
      <c r="E7" s="154">
        <f>+INPUT!C3</f>
        <v>43373</v>
      </c>
      <c r="F7" s="155">
        <f>+E7+92</f>
        <v>43465</v>
      </c>
      <c r="G7" s="155">
        <f>+F7+365</f>
        <v>43830</v>
      </c>
      <c r="H7" s="155">
        <f>+G7+366</f>
        <v>44196</v>
      </c>
      <c r="I7" s="155">
        <f>+H7+365</f>
        <v>44561</v>
      </c>
      <c r="J7" s="156">
        <f>+I7+365</f>
        <v>44926</v>
      </c>
      <c r="K7" s="155">
        <f>+J7+365</f>
        <v>45291</v>
      </c>
    </row>
    <row r="8" spans="1:13" x14ac:dyDescent="0.5">
      <c r="A8" s="43"/>
      <c r="B8" t="s">
        <v>10</v>
      </c>
      <c r="C8" s="157"/>
      <c r="D8" s="158"/>
      <c r="E8" s="159">
        <f>+INPUT!C9</f>
        <v>6640000</v>
      </c>
      <c r="F8" s="17">
        <f t="shared" ref="F8:K8" si="0">+E8*(1+F9)</f>
        <v>6905600</v>
      </c>
      <c r="G8" s="17">
        <f t="shared" si="0"/>
        <v>7181824</v>
      </c>
      <c r="H8" s="17">
        <f t="shared" si="0"/>
        <v>7433187.8399999999</v>
      </c>
      <c r="I8" s="17">
        <f t="shared" si="0"/>
        <v>7693349.4143999992</v>
      </c>
      <c r="J8" s="18">
        <f t="shared" si="0"/>
        <v>7962616.6439039987</v>
      </c>
      <c r="K8" s="160">
        <f t="shared" si="0"/>
        <v>8241308.2264406383</v>
      </c>
    </row>
    <row r="9" spans="1:13" x14ac:dyDescent="0.5">
      <c r="A9" s="43"/>
      <c r="B9" t="s">
        <v>142</v>
      </c>
      <c r="C9" s="161"/>
      <c r="D9" s="162"/>
      <c r="E9" s="163"/>
      <c r="F9" s="164">
        <v>0.04</v>
      </c>
      <c r="G9" s="164">
        <v>0.04</v>
      </c>
      <c r="H9" s="164">
        <v>3.5000000000000003E-2</v>
      </c>
      <c r="I9" s="164">
        <v>3.5000000000000003E-2</v>
      </c>
      <c r="J9" s="165">
        <v>3.5000000000000003E-2</v>
      </c>
      <c r="K9" s="166">
        <v>3.5000000000000003E-2</v>
      </c>
      <c r="L9" s="167"/>
    </row>
    <row r="10" spans="1:13" x14ac:dyDescent="0.5">
      <c r="A10" s="43"/>
      <c r="B10" t="s">
        <v>143</v>
      </c>
      <c r="C10" s="161">
        <f>-E10/E8</f>
        <v>0.87662650602409642</v>
      </c>
      <c r="D10" s="162">
        <v>0.86</v>
      </c>
      <c r="E10" s="159">
        <v>-5820800</v>
      </c>
      <c r="F10" s="17">
        <f t="shared" ref="F10:K10" si="1">-$D$10*F8</f>
        <v>-5938816</v>
      </c>
      <c r="G10" s="17">
        <f t="shared" si="1"/>
        <v>-6176368.6399999997</v>
      </c>
      <c r="H10" s="17">
        <f t="shared" si="1"/>
        <v>-6392541.5423999997</v>
      </c>
      <c r="I10" s="17">
        <f t="shared" si="1"/>
        <v>-6616280.4963839995</v>
      </c>
      <c r="J10" s="18">
        <f t="shared" si="1"/>
        <v>-6847850.3137574391</v>
      </c>
      <c r="K10" s="160">
        <f t="shared" si="1"/>
        <v>-7087525.0747389486</v>
      </c>
    </row>
    <row r="11" spans="1:13" x14ac:dyDescent="0.5">
      <c r="A11" s="43"/>
      <c r="B11" t="s">
        <v>144</v>
      </c>
      <c r="C11" s="161">
        <f>-E11/E8</f>
        <v>9.0707831325301205E-2</v>
      </c>
      <c r="D11" s="162">
        <v>0.08</v>
      </c>
      <c r="E11" s="168">
        <f>-(1072300-470000)</f>
        <v>-602300</v>
      </c>
      <c r="F11" s="19">
        <f t="shared" ref="F11:K11" si="2">-$D$11*F8</f>
        <v>-552448</v>
      </c>
      <c r="G11" s="19">
        <f t="shared" si="2"/>
        <v>-574545.92000000004</v>
      </c>
      <c r="H11" s="19">
        <f t="shared" si="2"/>
        <v>-594655.02720000001</v>
      </c>
      <c r="I11" s="19">
        <f t="shared" si="2"/>
        <v>-615467.95315199997</v>
      </c>
      <c r="J11" s="20">
        <f t="shared" si="2"/>
        <v>-637009.33151231986</v>
      </c>
      <c r="K11" s="169">
        <f t="shared" si="2"/>
        <v>-659304.65811525111</v>
      </c>
    </row>
    <row r="12" spans="1:13" x14ac:dyDescent="0.5">
      <c r="A12" s="43"/>
      <c r="B12" t="s">
        <v>145</v>
      </c>
      <c r="C12" s="170"/>
      <c r="D12" s="171"/>
      <c r="E12" s="163">
        <f>+E8+E10+E11</f>
        <v>216900</v>
      </c>
      <c r="F12" s="17">
        <f t="shared" ref="F12:K12" si="3">+F8+F10+F11</f>
        <v>414336</v>
      </c>
      <c r="G12" s="17">
        <f t="shared" si="3"/>
        <v>430909.44000000029</v>
      </c>
      <c r="H12" s="17">
        <f t="shared" si="3"/>
        <v>445991.27040000015</v>
      </c>
      <c r="I12" s="17">
        <f t="shared" si="3"/>
        <v>461600.96486399975</v>
      </c>
      <c r="J12" s="18">
        <f t="shared" si="3"/>
        <v>477756.99863423966</v>
      </c>
      <c r="K12" s="160">
        <f t="shared" si="3"/>
        <v>494478.49358643859</v>
      </c>
      <c r="M12" s="133"/>
    </row>
    <row r="13" spans="1:13" x14ac:dyDescent="0.5">
      <c r="A13" s="43"/>
      <c r="B13" t="s">
        <v>146</v>
      </c>
      <c r="C13" s="161"/>
      <c r="D13" s="162">
        <v>0.36</v>
      </c>
      <c r="E13" s="163">
        <v>0</v>
      </c>
      <c r="F13" s="17">
        <f t="shared" ref="F13:K13" si="4">-$D$13*F12</f>
        <v>-149160.95999999999</v>
      </c>
      <c r="G13" s="17">
        <f t="shared" si="4"/>
        <v>-155127.39840000009</v>
      </c>
      <c r="H13" s="17">
        <f t="shared" si="4"/>
        <v>-160556.85734400005</v>
      </c>
      <c r="I13" s="17">
        <f t="shared" si="4"/>
        <v>-166176.34735103991</v>
      </c>
      <c r="J13" s="18">
        <f t="shared" si="4"/>
        <v>-171992.51950832628</v>
      </c>
      <c r="K13" s="160">
        <f t="shared" si="4"/>
        <v>-178012.25769111788</v>
      </c>
    </row>
    <row r="14" spans="1:13" x14ac:dyDescent="0.5">
      <c r="A14" s="43"/>
      <c r="B14" t="s">
        <v>147</v>
      </c>
      <c r="C14" s="161">
        <f>+E14/E8</f>
        <v>3.8117469879518071E-2</v>
      </c>
      <c r="D14" s="162">
        <v>0.04</v>
      </c>
      <c r="E14" s="159">
        <v>253100</v>
      </c>
      <c r="F14" s="17">
        <f t="shared" ref="F14:K14" si="5">+$D$14*F8</f>
        <v>276224</v>
      </c>
      <c r="G14" s="17">
        <f t="shared" si="5"/>
        <v>287272.96000000002</v>
      </c>
      <c r="H14" s="17">
        <f t="shared" si="5"/>
        <v>297327.51360000001</v>
      </c>
      <c r="I14" s="17">
        <f t="shared" si="5"/>
        <v>307733.97657599999</v>
      </c>
      <c r="J14" s="18">
        <f t="shared" si="5"/>
        <v>318504.66575615993</v>
      </c>
      <c r="K14" s="160">
        <f t="shared" si="5"/>
        <v>329652.32905762555</v>
      </c>
    </row>
    <row r="15" spans="1:13" x14ac:dyDescent="0.5">
      <c r="A15" s="43"/>
      <c r="B15" s="47" t="s">
        <v>20</v>
      </c>
      <c r="C15" s="161">
        <v>0</v>
      </c>
      <c r="D15" s="162">
        <v>0</v>
      </c>
      <c r="E15" s="159"/>
      <c r="F15" s="17">
        <f t="shared" ref="F15:K15" si="6">-$D$15*F8</f>
        <v>0</v>
      </c>
      <c r="G15" s="17">
        <f t="shared" si="6"/>
        <v>0</v>
      </c>
      <c r="H15" s="17">
        <f t="shared" si="6"/>
        <v>0</v>
      </c>
      <c r="I15" s="17">
        <f t="shared" si="6"/>
        <v>0</v>
      </c>
      <c r="J15" s="18">
        <f t="shared" si="6"/>
        <v>0</v>
      </c>
      <c r="K15" s="160">
        <f t="shared" si="6"/>
        <v>0</v>
      </c>
    </row>
    <row r="16" spans="1:13" x14ac:dyDescent="0.5">
      <c r="A16" s="43"/>
      <c r="B16" t="s">
        <v>148</v>
      </c>
      <c r="C16" s="161">
        <f>-E16/E8</f>
        <v>2.4834337349397589E-2</v>
      </c>
      <c r="D16" s="162">
        <v>2.5000000000000001E-2</v>
      </c>
      <c r="E16" s="159">
        <v>-164900</v>
      </c>
      <c r="F16" s="17">
        <f t="shared" ref="F16:K16" si="7">-$D$16*F8</f>
        <v>-172640</v>
      </c>
      <c r="G16" s="17">
        <f t="shared" si="7"/>
        <v>-179545.60000000001</v>
      </c>
      <c r="H16" s="17">
        <f t="shared" si="7"/>
        <v>-185829.696</v>
      </c>
      <c r="I16" s="17">
        <f t="shared" si="7"/>
        <v>-192333.73535999999</v>
      </c>
      <c r="J16" s="18">
        <f t="shared" si="7"/>
        <v>-199065.41609759998</v>
      </c>
      <c r="K16" s="160">
        <f t="shared" si="7"/>
        <v>-206032.70566101596</v>
      </c>
    </row>
    <row r="17" spans="1:11" ht="14.7" thickBot="1" x14ac:dyDescent="0.55000000000000004">
      <c r="A17" s="43"/>
      <c r="B17" t="s">
        <v>149</v>
      </c>
      <c r="C17" s="172"/>
      <c r="E17" s="173">
        <f t="shared" ref="E17:K17" si="8">SUM(E12:E16)</f>
        <v>305100</v>
      </c>
      <c r="F17" s="174">
        <f t="shared" si="8"/>
        <v>368759.04000000004</v>
      </c>
      <c r="G17" s="174">
        <f t="shared" si="8"/>
        <v>383509.40160000033</v>
      </c>
      <c r="H17" s="174">
        <f t="shared" si="8"/>
        <v>396932.23065600009</v>
      </c>
      <c r="I17" s="174">
        <f t="shared" si="8"/>
        <v>410824.85872895987</v>
      </c>
      <c r="J17" s="175">
        <f t="shared" si="8"/>
        <v>425203.72878447326</v>
      </c>
      <c r="K17" s="176">
        <f t="shared" si="8"/>
        <v>440085.85929193033</v>
      </c>
    </row>
    <row r="18" spans="1:11" ht="7.5" customHeight="1" thickTop="1" x14ac:dyDescent="0.5">
      <c r="A18" s="43"/>
      <c r="B18" s="57"/>
      <c r="C18" s="57"/>
      <c r="D18" s="57"/>
      <c r="E18" s="19"/>
      <c r="F18" s="19"/>
      <c r="G18" s="19"/>
      <c r="H18" s="19"/>
      <c r="I18" s="19"/>
      <c r="J18" s="20"/>
      <c r="K18" s="169"/>
    </row>
    <row r="19" spans="1:11" x14ac:dyDescent="0.5">
      <c r="A19" s="43"/>
      <c r="B19" s="177" t="s">
        <v>13</v>
      </c>
      <c r="C19" s="177"/>
      <c r="D19" s="177"/>
      <c r="E19" s="178">
        <f t="shared" ref="E19:K19" si="9">+E12+E14</f>
        <v>470000</v>
      </c>
      <c r="F19" s="179">
        <f t="shared" si="9"/>
        <v>690560</v>
      </c>
      <c r="G19" s="179">
        <f t="shared" si="9"/>
        <v>718182.40000000037</v>
      </c>
      <c r="H19" s="179">
        <f t="shared" si="9"/>
        <v>743318.78400000022</v>
      </c>
      <c r="I19" s="179">
        <f t="shared" si="9"/>
        <v>769334.94143999973</v>
      </c>
      <c r="J19" s="180">
        <f t="shared" si="9"/>
        <v>796261.66439039959</v>
      </c>
      <c r="K19" s="181">
        <f t="shared" si="9"/>
        <v>824130.8226440642</v>
      </c>
    </row>
    <row r="20" spans="1:11" ht="12" customHeight="1" x14ac:dyDescent="0.5">
      <c r="A20" s="43"/>
      <c r="B20" s="182" t="s">
        <v>150</v>
      </c>
      <c r="C20" s="182"/>
      <c r="D20" s="182"/>
      <c r="E20" s="183">
        <f>+INPUT!C15</f>
        <v>2030000</v>
      </c>
      <c r="F20" s="183">
        <f t="shared" ref="F20:K20" si="10">+E20-(0.05*$E$20)</f>
        <v>1928500</v>
      </c>
      <c r="G20" s="183">
        <f t="shared" si="10"/>
        <v>1827000</v>
      </c>
      <c r="H20" s="183">
        <f t="shared" si="10"/>
        <v>1725500</v>
      </c>
      <c r="I20" s="183">
        <f t="shared" si="10"/>
        <v>1624000</v>
      </c>
      <c r="J20" s="184">
        <f t="shared" si="10"/>
        <v>1522500</v>
      </c>
      <c r="K20" s="185">
        <f t="shared" si="10"/>
        <v>1421000</v>
      </c>
    </row>
    <row r="21" spans="1:11" ht="7.5" customHeight="1" x14ac:dyDescent="0.5">
      <c r="A21" s="43"/>
      <c r="E21" s="7"/>
      <c r="F21" s="7"/>
      <c r="G21" s="7"/>
      <c r="H21" s="7"/>
      <c r="I21" s="7"/>
      <c r="J21" s="27"/>
    </row>
    <row r="22" spans="1:11" ht="14.7" thickBot="1" x14ac:dyDescent="0.55000000000000004">
      <c r="A22" s="43"/>
      <c r="B22" s="186" t="s">
        <v>151</v>
      </c>
      <c r="C22" s="187" t="s">
        <v>141</v>
      </c>
      <c r="E22" s="188" t="s">
        <v>152</v>
      </c>
      <c r="F22" s="7"/>
      <c r="G22" s="7"/>
      <c r="H22" s="7"/>
      <c r="I22" s="7"/>
      <c r="J22" s="27"/>
    </row>
    <row r="23" spans="1:11" x14ac:dyDescent="0.5">
      <c r="A23" s="43"/>
      <c r="B23" t="s">
        <v>153</v>
      </c>
      <c r="C23" s="100">
        <f>+'Method #4'!D17</f>
        <v>5.2978102494243418</v>
      </c>
      <c r="E23" s="189"/>
      <c r="F23" s="190" t="s">
        <v>154</v>
      </c>
      <c r="G23" s="7"/>
      <c r="H23" s="7"/>
      <c r="I23" s="7"/>
      <c r="J23" s="31">
        <f>+$C$23*J19</f>
        <v>4218443.2068311442</v>
      </c>
    </row>
    <row r="24" spans="1:11" x14ac:dyDescent="0.5">
      <c r="A24" s="43"/>
      <c r="B24" t="s">
        <v>155</v>
      </c>
      <c r="C24" s="191">
        <f>+K46</f>
        <v>0.13558671107455886</v>
      </c>
      <c r="E24" s="192">
        <v>0.03</v>
      </c>
      <c r="F24" s="190" t="s">
        <v>156</v>
      </c>
      <c r="G24" s="7"/>
      <c r="H24" s="7"/>
      <c r="I24" s="7"/>
      <c r="J24" s="18">
        <f>+K17/(C24-E24)</f>
        <v>4168004.2385368808</v>
      </c>
    </row>
    <row r="25" spans="1:11" x14ac:dyDescent="0.5">
      <c r="A25" s="43"/>
      <c r="B25" t="s">
        <v>125</v>
      </c>
      <c r="E25" s="193"/>
      <c r="F25" s="7"/>
      <c r="G25" s="7"/>
      <c r="H25" s="7"/>
      <c r="I25" s="7"/>
      <c r="J25" s="194">
        <f>+(J23+J24)/2</f>
        <v>4193223.7226840127</v>
      </c>
    </row>
    <row r="26" spans="1:11" x14ac:dyDescent="0.5">
      <c r="A26" s="43"/>
      <c r="B26" t="s">
        <v>157</v>
      </c>
      <c r="E26" s="35"/>
      <c r="F26" s="7"/>
      <c r="G26" s="7"/>
      <c r="H26" s="7"/>
      <c r="I26" s="7"/>
      <c r="J26" s="31">
        <f>-J20</f>
        <v>-1522500</v>
      </c>
    </row>
    <row r="27" spans="1:11" x14ac:dyDescent="0.5">
      <c r="A27" s="43"/>
      <c r="B27" t="s">
        <v>158</v>
      </c>
      <c r="E27" s="35"/>
      <c r="F27" s="7"/>
      <c r="G27" s="7"/>
      <c r="H27" s="7"/>
      <c r="I27" s="7"/>
      <c r="J27" s="34">
        <v>0</v>
      </c>
    </row>
    <row r="28" spans="1:11" x14ac:dyDescent="0.5">
      <c r="A28" s="43"/>
      <c r="B28" t="s">
        <v>159</v>
      </c>
      <c r="E28" s="7"/>
      <c r="F28" s="7"/>
      <c r="G28" s="7"/>
      <c r="H28" s="7"/>
      <c r="I28" s="7"/>
      <c r="J28" s="31">
        <f>+J26+J25</f>
        <v>2670723.7226840127</v>
      </c>
    </row>
    <row r="29" spans="1:11" x14ac:dyDescent="0.5">
      <c r="A29" s="43"/>
      <c r="E29" s="7"/>
      <c r="F29" s="7"/>
      <c r="G29" s="7"/>
      <c r="H29" s="7"/>
      <c r="I29" s="7"/>
      <c r="J29" s="27"/>
    </row>
    <row r="30" spans="1:11" ht="14.7" thickBot="1" x14ac:dyDescent="0.55000000000000004">
      <c r="A30" s="43"/>
      <c r="E30" s="7"/>
      <c r="F30" s="7"/>
      <c r="G30" s="7"/>
      <c r="H30" s="7"/>
      <c r="I30" s="7"/>
      <c r="J30" s="27"/>
    </row>
    <row r="31" spans="1:11" ht="14.7" thickBot="1" x14ac:dyDescent="0.55000000000000004">
      <c r="A31" s="43"/>
      <c r="B31" s="195" t="s">
        <v>35</v>
      </c>
      <c r="C31" s="379">
        <f>+I41</f>
        <v>0.31850000000000006</v>
      </c>
      <c r="D31" s="380" t="s">
        <v>160</v>
      </c>
      <c r="E31" s="76"/>
      <c r="F31" s="76">
        <f>+F17</f>
        <v>368759.04000000004</v>
      </c>
      <c r="G31" s="76">
        <f>+G17</f>
        <v>383509.40160000033</v>
      </c>
      <c r="H31" s="76">
        <f>+H17</f>
        <v>396932.23065600009</v>
      </c>
      <c r="I31" s="76">
        <f>+I17</f>
        <v>410824.85872895987</v>
      </c>
      <c r="J31" s="197">
        <f>+J28+J17</f>
        <v>3095927.4514684859</v>
      </c>
    </row>
    <row r="32" spans="1:11" ht="14.7" thickTop="1" x14ac:dyDescent="0.5">
      <c r="A32" s="43"/>
      <c r="B32">
        <f>+F5</f>
        <v>1</v>
      </c>
      <c r="C32" s="148" t="s">
        <v>161</v>
      </c>
      <c r="D32" s="198">
        <f>1/((1+$C$31)^B32)</f>
        <v>0.75843761850587788</v>
      </c>
      <c r="E32" s="199">
        <f>+D32*F31</f>
        <v>279680.7281001138</v>
      </c>
      <c r="F32" s="131"/>
    </row>
    <row r="33" spans="1:12" x14ac:dyDescent="0.5">
      <c r="A33" s="43"/>
      <c r="B33">
        <f>+G5</f>
        <v>2</v>
      </c>
      <c r="C33" s="148" t="s">
        <v>162</v>
      </c>
      <c r="D33" s="198">
        <f>1/((1+$C$31)^B33)</f>
        <v>0.57522762116486759</v>
      </c>
      <c r="E33" s="199">
        <f>+D33*G31</f>
        <v>220605.20077673005</v>
      </c>
    </row>
    <row r="34" spans="1:12" x14ac:dyDescent="0.5">
      <c r="A34" s="43"/>
      <c r="B34">
        <f>+H5</f>
        <v>3</v>
      </c>
      <c r="C34" s="148" t="s">
        <v>163</v>
      </c>
      <c r="D34" s="198">
        <f>1/((1+$C$31)^B34)</f>
        <v>0.43627426709508343</v>
      </c>
      <c r="E34" s="199">
        <f>+D34*H31</f>
        <v>173171.31801586304</v>
      </c>
    </row>
    <row r="35" spans="1:12" x14ac:dyDescent="0.5">
      <c r="A35" s="43"/>
      <c r="B35">
        <f>+I5</f>
        <v>4</v>
      </c>
      <c r="C35" s="148" t="s">
        <v>164</v>
      </c>
      <c r="D35" s="198">
        <f>1/((1+$C$31)^B35)</f>
        <v>0.33088681615099236</v>
      </c>
      <c r="E35" s="199">
        <f>+D35*I31</f>
        <v>135936.52950050676</v>
      </c>
    </row>
    <row r="36" spans="1:12" ht="14.7" thickBot="1" x14ac:dyDescent="0.55000000000000004">
      <c r="A36" s="43"/>
      <c r="B36">
        <f>+J5</f>
        <v>5</v>
      </c>
      <c r="C36" s="148" t="s">
        <v>165</v>
      </c>
      <c r="D36" s="198">
        <f>1/((1+$C$31)^B36)</f>
        <v>0.25095700883655092</v>
      </c>
      <c r="E36" s="199">
        <f>+D36*J31</f>
        <v>776944.69279549737</v>
      </c>
    </row>
    <row r="37" spans="1:12" ht="14.7" thickBot="1" x14ac:dyDescent="0.55000000000000004">
      <c r="A37" s="43"/>
      <c r="C37" s="148" t="s">
        <v>166</v>
      </c>
      <c r="D37" s="172"/>
      <c r="E37" s="200">
        <f>SUM(E32:E36)</f>
        <v>1586338.4691887111</v>
      </c>
      <c r="F37" s="55"/>
      <c r="G37" s="201" t="s">
        <v>167</v>
      </c>
      <c r="H37" s="202"/>
      <c r="I37" s="203"/>
      <c r="K37" s="204" t="s">
        <v>345</v>
      </c>
      <c r="L37" s="205"/>
    </row>
    <row r="38" spans="1:12" ht="14.7" thickTop="1" x14ac:dyDescent="0.5">
      <c r="A38" s="43"/>
      <c r="C38" s="148"/>
      <c r="E38" s="206"/>
      <c r="F38" s="55"/>
      <c r="G38" s="207" t="s">
        <v>168</v>
      </c>
      <c r="H38" s="208"/>
      <c r="I38" s="209">
        <f>+'Method #2'!C8</f>
        <v>2.75E-2</v>
      </c>
      <c r="K38" s="210">
        <v>150500</v>
      </c>
      <c r="L38" s="8"/>
    </row>
    <row r="39" spans="1:12" x14ac:dyDescent="0.5">
      <c r="A39" s="43"/>
      <c r="C39" s="211" t="s">
        <v>169</v>
      </c>
      <c r="E39" s="212" t="s">
        <v>170</v>
      </c>
      <c r="F39" s="49"/>
      <c r="G39" s="207" t="s">
        <v>171</v>
      </c>
      <c r="H39" s="208"/>
      <c r="I39" s="213">
        <v>0.1</v>
      </c>
      <c r="K39" s="214">
        <f>+K38/'Method #4'!G15</f>
        <v>7.4137931034482754E-2</v>
      </c>
      <c r="L39" s="215" t="s">
        <v>172</v>
      </c>
    </row>
    <row r="40" spans="1:12" ht="14.7" thickBot="1" x14ac:dyDescent="0.55000000000000004">
      <c r="A40" s="43"/>
      <c r="C40" s="216" t="s">
        <v>173</v>
      </c>
      <c r="E40" s="199">
        <f>+E37</f>
        <v>1586338.4691887111</v>
      </c>
      <c r="G40" s="207" t="s">
        <v>346</v>
      </c>
      <c r="H40" s="208"/>
      <c r="I40" s="217">
        <f>+'Method #4'!L15</f>
        <v>2.91</v>
      </c>
      <c r="K40" s="39"/>
      <c r="L40" s="42"/>
    </row>
    <row r="41" spans="1:12" ht="14.7" thickBot="1" x14ac:dyDescent="0.55000000000000004">
      <c r="A41" s="43"/>
      <c r="C41" s="218" t="s">
        <v>174</v>
      </c>
      <c r="E41" s="219">
        <f>+INPUT!C15</f>
        <v>2030000</v>
      </c>
      <c r="G41" s="220" t="s">
        <v>175</v>
      </c>
      <c r="H41" s="221"/>
      <c r="I41" s="222">
        <f>+I38+(I39*I40)</f>
        <v>0.31850000000000006</v>
      </c>
    </row>
    <row r="42" spans="1:12" ht="14.7" thickBot="1" x14ac:dyDescent="0.55000000000000004">
      <c r="A42" s="43"/>
      <c r="C42" s="218" t="s">
        <v>176</v>
      </c>
      <c r="E42" s="219">
        <f>-INPUT!C16</f>
        <v>-47300</v>
      </c>
    </row>
    <row r="43" spans="1:12" ht="12.6" customHeight="1" thickBot="1" x14ac:dyDescent="0.55000000000000004">
      <c r="A43" s="43"/>
      <c r="B43" s="94" t="s">
        <v>351</v>
      </c>
      <c r="C43" s="223"/>
      <c r="D43" s="223"/>
      <c r="E43" s="95">
        <f>+E41+E40+E42</f>
        <v>3569038.4691887111</v>
      </c>
      <c r="G43" s="201" t="s">
        <v>177</v>
      </c>
      <c r="H43" s="202"/>
      <c r="I43" s="224" t="s">
        <v>178</v>
      </c>
      <c r="J43" s="224" t="s">
        <v>179</v>
      </c>
      <c r="K43" s="225" t="s">
        <v>180</v>
      </c>
    </row>
    <row r="44" spans="1:12" x14ac:dyDescent="0.5">
      <c r="A44" s="43"/>
      <c r="G44" s="207" t="s">
        <v>67</v>
      </c>
      <c r="H44" s="226">
        <f>+'Method #4'!G15</f>
        <v>2030000</v>
      </c>
      <c r="I44" s="227">
        <f>+H44/SUM($H$44:$H$45)</f>
        <v>0.6748279853492517</v>
      </c>
      <c r="J44" s="228">
        <f>+K39*(1-D13)</f>
        <v>4.7448275862068963E-2</v>
      </c>
      <c r="K44" s="229">
        <f>+J44*I44</f>
        <v>3.2019424408295527E-2</v>
      </c>
    </row>
    <row r="45" spans="1:12" x14ac:dyDescent="0.5">
      <c r="A45" s="43"/>
      <c r="G45" s="207" t="s">
        <v>349</v>
      </c>
      <c r="H45" s="226">
        <f>+'Method #1'!F10</f>
        <v>978174</v>
      </c>
      <c r="I45" s="227">
        <f>+H45/SUM($H$44:$H$45)</f>
        <v>0.32517201465074824</v>
      </c>
      <c r="J45" s="230">
        <f>+I41</f>
        <v>0.31850000000000006</v>
      </c>
      <c r="K45" s="229">
        <f>+J45*I45</f>
        <v>0.10356728666626333</v>
      </c>
    </row>
    <row r="46" spans="1:12" ht="14.7" thickBot="1" x14ac:dyDescent="0.55000000000000004">
      <c r="A46" s="43"/>
      <c r="C46" s="7"/>
      <c r="G46" s="220"/>
      <c r="H46" s="231"/>
      <c r="I46" s="232">
        <f>SUM(I44:I45)</f>
        <v>1</v>
      </c>
      <c r="J46" s="233"/>
      <c r="K46" s="234">
        <f>SUM(K44:K45)</f>
        <v>0.13558671107455886</v>
      </c>
    </row>
    <row r="48" spans="1:12" x14ac:dyDescent="0.5">
      <c r="L48" s="2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M44"/>
  <sheetViews>
    <sheetView showGridLines="0" zoomScaleNormal="100" workbookViewId="0">
      <selection activeCell="B1" sqref="B1:M42"/>
    </sheetView>
  </sheetViews>
  <sheetFormatPr defaultRowHeight="14.35" x14ac:dyDescent="0.5"/>
  <cols>
    <col min="1" max="1" width="3.585937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2" max="12" width="11.5859375" customWidth="1"/>
    <col min="13" max="13" width="11.05859375" customWidth="1"/>
  </cols>
  <sheetData>
    <row r="1" spans="1:12" ht="20" x14ac:dyDescent="0.6">
      <c r="A1" s="43"/>
      <c r="B1" s="44" t="str">
        <f>+'Method #1'!B1</f>
        <v>AK Steel Holding Corp. (AKS)</v>
      </c>
      <c r="C1" s="45"/>
      <c r="J1" s="7"/>
    </row>
    <row r="2" spans="1:12" ht="10.5" customHeight="1" x14ac:dyDescent="0.5">
      <c r="A2" s="43"/>
      <c r="B2" s="46" t="s">
        <v>42</v>
      </c>
      <c r="C2" s="45"/>
      <c r="J2" s="7"/>
    </row>
    <row r="4" spans="1:12" ht="15.35" x14ac:dyDescent="0.5">
      <c r="A4" s="43"/>
      <c r="B4" s="136" t="s">
        <v>187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s="260" customFormat="1" ht="15.35" x14ac:dyDescent="0.5">
      <c r="A5" s="257"/>
      <c r="B5" s="258"/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2" s="260" customFormat="1" ht="39" thickBot="1" x14ac:dyDescent="0.55000000000000004">
      <c r="A6" s="257"/>
      <c r="B6" s="300" t="s">
        <v>188</v>
      </c>
      <c r="C6" s="14"/>
      <c r="D6" s="14"/>
      <c r="E6" s="298" t="s">
        <v>191</v>
      </c>
      <c r="F6" s="153" t="s">
        <v>190</v>
      </c>
      <c r="G6" s="261" t="s">
        <v>192</v>
      </c>
      <c r="H6" s="261" t="s">
        <v>193</v>
      </c>
      <c r="I6" s="265" t="s">
        <v>201</v>
      </c>
      <c r="J6" s="265" t="s">
        <v>208</v>
      </c>
      <c r="K6" s="299" t="s">
        <v>228</v>
      </c>
      <c r="L6" s="259"/>
    </row>
    <row r="7" spans="1:12" s="260" customFormat="1" x14ac:dyDescent="0.5">
      <c r="A7" s="257"/>
      <c r="B7" t="s">
        <v>189</v>
      </c>
      <c r="E7" s="263">
        <f>+'Method #1'!D10</f>
        <v>3.1</v>
      </c>
      <c r="F7" s="262">
        <v>0</v>
      </c>
      <c r="G7" s="263">
        <f>+E7*(1+F7)</f>
        <v>3.1</v>
      </c>
      <c r="H7" s="264">
        <f>+'Method #1'!E10</f>
        <v>315540</v>
      </c>
      <c r="I7" s="274">
        <f>+H7*G7</f>
        <v>978174</v>
      </c>
      <c r="J7" s="267">
        <f>+I7/$I$10</f>
        <v>0.31417585603412856</v>
      </c>
      <c r="K7" s="308">
        <f>+I7/'Method#7b'!$E$25</f>
        <v>2.0812212765957447</v>
      </c>
      <c r="L7" s="259"/>
    </row>
    <row r="8" spans="1:12" s="260" customFormat="1" x14ac:dyDescent="0.5">
      <c r="A8" s="257"/>
      <c r="B8" t="s">
        <v>194</v>
      </c>
      <c r="E8" s="259"/>
      <c r="F8" s="259"/>
      <c r="G8" s="259"/>
      <c r="H8" s="259"/>
      <c r="I8" s="274">
        <f>+'Method #1'!G10</f>
        <v>2030000</v>
      </c>
      <c r="J8" s="267">
        <f>+I8/$I$10</f>
        <v>0.65200770798373398</v>
      </c>
      <c r="K8" s="308">
        <f>+I8/'Method#7b'!$E$25</f>
        <v>4.3191489361702127</v>
      </c>
      <c r="L8" s="259"/>
    </row>
    <row r="9" spans="1:12" s="260" customFormat="1" x14ac:dyDescent="0.5">
      <c r="A9" s="257"/>
      <c r="B9" t="s">
        <v>350</v>
      </c>
      <c r="E9" s="266">
        <v>3.5000000000000003E-2</v>
      </c>
      <c r="F9" s="259"/>
      <c r="G9" s="259"/>
      <c r="H9" s="259"/>
      <c r="I9" s="275">
        <f>+E9*(1+I7+I8)</f>
        <v>105286.12500000001</v>
      </c>
      <c r="J9" s="267">
        <f>+I9/$I$10</f>
        <v>3.3816435982137405E-2</v>
      </c>
      <c r="K9" s="308">
        <f>+I9/'Method#7b'!$E$25</f>
        <v>0.22401303191489363</v>
      </c>
      <c r="L9" s="259"/>
    </row>
    <row r="10" spans="1:12" s="260" customFormat="1" ht="14.7" thickBot="1" x14ac:dyDescent="0.55000000000000004">
      <c r="A10" s="257"/>
      <c r="B10" t="s">
        <v>205</v>
      </c>
      <c r="E10" s="259"/>
      <c r="F10" s="259"/>
      <c r="G10" s="259"/>
      <c r="H10" s="259"/>
      <c r="I10" s="276">
        <f>SUM(I7:I9)</f>
        <v>3113460.125</v>
      </c>
      <c r="J10" s="268">
        <f>+I10/$I$10</f>
        <v>1</v>
      </c>
      <c r="K10" s="309">
        <f>+I10/'Method#7b'!$E$25</f>
        <v>6.6243832446808515</v>
      </c>
      <c r="L10" s="259"/>
    </row>
    <row r="11" spans="1:12" s="260" customFormat="1" x14ac:dyDescent="0.5">
      <c r="A11" s="257"/>
      <c r="B11"/>
      <c r="E11" s="259"/>
      <c r="F11" s="259"/>
      <c r="G11" s="259"/>
      <c r="H11" s="259"/>
      <c r="I11" s="259"/>
      <c r="J11" s="259"/>
      <c r="K11" s="259"/>
      <c r="L11" s="259"/>
    </row>
    <row r="12" spans="1:12" s="260" customFormat="1" ht="39" thickBot="1" x14ac:dyDescent="0.55000000000000004">
      <c r="A12" s="257"/>
      <c r="B12" s="300" t="s">
        <v>195</v>
      </c>
      <c r="C12" s="14"/>
      <c r="D12" s="14"/>
      <c r="E12" s="299" t="s">
        <v>207</v>
      </c>
      <c r="F12" s="261" t="s">
        <v>197</v>
      </c>
      <c r="G12" s="261" t="s">
        <v>198</v>
      </c>
      <c r="H12" s="265" t="s">
        <v>199</v>
      </c>
      <c r="I12" s="265" t="s">
        <v>200</v>
      </c>
      <c r="J12" s="153" t="s">
        <v>196</v>
      </c>
      <c r="K12" s="259"/>
      <c r="L12" s="259"/>
    </row>
    <row r="13" spans="1:12" s="260" customFormat="1" x14ac:dyDescent="0.5">
      <c r="A13" s="257"/>
      <c r="B13" t="s">
        <v>202</v>
      </c>
      <c r="E13" s="303">
        <v>2</v>
      </c>
      <c r="F13" s="162">
        <v>0.05</v>
      </c>
      <c r="G13" s="270">
        <f>+F13*(1-'Method #6'!$D$13)</f>
        <v>3.2000000000000001E-2</v>
      </c>
      <c r="H13" s="272">
        <f>+J13*G13</f>
        <v>9.6612767764289263E-3</v>
      </c>
      <c r="I13" s="275">
        <f>ROUND(+E13*'Method#7b'!E25,0)</f>
        <v>940000</v>
      </c>
      <c r="J13" s="267">
        <f>+I13/$I$17</f>
        <v>0.30191489926340392</v>
      </c>
      <c r="K13" s="259"/>
      <c r="L13" s="259"/>
    </row>
    <row r="14" spans="1:12" s="260" customFormat="1" x14ac:dyDescent="0.5">
      <c r="A14" s="257"/>
      <c r="B14" t="s">
        <v>203</v>
      </c>
      <c r="E14" s="304">
        <v>1</v>
      </c>
      <c r="F14" s="162">
        <v>0.08</v>
      </c>
      <c r="G14" s="270">
        <f>+F14*(1-'Method #6'!$D$13)</f>
        <v>5.1200000000000002E-2</v>
      </c>
      <c r="H14" s="272">
        <f>+J14*G14</f>
        <v>7.7290214211431412E-3</v>
      </c>
      <c r="I14" s="301">
        <f>+E14*'Method#7b'!E25</f>
        <v>470000</v>
      </c>
      <c r="J14" s="302">
        <f>+I14/$I$17</f>
        <v>0.15095744963170196</v>
      </c>
      <c r="K14" s="259"/>
      <c r="L14" s="259"/>
    </row>
    <row r="15" spans="1:12" s="260" customFormat="1" x14ac:dyDescent="0.5">
      <c r="A15" s="257"/>
      <c r="B15" t="s">
        <v>227</v>
      </c>
      <c r="E15" s="305">
        <f>+I15/'Method#7b'!E25</f>
        <v>3</v>
      </c>
      <c r="F15" s="162"/>
      <c r="G15" s="270"/>
      <c r="H15" s="272"/>
      <c r="I15" s="275">
        <f>+I14+I13</f>
        <v>1410000</v>
      </c>
      <c r="J15" s="302">
        <f>+I15/$I$17</f>
        <v>0.45287234889510591</v>
      </c>
      <c r="K15" s="259"/>
      <c r="L15" s="259"/>
    </row>
    <row r="16" spans="1:12" s="260" customFormat="1" x14ac:dyDescent="0.5">
      <c r="A16" s="257"/>
      <c r="B16" t="s">
        <v>204</v>
      </c>
      <c r="E16" s="306">
        <f>+I16/'Method#7b'!E25</f>
        <v>3.624383244680851</v>
      </c>
      <c r="F16" s="269">
        <f>+'Method #6'!I41</f>
        <v>0.31850000000000006</v>
      </c>
      <c r="G16" s="271">
        <f>+F16</f>
        <v>0.31850000000000006</v>
      </c>
      <c r="H16" s="272">
        <f>+J16*G16</f>
        <v>0.17426015687690882</v>
      </c>
      <c r="I16" s="275">
        <f>+I17-I14-I13</f>
        <v>1703460.125</v>
      </c>
      <c r="J16" s="267">
        <f>+I16/$I$17</f>
        <v>0.54712765110489414</v>
      </c>
      <c r="K16" s="259"/>
      <c r="L16" s="259"/>
    </row>
    <row r="17" spans="1:13" s="260" customFormat="1" ht="14.7" thickBot="1" x14ac:dyDescent="0.55000000000000004">
      <c r="A17" s="257"/>
      <c r="B17" t="s">
        <v>206</v>
      </c>
      <c r="E17" s="307">
        <f>+I17/'Method#7b'!E25</f>
        <v>6.6243832446808515</v>
      </c>
      <c r="F17" s="259"/>
      <c r="G17" s="259"/>
      <c r="H17" s="273">
        <f>SUM(H13:H16)</f>
        <v>0.19165045507448089</v>
      </c>
      <c r="I17" s="276">
        <f>+I10</f>
        <v>3113460.125</v>
      </c>
      <c r="J17" s="268">
        <f>+I17/$I$17</f>
        <v>1</v>
      </c>
      <c r="K17" s="259"/>
      <c r="L17" s="259"/>
    </row>
    <row r="18" spans="1:13" s="260" customFormat="1" ht="14.7" thickBot="1" x14ac:dyDescent="0.55000000000000004">
      <c r="A18" s="257"/>
      <c r="B18"/>
      <c r="C18" s="259"/>
      <c r="D18" s="259"/>
      <c r="E18" s="259"/>
      <c r="F18" s="259"/>
      <c r="G18" s="259"/>
      <c r="H18" s="259"/>
      <c r="I18" s="259"/>
      <c r="J18" s="259"/>
      <c r="K18" s="259"/>
      <c r="L18" s="259"/>
    </row>
    <row r="19" spans="1:13" s="260" customFormat="1" ht="14.7" thickBot="1" x14ac:dyDescent="0.55000000000000004">
      <c r="B19" s="201" t="s">
        <v>167</v>
      </c>
      <c r="C19" s="202"/>
      <c r="D19" s="203"/>
      <c r="E19"/>
      <c r="H19" s="259"/>
      <c r="I19" s="259"/>
      <c r="J19" s="259"/>
      <c r="K19" s="259"/>
      <c r="L19" s="259"/>
    </row>
    <row r="20" spans="1:13" s="260" customFormat="1" x14ac:dyDescent="0.5">
      <c r="B20" s="207" t="s">
        <v>168</v>
      </c>
      <c r="C20" s="208"/>
      <c r="D20" s="209">
        <f>+'Method #2'!C8</f>
        <v>2.75E-2</v>
      </c>
      <c r="E20"/>
    </row>
    <row r="21" spans="1:13" s="260" customFormat="1" x14ac:dyDescent="0.5">
      <c r="B21" s="207" t="s">
        <v>171</v>
      </c>
      <c r="C21" s="208"/>
      <c r="D21" s="213">
        <f>+'Method #6'!I39</f>
        <v>0.1</v>
      </c>
      <c r="E21"/>
    </row>
    <row r="22" spans="1:13" s="260" customFormat="1" ht="14.7" thickBot="1" x14ac:dyDescent="0.55000000000000004">
      <c r="B22" s="207" t="s">
        <v>95</v>
      </c>
      <c r="C22" s="208"/>
      <c r="D22" s="217">
        <f>+'Method #4'!L15</f>
        <v>2.91</v>
      </c>
      <c r="E22"/>
    </row>
    <row r="23" spans="1:13" s="260" customFormat="1" ht="14.7" thickBot="1" x14ac:dyDescent="0.55000000000000004">
      <c r="B23" s="220" t="s">
        <v>175</v>
      </c>
      <c r="C23" s="221"/>
      <c r="D23" s="222">
        <f>+D20+(D21*D22)</f>
        <v>0.31850000000000006</v>
      </c>
      <c r="E23"/>
      <c r="F23"/>
      <c r="G23"/>
    </row>
    <row r="24" spans="1:13" s="260" customFormat="1" x14ac:dyDescent="0.5">
      <c r="B24"/>
      <c r="C24"/>
      <c r="D24"/>
      <c r="E24"/>
      <c r="F24"/>
      <c r="G24"/>
    </row>
    <row r="25" spans="1:13" s="260" customFormat="1" ht="14.7" thickBot="1" x14ac:dyDescent="0.55000000000000004">
      <c r="A25" s="257"/>
      <c r="B25"/>
      <c r="C25" s="259"/>
      <c r="D25" s="259"/>
      <c r="E25" s="259"/>
      <c r="F25" s="296" t="s">
        <v>225</v>
      </c>
    </row>
    <row r="26" spans="1:13" s="260" customFormat="1" ht="14.7" thickBot="1" x14ac:dyDescent="0.55000000000000004">
      <c r="A26" s="257"/>
      <c r="B26" s="153" t="s">
        <v>216</v>
      </c>
      <c r="C26" s="153" t="s">
        <v>221</v>
      </c>
      <c r="D26" s="66" t="s">
        <v>172</v>
      </c>
      <c r="E26" s="289">
        <f>+'Method#7b'!E7</f>
        <v>43373</v>
      </c>
      <c r="F26" s="155">
        <f>+'Method#7b'!F7</f>
        <v>43465</v>
      </c>
      <c r="G26" s="155">
        <f>+'Method#7b'!G7</f>
        <v>43830</v>
      </c>
      <c r="H26" s="155">
        <f>+'Method#7b'!H7</f>
        <v>44196</v>
      </c>
      <c r="I26" s="155">
        <f>+'Method#7b'!I7</f>
        <v>44561</v>
      </c>
      <c r="J26" s="156">
        <f>+'Method#7b'!J7</f>
        <v>44926</v>
      </c>
      <c r="K26" s="155">
        <f>+'Method#7b'!K7</f>
        <v>45291</v>
      </c>
      <c r="L26" s="155">
        <f>+K26+366</f>
        <v>45657</v>
      </c>
      <c r="M26" s="155">
        <f>+L26+365</f>
        <v>46022</v>
      </c>
    </row>
    <row r="27" spans="1:13" s="260" customFormat="1" x14ac:dyDescent="0.5">
      <c r="A27" s="257"/>
      <c r="B27" s="284" t="str">
        <f>+B13</f>
        <v>Bank Loan</v>
      </c>
      <c r="C27" s="285">
        <v>7</v>
      </c>
      <c r="D27" s="271">
        <f>+F13</f>
        <v>0.05</v>
      </c>
      <c r="E27" s="290"/>
    </row>
    <row r="28" spans="1:13" s="260" customFormat="1" x14ac:dyDescent="0.5">
      <c r="A28" s="257"/>
      <c r="B28" t="s">
        <v>217</v>
      </c>
      <c r="C28" s="285"/>
      <c r="D28" s="285"/>
      <c r="E28" s="291">
        <f>+I13</f>
        <v>940000</v>
      </c>
      <c r="F28" s="264">
        <f t="shared" ref="F28:M28" si="0">+E28-F29</f>
        <v>940000</v>
      </c>
      <c r="G28" s="264">
        <f t="shared" si="0"/>
        <v>921200</v>
      </c>
      <c r="H28" s="264">
        <f t="shared" si="0"/>
        <v>883600</v>
      </c>
      <c r="I28" s="264">
        <f t="shared" si="0"/>
        <v>809904</v>
      </c>
      <c r="J28" s="264">
        <f t="shared" si="0"/>
        <v>668528</v>
      </c>
      <c r="K28" s="264">
        <f t="shared" si="0"/>
        <v>466052</v>
      </c>
      <c r="L28" s="264">
        <f t="shared" si="0"/>
        <v>265493.59999999998</v>
      </c>
      <c r="M28" s="264">
        <f t="shared" si="0"/>
        <v>0</v>
      </c>
    </row>
    <row r="29" spans="1:13" s="260" customFormat="1" x14ac:dyDescent="0.5">
      <c r="A29" s="257"/>
      <c r="B29" t="s">
        <v>219</v>
      </c>
      <c r="C29" s="285"/>
      <c r="D29" s="285"/>
      <c r="E29" s="292"/>
      <c r="F29" s="297">
        <v>0</v>
      </c>
      <c r="G29" s="297">
        <f>+E28*0.02</f>
        <v>18800</v>
      </c>
      <c r="H29" s="297">
        <f>+F28*0.04</f>
        <v>37600</v>
      </c>
      <c r="I29" s="297">
        <f>+G28*0.08</f>
        <v>73696</v>
      </c>
      <c r="J29" s="297">
        <f>+H28*0.16</f>
        <v>141376</v>
      </c>
      <c r="K29" s="297">
        <f>+I28*0.25</f>
        <v>202476</v>
      </c>
      <c r="L29" s="297">
        <f>+J28*0.3</f>
        <v>200558.4</v>
      </c>
      <c r="M29" s="297">
        <f>+L28</f>
        <v>265493.59999999998</v>
      </c>
    </row>
    <row r="30" spans="1:13" s="260" customFormat="1" x14ac:dyDescent="0.5">
      <c r="A30" s="257"/>
      <c r="B30" t="s">
        <v>220</v>
      </c>
      <c r="C30" s="285"/>
      <c r="D30" s="285"/>
      <c r="E30" s="293"/>
      <c r="F30" s="264">
        <f>+E28*($D$27)</f>
        <v>47000</v>
      </c>
      <c r="G30" s="264">
        <f>+F28*$D$27</f>
        <v>47000</v>
      </c>
      <c r="H30" s="264">
        <f t="shared" ref="H30:M30" si="1">+G28*$D$27</f>
        <v>46060</v>
      </c>
      <c r="I30" s="264">
        <f t="shared" si="1"/>
        <v>44180</v>
      </c>
      <c r="J30" s="264">
        <f t="shared" si="1"/>
        <v>40495.200000000004</v>
      </c>
      <c r="K30" s="264">
        <f t="shared" si="1"/>
        <v>33426.400000000001</v>
      </c>
      <c r="L30" s="264">
        <f t="shared" si="1"/>
        <v>23302.600000000002</v>
      </c>
      <c r="M30" s="264">
        <f t="shared" si="1"/>
        <v>13274.68</v>
      </c>
    </row>
    <row r="31" spans="1:13" ht="14.7" thickBot="1" x14ac:dyDescent="0.55000000000000004">
      <c r="A31" s="257"/>
      <c r="B31" t="s">
        <v>218</v>
      </c>
      <c r="C31" s="285"/>
      <c r="D31" s="285"/>
      <c r="E31" s="292"/>
      <c r="F31" s="287">
        <f t="shared" ref="F31:M31" si="2">+F30+F29</f>
        <v>47000</v>
      </c>
      <c r="G31" s="287">
        <f t="shared" si="2"/>
        <v>65800</v>
      </c>
      <c r="H31" s="287">
        <f t="shared" si="2"/>
        <v>83660</v>
      </c>
      <c r="I31" s="287">
        <f t="shared" si="2"/>
        <v>117876</v>
      </c>
      <c r="J31" s="287">
        <f t="shared" si="2"/>
        <v>181871.2</v>
      </c>
      <c r="K31" s="287">
        <f t="shared" si="2"/>
        <v>235902.4</v>
      </c>
      <c r="L31" s="287">
        <f t="shared" si="2"/>
        <v>223861</v>
      </c>
      <c r="M31" s="287">
        <f t="shared" si="2"/>
        <v>278768.27999999997</v>
      </c>
    </row>
    <row r="32" spans="1:13" x14ac:dyDescent="0.5">
      <c r="A32" s="257"/>
      <c r="C32" s="285"/>
      <c r="D32" s="285"/>
      <c r="E32" s="292"/>
      <c r="F32" s="264"/>
      <c r="G32" s="264"/>
      <c r="H32" s="264"/>
      <c r="I32" s="264"/>
      <c r="J32" s="264"/>
      <c r="K32" s="264"/>
      <c r="L32" s="264"/>
      <c r="M32" s="264"/>
    </row>
    <row r="33" spans="1:13" x14ac:dyDescent="0.5">
      <c r="A33" s="257"/>
      <c r="B33" s="284" t="str">
        <f>+B14</f>
        <v>Corporate Bonds</v>
      </c>
      <c r="C33" s="285">
        <v>10</v>
      </c>
      <c r="D33" s="271">
        <f>+F14</f>
        <v>0.08</v>
      </c>
      <c r="E33" s="290"/>
      <c r="F33" s="260"/>
      <c r="G33" s="260"/>
      <c r="H33" s="260"/>
      <c r="I33" s="260"/>
      <c r="J33" s="260"/>
      <c r="K33" s="260"/>
      <c r="L33" s="260"/>
      <c r="M33" s="260"/>
    </row>
    <row r="34" spans="1:13" x14ac:dyDescent="0.5">
      <c r="A34" s="257"/>
      <c r="B34" t="s">
        <v>217</v>
      </c>
      <c r="C34" s="285"/>
      <c r="D34" s="285"/>
      <c r="E34" s="291">
        <f>+I14</f>
        <v>470000</v>
      </c>
      <c r="F34" s="264">
        <f t="shared" ref="F34:M34" si="3">+E34-F35</f>
        <v>470000</v>
      </c>
      <c r="G34" s="264">
        <f t="shared" si="3"/>
        <v>470000</v>
      </c>
      <c r="H34" s="264">
        <f t="shared" si="3"/>
        <v>470000</v>
      </c>
      <c r="I34" s="264">
        <f t="shared" si="3"/>
        <v>470000</v>
      </c>
      <c r="J34" s="264">
        <f t="shared" si="3"/>
        <v>470000</v>
      </c>
      <c r="K34" s="264">
        <f t="shared" si="3"/>
        <v>470000</v>
      </c>
      <c r="L34" s="264">
        <f t="shared" si="3"/>
        <v>470000</v>
      </c>
      <c r="M34" s="264">
        <f t="shared" si="3"/>
        <v>470000</v>
      </c>
    </row>
    <row r="35" spans="1:13" x14ac:dyDescent="0.5">
      <c r="A35" s="257"/>
      <c r="B35" t="s">
        <v>219</v>
      </c>
      <c r="C35" s="285"/>
      <c r="D35" s="285"/>
      <c r="E35" s="292"/>
      <c r="F35" s="264">
        <v>0</v>
      </c>
      <c r="G35" s="264">
        <v>0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4">
        <v>0</v>
      </c>
    </row>
    <row r="36" spans="1:13" x14ac:dyDescent="0.5">
      <c r="A36" s="257"/>
      <c r="B36" t="s">
        <v>220</v>
      </c>
      <c r="C36" s="285"/>
      <c r="D36" s="285"/>
      <c r="E36" s="293"/>
      <c r="F36" s="264">
        <f>+E34*D33</f>
        <v>37600</v>
      </c>
      <c r="G36" s="264">
        <f t="shared" ref="G36:M36" si="4">+F34*$D$33</f>
        <v>37600</v>
      </c>
      <c r="H36" s="264">
        <f t="shared" si="4"/>
        <v>37600</v>
      </c>
      <c r="I36" s="264">
        <f t="shared" si="4"/>
        <v>37600</v>
      </c>
      <c r="J36" s="264">
        <f t="shared" si="4"/>
        <v>37600</v>
      </c>
      <c r="K36" s="264">
        <f t="shared" si="4"/>
        <v>37600</v>
      </c>
      <c r="L36" s="264">
        <f t="shared" si="4"/>
        <v>37600</v>
      </c>
      <c r="M36" s="264">
        <f t="shared" si="4"/>
        <v>37600</v>
      </c>
    </row>
    <row r="37" spans="1:13" ht="14.7" thickBot="1" x14ac:dyDescent="0.55000000000000004">
      <c r="A37" s="257"/>
      <c r="B37" t="s">
        <v>218</v>
      </c>
      <c r="C37" s="285"/>
      <c r="D37" s="285"/>
      <c r="E37" s="292"/>
      <c r="F37" s="288">
        <f t="shared" ref="F37:M37" si="5">+F36+F35</f>
        <v>37600</v>
      </c>
      <c r="G37" s="288">
        <f t="shared" si="5"/>
        <v>37600</v>
      </c>
      <c r="H37" s="288">
        <f t="shared" si="5"/>
        <v>37600</v>
      </c>
      <c r="I37" s="288">
        <f t="shared" si="5"/>
        <v>37600</v>
      </c>
      <c r="J37" s="288">
        <f t="shared" si="5"/>
        <v>37600</v>
      </c>
      <c r="K37" s="288">
        <f t="shared" si="5"/>
        <v>37600</v>
      </c>
      <c r="L37" s="288">
        <f t="shared" si="5"/>
        <v>37600</v>
      </c>
      <c r="M37" s="288">
        <f t="shared" si="5"/>
        <v>37600</v>
      </c>
    </row>
    <row r="38" spans="1:13" x14ac:dyDescent="0.5">
      <c r="A38" s="257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</row>
    <row r="39" spans="1:13" x14ac:dyDescent="0.5">
      <c r="A39" s="257"/>
      <c r="B39" t="s">
        <v>355</v>
      </c>
      <c r="C39" s="259"/>
      <c r="D39" s="259"/>
      <c r="E39" s="259"/>
      <c r="F39" s="286">
        <f>+F30+F36</f>
        <v>84600</v>
      </c>
      <c r="G39" s="286">
        <f t="shared" ref="G39:M39" si="6">+G30+G36</f>
        <v>84600</v>
      </c>
      <c r="H39" s="286">
        <f t="shared" si="6"/>
        <v>83660</v>
      </c>
      <c r="I39" s="286">
        <f t="shared" si="6"/>
        <v>81780</v>
      </c>
      <c r="J39" s="286">
        <f t="shared" si="6"/>
        <v>78095.200000000012</v>
      </c>
      <c r="K39" s="286">
        <f t="shared" si="6"/>
        <v>71026.399999999994</v>
      </c>
      <c r="L39" s="286">
        <f t="shared" si="6"/>
        <v>60902.600000000006</v>
      </c>
      <c r="M39" s="286">
        <f t="shared" si="6"/>
        <v>50874.68</v>
      </c>
    </row>
    <row r="40" spans="1:13" x14ac:dyDescent="0.5">
      <c r="A40" s="257"/>
      <c r="B40" t="s">
        <v>356</v>
      </c>
      <c r="C40" s="259"/>
      <c r="D40" s="259"/>
      <c r="E40" s="259"/>
      <c r="F40" s="286">
        <f>+F29+F35</f>
        <v>0</v>
      </c>
      <c r="G40" s="286">
        <f t="shared" ref="G40:M40" si="7">+G29+G35</f>
        <v>18800</v>
      </c>
      <c r="H40" s="286">
        <f t="shared" si="7"/>
        <v>37600</v>
      </c>
      <c r="I40" s="286">
        <f t="shared" si="7"/>
        <v>73696</v>
      </c>
      <c r="J40" s="286">
        <f t="shared" si="7"/>
        <v>141376</v>
      </c>
      <c r="K40" s="286">
        <f t="shared" si="7"/>
        <v>202476</v>
      </c>
      <c r="L40" s="286">
        <f t="shared" si="7"/>
        <v>200558.4</v>
      </c>
      <c r="M40" s="286">
        <f t="shared" si="7"/>
        <v>265493.59999999998</v>
      </c>
    </row>
    <row r="41" spans="1:13" x14ac:dyDescent="0.5">
      <c r="A41" s="257"/>
      <c r="B41" t="s">
        <v>222</v>
      </c>
      <c r="C41" s="259"/>
      <c r="D41" s="259"/>
      <c r="E41" s="259"/>
      <c r="F41" s="386">
        <f>+F40+F39</f>
        <v>84600</v>
      </c>
      <c r="G41" s="386">
        <f t="shared" ref="G41:M41" si="8">+G40+G39</f>
        <v>103400</v>
      </c>
      <c r="H41" s="386">
        <f t="shared" si="8"/>
        <v>121260</v>
      </c>
      <c r="I41" s="386">
        <f t="shared" si="8"/>
        <v>155476</v>
      </c>
      <c r="J41" s="386">
        <f t="shared" si="8"/>
        <v>219471.2</v>
      </c>
      <c r="K41" s="386">
        <f t="shared" si="8"/>
        <v>273502.40000000002</v>
      </c>
      <c r="L41" s="386">
        <f t="shared" si="8"/>
        <v>261461</v>
      </c>
      <c r="M41" s="386">
        <f t="shared" si="8"/>
        <v>316368.27999999997</v>
      </c>
    </row>
    <row r="42" spans="1:13" x14ac:dyDescent="0.5">
      <c r="A42" s="257"/>
      <c r="B42" t="s">
        <v>223</v>
      </c>
      <c r="C42" s="259"/>
      <c r="D42" s="259"/>
      <c r="E42" s="259"/>
      <c r="F42" s="286">
        <f t="shared" ref="F42" si="9">+F34+F28</f>
        <v>1410000</v>
      </c>
      <c r="G42" s="286">
        <f t="shared" ref="G42:M42" si="10">+G34+G28</f>
        <v>1391200</v>
      </c>
      <c r="H42" s="286">
        <f t="shared" si="10"/>
        <v>1353600</v>
      </c>
      <c r="I42" s="286">
        <f t="shared" si="10"/>
        <v>1279904</v>
      </c>
      <c r="J42" s="286">
        <f t="shared" si="10"/>
        <v>1138528</v>
      </c>
      <c r="K42" s="286">
        <f t="shared" si="10"/>
        <v>936052</v>
      </c>
      <c r="L42" s="286">
        <f t="shared" si="10"/>
        <v>735493.6</v>
      </c>
      <c r="M42" s="286">
        <f t="shared" si="10"/>
        <v>470000</v>
      </c>
    </row>
    <row r="44" spans="1:13" x14ac:dyDescent="0.5">
      <c r="L44" s="216"/>
      <c r="M44" s="216" t="s">
        <v>226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D64-880B-4E8D-AC5E-4A6177DF0CD7}">
  <dimension ref="A1:M54"/>
  <sheetViews>
    <sheetView showGridLines="0" workbookViewId="0">
      <selection activeCell="B1" sqref="B1:L50"/>
    </sheetView>
  </sheetViews>
  <sheetFormatPr defaultRowHeight="14.35" x14ac:dyDescent="0.5"/>
  <cols>
    <col min="1" max="1" width="8.820312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2" max="12" width="4.1171875" customWidth="1"/>
  </cols>
  <sheetData>
    <row r="1" spans="1:13" ht="20" x14ac:dyDescent="0.6">
      <c r="A1" s="43"/>
      <c r="B1" s="44" t="str">
        <f>+'Method #1'!B1</f>
        <v>AK Steel Holding Corp. (AKS)</v>
      </c>
      <c r="C1" s="45"/>
      <c r="J1" s="7"/>
    </row>
    <row r="2" spans="1:13" ht="10.5" customHeight="1" x14ac:dyDescent="0.5">
      <c r="A2" s="43"/>
      <c r="B2" s="46" t="s">
        <v>42</v>
      </c>
      <c r="C2" s="45"/>
      <c r="J2" s="7"/>
    </row>
    <row r="3" spans="1:13" s="260" customFormat="1" x14ac:dyDescent="0.5">
      <c r="A3" s="257"/>
      <c r="B3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3" ht="15.35" x14ac:dyDescent="0.5">
      <c r="A4" s="43"/>
      <c r="B4" s="136" t="s">
        <v>187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ht="11.5" customHeight="1" x14ac:dyDescent="0.6">
      <c r="A5" s="43"/>
      <c r="B5" s="44"/>
      <c r="C5" s="57"/>
      <c r="D5" s="57"/>
      <c r="E5" s="149" t="s">
        <v>136</v>
      </c>
      <c r="F5" s="150">
        <v>1</v>
      </c>
      <c r="G5" s="150">
        <v>2</v>
      </c>
      <c r="H5" s="150">
        <v>3</v>
      </c>
      <c r="I5" s="150">
        <v>4</v>
      </c>
      <c r="J5" s="150">
        <v>5</v>
      </c>
      <c r="K5" s="150">
        <v>6</v>
      </c>
    </row>
    <row r="6" spans="1:13" x14ac:dyDescent="0.5">
      <c r="A6" s="43"/>
      <c r="B6" t="s">
        <v>137</v>
      </c>
      <c r="C6" s="151" t="s">
        <v>138</v>
      </c>
      <c r="D6" s="152" t="s">
        <v>139</v>
      </c>
      <c r="E6" s="15" t="s">
        <v>140</v>
      </c>
      <c r="F6" s="295" t="s">
        <v>225</v>
      </c>
      <c r="J6" s="15" t="s">
        <v>3</v>
      </c>
    </row>
    <row r="7" spans="1:13" ht="14.7" thickBot="1" x14ac:dyDescent="0.55000000000000004">
      <c r="A7" s="43"/>
      <c r="C7" s="153" t="s">
        <v>141</v>
      </c>
      <c r="D7" s="66" t="s">
        <v>141</v>
      </c>
      <c r="E7" s="154">
        <f>+'Method #6'!E7</f>
        <v>43373</v>
      </c>
      <c r="F7" s="155">
        <f>+'Method #6'!F7</f>
        <v>43465</v>
      </c>
      <c r="G7" s="155">
        <f>+'Method #6'!G7</f>
        <v>43830</v>
      </c>
      <c r="H7" s="155">
        <f>+'Method #6'!H7</f>
        <v>44196</v>
      </c>
      <c r="I7" s="155">
        <f>+'Method #6'!I7</f>
        <v>44561</v>
      </c>
      <c r="J7" s="156">
        <f>+'Method #6'!J7</f>
        <v>44926</v>
      </c>
      <c r="K7" s="155">
        <f>+'Method #6'!K7</f>
        <v>45291</v>
      </c>
    </row>
    <row r="8" spans="1:13" x14ac:dyDescent="0.5">
      <c r="A8" s="43"/>
      <c r="B8" t="s">
        <v>10</v>
      </c>
      <c r="C8" s="157"/>
      <c r="D8" s="158"/>
      <c r="E8" s="159">
        <f>+'Method #6'!E8</f>
        <v>6640000</v>
      </c>
      <c r="F8" s="17">
        <f t="shared" ref="F8:K8" si="0">+E8*(1+F9)</f>
        <v>6905600</v>
      </c>
      <c r="G8" s="17">
        <f t="shared" si="0"/>
        <v>7181824</v>
      </c>
      <c r="H8" s="17">
        <f t="shared" si="0"/>
        <v>7433187.8399999999</v>
      </c>
      <c r="I8" s="17">
        <f t="shared" si="0"/>
        <v>7693349.4143999992</v>
      </c>
      <c r="J8" s="18">
        <f t="shared" si="0"/>
        <v>7962616.6439039987</v>
      </c>
      <c r="K8" s="160">
        <f t="shared" si="0"/>
        <v>8281121.3096601591</v>
      </c>
    </row>
    <row r="9" spans="1:13" x14ac:dyDescent="0.5">
      <c r="A9" s="43"/>
      <c r="B9" t="s">
        <v>142</v>
      </c>
      <c r="C9" s="161"/>
      <c r="D9" s="162"/>
      <c r="E9" s="163"/>
      <c r="F9" s="164">
        <f>+'Method #6'!F9</f>
        <v>0.04</v>
      </c>
      <c r="G9" s="164">
        <f>+'Method #6'!G9</f>
        <v>0.04</v>
      </c>
      <c r="H9" s="164">
        <f>+'Method #6'!H9</f>
        <v>3.5000000000000003E-2</v>
      </c>
      <c r="I9" s="164">
        <f>+'Method #6'!I9</f>
        <v>3.5000000000000003E-2</v>
      </c>
      <c r="J9" s="165">
        <f>+'Method #6'!J9</f>
        <v>3.5000000000000003E-2</v>
      </c>
      <c r="K9" s="166">
        <v>0.04</v>
      </c>
    </row>
    <row r="10" spans="1:13" x14ac:dyDescent="0.5">
      <c r="A10" s="43"/>
      <c r="B10" t="s">
        <v>143</v>
      </c>
      <c r="C10" s="161">
        <f>+'Method #6'!C10</f>
        <v>0.87662650602409642</v>
      </c>
      <c r="D10" s="162">
        <f>+'Method #6'!D10</f>
        <v>0.86</v>
      </c>
      <c r="E10" s="159">
        <f>+'Method #6'!E10</f>
        <v>-5820800</v>
      </c>
      <c r="F10" s="17">
        <f t="shared" ref="F10:K10" si="1">-$D$10*F8</f>
        <v>-5938816</v>
      </c>
      <c r="G10" s="17">
        <f t="shared" si="1"/>
        <v>-6176368.6399999997</v>
      </c>
      <c r="H10" s="17">
        <f t="shared" si="1"/>
        <v>-6392541.5423999997</v>
      </c>
      <c r="I10" s="17">
        <f t="shared" si="1"/>
        <v>-6616280.4963839995</v>
      </c>
      <c r="J10" s="18">
        <f t="shared" si="1"/>
        <v>-6847850.3137574391</v>
      </c>
      <c r="K10" s="160">
        <f t="shared" si="1"/>
        <v>-7121764.3263077363</v>
      </c>
    </row>
    <row r="11" spans="1:13" x14ac:dyDescent="0.5">
      <c r="A11" s="43"/>
      <c r="B11" t="s">
        <v>144</v>
      </c>
      <c r="C11" s="161">
        <f>+'Method #6'!C11</f>
        <v>9.0707831325301205E-2</v>
      </c>
      <c r="D11" s="162">
        <v>7.0000000000000007E-2</v>
      </c>
      <c r="E11" s="168">
        <f>+'Method #6'!E11</f>
        <v>-602300</v>
      </c>
      <c r="F11" s="19">
        <f t="shared" ref="F11:K11" si="2">-$D$11*F8</f>
        <v>-483392.00000000006</v>
      </c>
      <c r="G11" s="19">
        <f t="shared" si="2"/>
        <v>-502727.68000000005</v>
      </c>
      <c r="H11" s="19">
        <f t="shared" si="2"/>
        <v>-520323.14880000002</v>
      </c>
      <c r="I11" s="19">
        <f t="shared" si="2"/>
        <v>-538534.45900799998</v>
      </c>
      <c r="J11" s="20">
        <f t="shared" si="2"/>
        <v>-557383.16507327999</v>
      </c>
      <c r="K11" s="169">
        <f t="shared" si="2"/>
        <v>-579678.49167621124</v>
      </c>
    </row>
    <row r="12" spans="1:13" x14ac:dyDescent="0.5">
      <c r="A12" s="43"/>
      <c r="B12" t="s">
        <v>145</v>
      </c>
      <c r="C12" s="170"/>
      <c r="D12" s="171"/>
      <c r="E12" s="163">
        <f>+E8+E10+E11</f>
        <v>216900</v>
      </c>
      <c r="F12" s="17">
        <f t="shared" ref="F12:K12" si="3">+F8+F10+F11</f>
        <v>483391.99999999994</v>
      </c>
      <c r="G12" s="17">
        <f t="shared" si="3"/>
        <v>502727.68000000028</v>
      </c>
      <c r="H12" s="17">
        <f t="shared" si="3"/>
        <v>520323.14880000014</v>
      </c>
      <c r="I12" s="17">
        <f t="shared" si="3"/>
        <v>538534.45900799974</v>
      </c>
      <c r="J12" s="18">
        <f t="shared" si="3"/>
        <v>557383.16507327952</v>
      </c>
      <c r="K12" s="160">
        <f t="shared" si="3"/>
        <v>579678.49167621147</v>
      </c>
      <c r="M12" s="133"/>
    </row>
    <row r="13" spans="1:13" x14ac:dyDescent="0.5">
      <c r="A13" s="43"/>
      <c r="B13" t="s">
        <v>16</v>
      </c>
      <c r="C13" s="170"/>
      <c r="D13" s="171"/>
      <c r="E13" s="278"/>
      <c r="F13" s="19">
        <f>-'Method #7a'!F30-'Method #7a'!F36</f>
        <v>-84600</v>
      </c>
      <c r="G13" s="19">
        <f>-'Method #7a'!G30-'Method #7a'!G36</f>
        <v>-84600</v>
      </c>
      <c r="H13" s="19">
        <f>-'Method #7a'!H30-'Method #7a'!H36</f>
        <v>-83660</v>
      </c>
      <c r="I13" s="19">
        <f>-'Method #7a'!I30-'Method #7a'!I36</f>
        <v>-81780</v>
      </c>
      <c r="J13" s="20">
        <f>-'Method #7a'!J30-'Method #7a'!J36</f>
        <v>-78095.200000000012</v>
      </c>
      <c r="K13" s="169">
        <f>-'Method #7a'!K30-'Method #7a'!K36</f>
        <v>-71026.399999999994</v>
      </c>
      <c r="M13" s="133"/>
    </row>
    <row r="14" spans="1:13" x14ac:dyDescent="0.5">
      <c r="A14" s="43"/>
      <c r="B14" t="s">
        <v>209</v>
      </c>
      <c r="C14" s="170"/>
      <c r="D14" s="171"/>
      <c r="E14" s="163">
        <f t="shared" ref="E14:K14" si="4">+E12+E13</f>
        <v>216900</v>
      </c>
      <c r="F14" s="17">
        <f t="shared" si="4"/>
        <v>398791.99999999994</v>
      </c>
      <c r="G14" s="17">
        <f t="shared" si="4"/>
        <v>418127.68000000028</v>
      </c>
      <c r="H14" s="17">
        <f t="shared" si="4"/>
        <v>436663.14880000014</v>
      </c>
      <c r="I14" s="17">
        <f t="shared" si="4"/>
        <v>456754.45900799974</v>
      </c>
      <c r="J14" s="18">
        <f t="shared" si="4"/>
        <v>479287.96507327951</v>
      </c>
      <c r="K14" s="160">
        <f t="shared" si="4"/>
        <v>508652.09167621145</v>
      </c>
      <c r="M14" s="133"/>
    </row>
    <row r="15" spans="1:13" x14ac:dyDescent="0.5">
      <c r="A15" s="43"/>
      <c r="B15" t="s">
        <v>146</v>
      </c>
      <c r="C15" s="161"/>
      <c r="D15" s="162">
        <v>0.36</v>
      </c>
      <c r="E15" s="278">
        <v>0</v>
      </c>
      <c r="F15" s="19">
        <f t="shared" ref="F15:K15" si="5">-$D$15*F14</f>
        <v>-143565.11999999997</v>
      </c>
      <c r="G15" s="19">
        <f t="shared" si="5"/>
        <v>-150525.9648000001</v>
      </c>
      <c r="H15" s="19">
        <f t="shared" si="5"/>
        <v>-157198.73356800005</v>
      </c>
      <c r="I15" s="19">
        <f t="shared" si="5"/>
        <v>-164431.60524287992</v>
      </c>
      <c r="J15" s="20">
        <f t="shared" si="5"/>
        <v>-172543.66742638062</v>
      </c>
      <c r="K15" s="169">
        <f t="shared" si="5"/>
        <v>-183114.75300343611</v>
      </c>
    </row>
    <row r="16" spans="1:13" x14ac:dyDescent="0.5">
      <c r="A16" s="43"/>
      <c r="B16" t="s">
        <v>210</v>
      </c>
      <c r="C16" s="161"/>
      <c r="D16" s="162"/>
      <c r="E16" s="163">
        <f t="shared" ref="E16:K16" si="6">+E14+E15</f>
        <v>216900</v>
      </c>
      <c r="F16" s="17">
        <f t="shared" si="6"/>
        <v>255226.87999999998</v>
      </c>
      <c r="G16" s="17">
        <f t="shared" si="6"/>
        <v>267601.71520000021</v>
      </c>
      <c r="H16" s="17">
        <f t="shared" si="6"/>
        <v>279464.41523200006</v>
      </c>
      <c r="I16" s="17">
        <f t="shared" si="6"/>
        <v>292322.8537651198</v>
      </c>
      <c r="J16" s="18">
        <f t="shared" si="6"/>
        <v>306744.29764689889</v>
      </c>
      <c r="K16" s="160">
        <f t="shared" si="6"/>
        <v>325537.33867277531</v>
      </c>
    </row>
    <row r="17" spans="1:11" x14ac:dyDescent="0.5">
      <c r="A17" s="43"/>
      <c r="B17" t="s">
        <v>147</v>
      </c>
      <c r="C17" s="161">
        <f>+'Method #6'!C14</f>
        <v>3.8117469879518071E-2</v>
      </c>
      <c r="D17" s="162">
        <f>+C17</f>
        <v>3.8117469879518071E-2</v>
      </c>
      <c r="E17" s="159">
        <f>+'Method #6'!E14</f>
        <v>253100</v>
      </c>
      <c r="F17" s="17">
        <f t="shared" ref="F17:K17" si="7">+$D$17*F8</f>
        <v>263224</v>
      </c>
      <c r="G17" s="17">
        <f t="shared" si="7"/>
        <v>273752.95999999996</v>
      </c>
      <c r="H17" s="17">
        <f t="shared" si="7"/>
        <v>283334.31359999999</v>
      </c>
      <c r="I17" s="17">
        <f t="shared" si="7"/>
        <v>293251.01457599993</v>
      </c>
      <c r="J17" s="18">
        <f t="shared" si="7"/>
        <v>303514.80008615996</v>
      </c>
      <c r="K17" s="160">
        <f t="shared" si="7"/>
        <v>315655.39208960632</v>
      </c>
    </row>
    <row r="18" spans="1:11" x14ac:dyDescent="0.5">
      <c r="A18" s="43"/>
      <c r="B18" t="s">
        <v>211</v>
      </c>
      <c r="C18" s="161"/>
      <c r="D18" s="294" t="s">
        <v>224</v>
      </c>
      <c r="E18" s="159"/>
      <c r="F18" s="17">
        <f>+'Method #7a'!$I$9/7</f>
        <v>15040.875000000002</v>
      </c>
      <c r="G18" s="17">
        <f>+'Method #7a'!$I$9/7</f>
        <v>15040.875000000002</v>
      </c>
      <c r="H18" s="17">
        <f>+'Method #7a'!$I$9/7</f>
        <v>15040.875000000002</v>
      </c>
      <c r="I18" s="17">
        <f>+'Method #7a'!$I$9/7</f>
        <v>15040.875000000002</v>
      </c>
      <c r="J18" s="18">
        <f>+'Method #7a'!I9-SUM(F18:I18)</f>
        <v>45122.625000000007</v>
      </c>
      <c r="K18" s="160"/>
    </row>
    <row r="19" spans="1:11" x14ac:dyDescent="0.5">
      <c r="A19" s="43"/>
      <c r="B19" s="47" t="s">
        <v>20</v>
      </c>
      <c r="C19" s="161">
        <v>0</v>
      </c>
      <c r="D19" s="162">
        <v>0</v>
      </c>
      <c r="E19" s="159"/>
      <c r="F19" s="17">
        <f t="shared" ref="F19:K19" si="8">-$D$19*F8</f>
        <v>0</v>
      </c>
      <c r="G19" s="17">
        <f t="shared" si="8"/>
        <v>0</v>
      </c>
      <c r="H19" s="17">
        <f t="shared" si="8"/>
        <v>0</v>
      </c>
      <c r="I19" s="17">
        <f t="shared" si="8"/>
        <v>0</v>
      </c>
      <c r="J19" s="18">
        <f t="shared" si="8"/>
        <v>0</v>
      </c>
      <c r="K19" s="160">
        <f t="shared" si="8"/>
        <v>0</v>
      </c>
    </row>
    <row r="20" spans="1:11" x14ac:dyDescent="0.5">
      <c r="A20" s="43"/>
      <c r="B20" t="s">
        <v>148</v>
      </c>
      <c r="C20" s="161">
        <f>+'Method #6'!C16</f>
        <v>2.4834337349397589E-2</v>
      </c>
      <c r="D20" s="162">
        <f>+C20</f>
        <v>2.4834337349397589E-2</v>
      </c>
      <c r="E20" s="159">
        <f>+'Method #6'!E16</f>
        <v>-164900</v>
      </c>
      <c r="F20" s="17">
        <f t="shared" ref="F20:K20" si="9">-$D$20*F8</f>
        <v>-171496</v>
      </c>
      <c r="G20" s="17">
        <f t="shared" si="9"/>
        <v>-178355.84</v>
      </c>
      <c r="H20" s="17">
        <f t="shared" si="9"/>
        <v>-184598.29439999998</v>
      </c>
      <c r="I20" s="17">
        <f t="shared" si="9"/>
        <v>-191059.23470399997</v>
      </c>
      <c r="J20" s="18">
        <f t="shared" si="9"/>
        <v>-197746.30791863994</v>
      </c>
      <c r="K20" s="160">
        <f t="shared" si="9"/>
        <v>-205656.16023538556</v>
      </c>
    </row>
    <row r="21" spans="1:11" ht="15" customHeight="1" thickBot="1" x14ac:dyDescent="0.55000000000000004">
      <c r="A21" s="43"/>
      <c r="B21" t="s">
        <v>212</v>
      </c>
      <c r="C21" s="172"/>
      <c r="E21" s="173">
        <f t="shared" ref="E21:K21" si="10">SUM(E16:E20)</f>
        <v>305100</v>
      </c>
      <c r="F21" s="174">
        <f t="shared" si="10"/>
        <v>361995.755</v>
      </c>
      <c r="G21" s="174">
        <f t="shared" si="10"/>
        <v>378039.71020000021</v>
      </c>
      <c r="H21" s="174">
        <f t="shared" si="10"/>
        <v>393241.30943200004</v>
      </c>
      <c r="I21" s="174">
        <f t="shared" si="10"/>
        <v>409555.50863711978</v>
      </c>
      <c r="J21" s="175">
        <f t="shared" si="10"/>
        <v>457635.41481441888</v>
      </c>
      <c r="K21" s="176">
        <f t="shared" si="10"/>
        <v>435536.57052699605</v>
      </c>
    </row>
    <row r="22" spans="1:11" ht="15" customHeight="1" thickTop="1" x14ac:dyDescent="0.5">
      <c r="A22" s="43"/>
      <c r="B22" s="57" t="s">
        <v>213</v>
      </c>
      <c r="C22" s="57"/>
      <c r="D22" s="57"/>
      <c r="E22" s="19"/>
      <c r="F22" s="19">
        <v>0</v>
      </c>
      <c r="G22" s="19">
        <f>+G26-F26</f>
        <v>-18800</v>
      </c>
      <c r="H22" s="19">
        <f>+H26-G26</f>
        <v>-37600</v>
      </c>
      <c r="I22" s="19">
        <f>+I26-H26</f>
        <v>-73696</v>
      </c>
      <c r="J22" s="20">
        <f>+J26-I26</f>
        <v>-141376</v>
      </c>
      <c r="K22" s="169">
        <f>+K26-J26</f>
        <v>-202476</v>
      </c>
    </row>
    <row r="23" spans="1:11" ht="15" customHeight="1" x14ac:dyDescent="0.5">
      <c r="A23" s="43"/>
      <c r="B23" s="277" t="s">
        <v>35</v>
      </c>
      <c r="C23" s="7"/>
      <c r="D23" s="7"/>
      <c r="E23" s="17">
        <f t="shared" ref="E23:K23" si="11">+E21+E22</f>
        <v>305100</v>
      </c>
      <c r="F23" s="17">
        <f t="shared" si="11"/>
        <v>361995.755</v>
      </c>
      <c r="G23" s="17">
        <f t="shared" si="11"/>
        <v>359239.71020000021</v>
      </c>
      <c r="H23" s="17">
        <f t="shared" si="11"/>
        <v>355641.30943200004</v>
      </c>
      <c r="I23" s="17">
        <f t="shared" si="11"/>
        <v>335859.50863711978</v>
      </c>
      <c r="J23" s="18">
        <f t="shared" si="11"/>
        <v>316259.41481441888</v>
      </c>
      <c r="K23" s="160">
        <f t="shared" si="11"/>
        <v>233060.57052699605</v>
      </c>
    </row>
    <row r="24" spans="1:11" ht="15" customHeight="1" x14ac:dyDescent="0.5">
      <c r="A24" s="43"/>
      <c r="B24" s="277"/>
      <c r="C24" s="7"/>
      <c r="D24" s="7"/>
      <c r="E24" s="17"/>
      <c r="F24" s="17"/>
      <c r="G24" s="17"/>
      <c r="H24" s="17"/>
      <c r="I24" s="17"/>
      <c r="J24" s="18"/>
      <c r="K24" s="160"/>
    </row>
    <row r="25" spans="1:11" ht="15" customHeight="1" x14ac:dyDescent="0.5">
      <c r="A25" s="43"/>
      <c r="B25" s="177" t="s">
        <v>13</v>
      </c>
      <c r="C25" s="177"/>
      <c r="D25" s="177"/>
      <c r="E25" s="178">
        <f t="shared" ref="E25:K25" si="12">+E12+E17</f>
        <v>470000</v>
      </c>
      <c r="F25" s="179">
        <f t="shared" si="12"/>
        <v>746616</v>
      </c>
      <c r="G25" s="179">
        <f t="shared" si="12"/>
        <v>776480.64000000025</v>
      </c>
      <c r="H25" s="179">
        <f t="shared" si="12"/>
        <v>803657.46240000008</v>
      </c>
      <c r="I25" s="179">
        <f t="shared" si="12"/>
        <v>831785.47358399967</v>
      </c>
      <c r="J25" s="180">
        <f t="shared" si="12"/>
        <v>860897.96515943948</v>
      </c>
      <c r="K25" s="181">
        <f t="shared" si="12"/>
        <v>895333.88376581785</v>
      </c>
    </row>
    <row r="26" spans="1:11" ht="12" customHeight="1" x14ac:dyDescent="0.5">
      <c r="A26" s="43"/>
      <c r="B26" s="182" t="s">
        <v>229</v>
      </c>
      <c r="C26" s="182"/>
      <c r="D26" s="182"/>
      <c r="E26" s="183">
        <f>+E47</f>
        <v>2030000</v>
      </c>
      <c r="F26" s="183">
        <f>+'Method #7a'!F42</f>
        <v>1410000</v>
      </c>
      <c r="G26" s="183">
        <f>+'Method #7a'!G42</f>
        <v>1391200</v>
      </c>
      <c r="H26" s="183">
        <f>+'Method #7a'!H42</f>
        <v>1353600</v>
      </c>
      <c r="I26" s="183">
        <f>+'Method #7a'!I42</f>
        <v>1279904</v>
      </c>
      <c r="J26" s="184">
        <f>+'Method #7a'!J42</f>
        <v>1138528</v>
      </c>
      <c r="K26" s="185">
        <f>+'Method #7a'!K42</f>
        <v>936052</v>
      </c>
    </row>
    <row r="27" spans="1:11" ht="7.5" customHeight="1" x14ac:dyDescent="0.5">
      <c r="A27" s="43"/>
      <c r="E27" s="7"/>
      <c r="F27" s="7"/>
      <c r="G27" s="7"/>
      <c r="H27" s="7"/>
      <c r="I27" s="7"/>
      <c r="J27" s="27"/>
    </row>
    <row r="28" spans="1:11" ht="14.7" thickBot="1" x14ac:dyDescent="0.55000000000000004">
      <c r="A28" s="43"/>
      <c r="B28" s="186" t="s">
        <v>151</v>
      </c>
      <c r="C28" s="187" t="s">
        <v>141</v>
      </c>
      <c r="E28" s="188" t="s">
        <v>152</v>
      </c>
      <c r="F28" s="7"/>
      <c r="G28" s="7"/>
      <c r="H28" s="7"/>
      <c r="I28" s="7"/>
      <c r="J28" s="27"/>
    </row>
    <row r="29" spans="1:11" x14ac:dyDescent="0.5">
      <c r="A29" s="43"/>
      <c r="B29" t="s">
        <v>153</v>
      </c>
      <c r="C29" s="100">
        <f>+'Method #4'!D17</f>
        <v>5.2978102494243418</v>
      </c>
      <c r="E29" s="189"/>
      <c r="F29" s="190" t="s">
        <v>154</v>
      </c>
      <c r="G29" s="7"/>
      <c r="H29" s="7"/>
      <c r="I29" s="7"/>
      <c r="J29" s="31">
        <f>+$C$29*J25</f>
        <v>4560874.0635302383</v>
      </c>
    </row>
    <row r="30" spans="1:11" x14ac:dyDescent="0.5">
      <c r="A30" s="43"/>
      <c r="B30" t="s">
        <v>155</v>
      </c>
      <c r="C30" s="191">
        <f>+'Method #7a'!H17</f>
        <v>0.19165045507448089</v>
      </c>
      <c r="E30" s="192">
        <f>+K9</f>
        <v>0.04</v>
      </c>
      <c r="F30" s="190" t="s">
        <v>156</v>
      </c>
      <c r="G30" s="7"/>
      <c r="H30" s="7"/>
      <c r="I30" s="7"/>
      <c r="J30" s="18">
        <f>+K21/(C30-E30)</f>
        <v>2871976.6802749699</v>
      </c>
    </row>
    <row r="31" spans="1:11" x14ac:dyDescent="0.5">
      <c r="A31" s="43"/>
      <c r="B31" t="s">
        <v>125</v>
      </c>
      <c r="E31" s="193"/>
      <c r="F31" s="7"/>
      <c r="G31" s="7"/>
      <c r="H31" s="7"/>
      <c r="I31" s="7"/>
      <c r="J31" s="194">
        <f>+(J29+J30)/2</f>
        <v>3716425.3719026041</v>
      </c>
    </row>
    <row r="32" spans="1:11" x14ac:dyDescent="0.5">
      <c r="A32" s="43"/>
      <c r="B32" t="s">
        <v>157</v>
      </c>
      <c r="E32" s="35"/>
      <c r="F32" s="7"/>
      <c r="G32" s="7"/>
      <c r="H32" s="7"/>
      <c r="I32" s="7"/>
      <c r="J32" s="31">
        <f>-J26</f>
        <v>-1138528</v>
      </c>
    </row>
    <row r="33" spans="1:10" x14ac:dyDescent="0.5">
      <c r="A33" s="43"/>
      <c r="B33" t="s">
        <v>158</v>
      </c>
      <c r="E33" s="35"/>
      <c r="F33" s="7"/>
      <c r="G33" s="7"/>
      <c r="H33" s="7"/>
      <c r="I33" s="7"/>
      <c r="J33" s="34">
        <v>0</v>
      </c>
    </row>
    <row r="34" spans="1:10" x14ac:dyDescent="0.5">
      <c r="A34" s="43"/>
      <c r="B34" t="s">
        <v>159</v>
      </c>
      <c r="E34" s="7"/>
      <c r="F34" s="7"/>
      <c r="G34" s="7"/>
      <c r="H34" s="7"/>
      <c r="I34" s="7"/>
      <c r="J34" s="31">
        <f>+J32+J31</f>
        <v>2577897.3719026041</v>
      </c>
    </row>
    <row r="35" spans="1:10" ht="14.7" thickBot="1" x14ac:dyDescent="0.55000000000000004">
      <c r="A35" s="43"/>
      <c r="E35" s="7"/>
      <c r="F35" s="7"/>
      <c r="G35" s="7"/>
      <c r="H35" s="7"/>
      <c r="I35" s="7"/>
      <c r="J35" s="31"/>
    </row>
    <row r="36" spans="1:10" ht="14.7" thickBot="1" x14ac:dyDescent="0.55000000000000004">
      <c r="A36" s="43"/>
      <c r="B36" t="s">
        <v>352</v>
      </c>
      <c r="C36" s="379">
        <v>0.35</v>
      </c>
      <c r="E36" s="7"/>
      <c r="F36" s="7"/>
      <c r="G36" s="7"/>
      <c r="H36" s="7"/>
      <c r="I36" s="7"/>
      <c r="J36" s="27"/>
    </row>
    <row r="37" spans="1:10" ht="14.7" thickBot="1" x14ac:dyDescent="0.55000000000000004">
      <c r="A37" s="43"/>
      <c r="B37" s="195" t="s">
        <v>35</v>
      </c>
      <c r="C37" s="196">
        <f>+'Method #7a'!D23</f>
        <v>0.31850000000000006</v>
      </c>
      <c r="D37" s="381" t="s">
        <v>160</v>
      </c>
      <c r="E37" s="76"/>
      <c r="F37" s="76">
        <f>+F23</f>
        <v>361995.755</v>
      </c>
      <c r="G37" s="76">
        <f>+G23</f>
        <v>359239.71020000021</v>
      </c>
      <c r="H37" s="76">
        <f>+H23</f>
        <v>355641.30943200004</v>
      </c>
      <c r="I37" s="76">
        <f>+I23</f>
        <v>335859.50863711978</v>
      </c>
      <c r="J37" s="197">
        <f>+J23+J34</f>
        <v>2894156.7867170228</v>
      </c>
    </row>
    <row r="38" spans="1:10" ht="14.7" thickTop="1" x14ac:dyDescent="0.5">
      <c r="A38" s="43"/>
      <c r="B38">
        <f>+F5</f>
        <v>1</v>
      </c>
      <c r="C38" s="148" t="s">
        <v>161</v>
      </c>
      <c r="D38" s="198">
        <f>1/((1+$C$36)^B38)</f>
        <v>0.7407407407407407</v>
      </c>
      <c r="E38" s="199">
        <f>+D38*F37</f>
        <v>268145.0037037037</v>
      </c>
      <c r="F38" s="131"/>
    </row>
    <row r="39" spans="1:10" x14ac:dyDescent="0.5">
      <c r="A39" s="43"/>
      <c r="B39">
        <v>2</v>
      </c>
      <c r="C39" s="148" t="s">
        <v>162</v>
      </c>
      <c r="D39" s="198">
        <f t="shared" ref="D39:D42" si="13">1/((1+$C$36)^B39)</f>
        <v>0.5486968449931412</v>
      </c>
      <c r="E39" s="199">
        <f>+D39*G37</f>
        <v>197113.69558299048</v>
      </c>
    </row>
    <row r="40" spans="1:10" x14ac:dyDescent="0.5">
      <c r="A40" s="43"/>
      <c r="B40">
        <v>3</v>
      </c>
      <c r="C40" s="148" t="s">
        <v>163</v>
      </c>
      <c r="D40" s="198">
        <f t="shared" si="13"/>
        <v>0.40644210740232684</v>
      </c>
      <c r="E40" s="199">
        <f>+D40*H37</f>
        <v>144547.60328486512</v>
      </c>
    </row>
    <row r="41" spans="1:10" x14ac:dyDescent="0.5">
      <c r="A41" s="43"/>
      <c r="B41">
        <v>4</v>
      </c>
      <c r="C41" s="148" t="s">
        <v>164</v>
      </c>
      <c r="D41" s="198">
        <f t="shared" si="13"/>
        <v>0.30106822770542724</v>
      </c>
      <c r="E41" s="199">
        <f>+D41*I37</f>
        <v>101116.62702339329</v>
      </c>
    </row>
    <row r="42" spans="1:10" x14ac:dyDescent="0.5">
      <c r="A42" s="43"/>
      <c r="B42">
        <v>5</v>
      </c>
      <c r="C42" s="148" t="s">
        <v>165</v>
      </c>
      <c r="D42" s="198">
        <f t="shared" si="13"/>
        <v>0.22301350200402015</v>
      </c>
      <c r="E42" s="199">
        <f>+D42*J37</f>
        <v>645436.04035446525</v>
      </c>
    </row>
    <row r="43" spans="1:10" ht="14.7" thickBot="1" x14ac:dyDescent="0.55000000000000004">
      <c r="A43" s="43"/>
      <c r="C43" s="148" t="s">
        <v>166</v>
      </c>
      <c r="D43" s="172"/>
      <c r="E43" s="200">
        <f>SUM(E38:E42)</f>
        <v>1356358.9699494177</v>
      </c>
      <c r="F43" s="55"/>
    </row>
    <row r="44" spans="1:10" ht="14.7" thickTop="1" x14ac:dyDescent="0.5">
      <c r="A44" s="43"/>
      <c r="C44" s="148"/>
      <c r="E44" s="206"/>
      <c r="F44" s="55"/>
    </row>
    <row r="45" spans="1:10" x14ac:dyDescent="0.5">
      <c r="A45" s="43"/>
      <c r="C45" s="211" t="s">
        <v>169</v>
      </c>
      <c r="E45" s="212" t="s">
        <v>170</v>
      </c>
      <c r="F45" s="49"/>
    </row>
    <row r="46" spans="1:10" x14ac:dyDescent="0.5">
      <c r="A46" s="43"/>
      <c r="C46" s="216" t="s">
        <v>173</v>
      </c>
      <c r="E46" s="199">
        <f>+E43</f>
        <v>1356358.9699494177</v>
      </c>
    </row>
    <row r="47" spans="1:10" x14ac:dyDescent="0.5">
      <c r="A47" s="43"/>
      <c r="C47" s="218" t="s">
        <v>174</v>
      </c>
      <c r="E47" s="219">
        <f>+'Method #1'!G10</f>
        <v>2030000</v>
      </c>
    </row>
    <row r="48" spans="1:10" ht="14.7" thickBot="1" x14ac:dyDescent="0.55000000000000004">
      <c r="A48" s="43"/>
      <c r="C48" s="218" t="s">
        <v>176</v>
      </c>
      <c r="E48" s="219">
        <f>-'Method #1'!H10</f>
        <v>-47300</v>
      </c>
    </row>
    <row r="49" spans="1:12" ht="12.6" customHeight="1" thickBot="1" x14ac:dyDescent="0.55000000000000004">
      <c r="A49" s="43"/>
      <c r="B49" s="94" t="s">
        <v>351</v>
      </c>
      <c r="C49" s="223"/>
      <c r="D49" s="223"/>
      <c r="E49" s="95">
        <f>+E47+E46+E48</f>
        <v>3339058.9699494177</v>
      </c>
    </row>
    <row r="50" spans="1:12" x14ac:dyDescent="0.5">
      <c r="A50" s="43"/>
    </row>
    <row r="51" spans="1:12" x14ac:dyDescent="0.5">
      <c r="A51" s="43"/>
    </row>
    <row r="52" spans="1:12" x14ac:dyDescent="0.5">
      <c r="A52" s="43"/>
      <c r="C52" s="7"/>
    </row>
    <row r="54" spans="1:12" x14ac:dyDescent="0.5">
      <c r="L54" s="2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INPUT</vt:lpstr>
      <vt:lpstr>Method #1</vt:lpstr>
      <vt:lpstr>Method #2</vt:lpstr>
      <vt:lpstr>Method #3</vt:lpstr>
      <vt:lpstr>Method #4</vt:lpstr>
      <vt:lpstr>Method #5</vt:lpstr>
      <vt:lpstr>Method #6</vt:lpstr>
      <vt:lpstr>Method #7a</vt:lpstr>
      <vt:lpstr>Method#7b</vt:lpstr>
      <vt:lpstr>Summary Val</vt:lpstr>
      <vt:lpstr>Fig. 18.10</vt:lpstr>
      <vt:lpstr>Private</vt:lpstr>
      <vt:lpstr>Fig. 18.12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2018-12-17T18:06:41Z</dcterms:modified>
</cp:coreProperties>
</file>