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'Sheet1'!$A$1:$U$76</definedName>
  </definedNames>
  <calcPr fullCalcOnLoad="1"/>
</workbook>
</file>

<file path=xl/sharedStrings.xml><?xml version="1.0" encoding="utf-8"?>
<sst xmlns="http://schemas.openxmlformats.org/spreadsheetml/2006/main" count="141" uniqueCount="120">
  <si>
    <t>Sources:</t>
  </si>
  <si>
    <t>% Capital</t>
  </si>
  <si>
    <t>Expected Return</t>
  </si>
  <si>
    <t>EBITDA Multiple</t>
  </si>
  <si>
    <t>Bank Loan</t>
  </si>
  <si>
    <t>Equity</t>
  </si>
  <si>
    <t xml:space="preserve">  Total Sources</t>
  </si>
  <si>
    <t>Uses:</t>
  </si>
  <si>
    <t>Decile</t>
  </si>
  <si>
    <t>Mkt Cap $MM</t>
  </si>
  <si>
    <t>Risk Prem.</t>
  </si>
  <si>
    <t>Cost of Equity</t>
  </si>
  <si>
    <t>Exit Year</t>
  </si>
  <si>
    <t>Bank Loan Information</t>
  </si>
  <si>
    <t>Amount Outstanding</t>
  </si>
  <si>
    <t xml:space="preserve">  Total Financing Payment</t>
  </si>
  <si>
    <t>Corporate Bond Information</t>
  </si>
  <si>
    <t>Total Financing</t>
  </si>
  <si>
    <t>Total Debt Outstanding</t>
  </si>
  <si>
    <t>Year 1</t>
  </si>
  <si>
    <t>Year 2</t>
  </si>
  <si>
    <t>Year 3</t>
  </si>
  <si>
    <t>Year 4</t>
  </si>
  <si>
    <t>Year 5</t>
  </si>
  <si>
    <t>EBIT</t>
  </si>
  <si>
    <t>Entry Year</t>
  </si>
  <si>
    <t>Revenues</t>
  </si>
  <si>
    <t>Operating Costs</t>
  </si>
  <si>
    <t>Equity Cash Flows</t>
  </si>
  <si>
    <t>Terminal Value</t>
  </si>
  <si>
    <t>Debt Outstanding</t>
  </si>
  <si>
    <t>Equity Value (TV - Debt)</t>
  </si>
  <si>
    <t>x</t>
  </si>
  <si>
    <t>Initial Investment</t>
  </si>
  <si>
    <t>NPV=</t>
  </si>
  <si>
    <t>IRR=</t>
  </si>
  <si>
    <t>Transaction Fees &amp; Expenses</t>
  </si>
  <si>
    <t>7 years</t>
  </si>
  <si>
    <t>10 Years</t>
  </si>
  <si>
    <t>Company Projections</t>
  </si>
  <si>
    <t>1st Year's
EBITDA
Multiple</t>
  </si>
  <si>
    <t>Debt
 Capacity (EBITDA x)</t>
  </si>
  <si>
    <t xml:space="preserve">  Total Debt</t>
  </si>
  <si>
    <t>Terms</t>
  </si>
  <si>
    <t>TRANSACTION SOURCES &amp; USES</t>
  </si>
  <si>
    <t xml:space="preserve">  Less Taxes (adj out Interest Exp)</t>
  </si>
  <si>
    <t xml:space="preserve">  Less Working Capital</t>
  </si>
  <si>
    <t xml:space="preserve">  Less Capex</t>
  </si>
  <si>
    <t xml:space="preserve">  Perpetuity Method  (using WACC + growth)</t>
  </si>
  <si>
    <t>Average Terminal Value</t>
  </si>
  <si>
    <t>Growth</t>
  </si>
  <si>
    <t>3M-LIBOR
 Assumptions</t>
  </si>
  <si>
    <t>Debt IRR</t>
  </si>
  <si>
    <t>Initial All -In</t>
  </si>
  <si>
    <t>Loan
 Spread</t>
  </si>
  <si>
    <t xml:space="preserve"> % of 
Total
 Uses</t>
  </si>
  <si>
    <t>$ 1 PV Table (Expected Equity Rate)</t>
  </si>
  <si>
    <t>PV Table (Expected Equity Rate)</t>
  </si>
  <si>
    <t>DEBT ASSUMPTIONS &amp; RETURN ANALYSIS</t>
  </si>
  <si>
    <t xml:space="preserve">  LIBOR RATE </t>
  </si>
  <si>
    <t>COST OF BANK DEBT CALCULATION
(Floaring Rate)</t>
  </si>
  <si>
    <t>Amount Outstanding (End of Year)</t>
  </si>
  <si>
    <t>Interest Payment (Calc based on last Year's Outs)</t>
  </si>
  <si>
    <t>Schedule Principal Payments</t>
  </si>
  <si>
    <t>COST OF DEBT AND EQUITY CALCULATIONS</t>
  </si>
  <si>
    <t>CASH FLOW  &amp; EQUITY RETURN ANALYSIS</t>
  </si>
  <si>
    <t>Less Amortization of Fees</t>
  </si>
  <si>
    <t>WACD =</t>
  </si>
  <si>
    <t>Equity Premium [ Pe ]</t>
  </si>
  <si>
    <t>Firm Specific Risk Premium [e]</t>
  </si>
  <si>
    <t>Equity Risk Premiums (1926-2006)
(CAPM Model)</t>
  </si>
  <si>
    <t>Mezzanine Note</t>
  </si>
  <si>
    <t>COST OF MEZZANINE NOTE CALCULATION</t>
  </si>
  <si>
    <t xml:space="preserve">  EBITDA Multiple Method (initial purchase multiple)</t>
  </si>
  <si>
    <t xml:space="preserve">   LIBOR Rate Increase Assumptions</t>
  </si>
  <si>
    <t>EBT</t>
  </si>
  <si>
    <t>Cash Flow Before Financing (CFBF)</t>
  </si>
  <si>
    <t>Expected Return 
(After Tax)</t>
  </si>
  <si>
    <t>WACC
 (After Tax)</t>
  </si>
  <si>
    <t>Tax Rate=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</si>
  <si>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</si>
  <si>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 xml:space="preserve">  Interest Rate</t>
  </si>
  <si>
    <t>Starwood Hotel &amp; Resort ('HOT")</t>
  </si>
  <si>
    <t xml:space="preserve"> Sock Purchase</t>
  </si>
  <si>
    <t>Amount
($ 000's)</t>
  </si>
  <si>
    <t xml:space="preserve">  Plus Depreciation</t>
  </si>
  <si>
    <t xml:space="preserve">  Plus Amortization</t>
  </si>
  <si>
    <t>EBITDA</t>
  </si>
  <si>
    <t>Cost of Revenues (Incl. Depreciation)</t>
  </si>
  <si>
    <t xml:space="preserve">  Plus Interest</t>
  </si>
  <si>
    <t xml:space="preserve"> Enteprise Value</t>
  </si>
  <si>
    <t xml:space="preserve">      Total Uses</t>
  </si>
  <si>
    <t>Current 
Stock
Price</t>
  </si>
  <si>
    <t>Stock 
Price 
Bid</t>
  </si>
  <si>
    <t>Shares
Outstanding
(mm)</t>
  </si>
  <si>
    <t>Premium=</t>
  </si>
  <si>
    <t xml:space="preserve">Company Beta </t>
  </si>
  <si>
    <t xml:space="preserve"> EBITA</t>
  </si>
  <si>
    <t xml:space="preserve"> Refinance Net Debt (Debt net of Cash)</t>
  </si>
  <si>
    <t>6-year Treasury Note [ rf ] (Intepol.)</t>
  </si>
  <si>
    <t xml:space="preserve">http://www.treasury.gov/resource-center/data-chart-center/interest-rates/Pages/TextView.aspx?data=yield </t>
  </si>
  <si>
    <t>Risk Free Rate</t>
  </si>
  <si>
    <t>LINKS</t>
  </si>
  <si>
    <t xml:space="preserve">http://www.bankrate.com/rates/interest-rates/libor.aspx?ec_id=m1118120&amp;s_kwcid=AL!1325!3!41196777488!e!!g!!libor%20rate&amp;ef_id=Ux9NKQAAAcXzBiC8:20150227133807:s </t>
  </si>
  <si>
    <t>LIBOR Info</t>
  </si>
  <si>
    <t>Company Info</t>
  </si>
  <si>
    <t>http://finance.yahoo.com/</t>
  </si>
  <si>
    <t>CREDIT ANALYSIS</t>
  </si>
  <si>
    <t>Bank Debt Outstanding</t>
  </si>
  <si>
    <t>Total Interest Expense</t>
  </si>
  <si>
    <t>Bank Debt / EBITDA (Senior Leverage)</t>
  </si>
  <si>
    <t>Total Debt / EBITDA (Total Leverage)</t>
  </si>
  <si>
    <t>EBITDA / Interest (Coverage)</t>
  </si>
  <si>
    <t>Fixed Charge Ratio (CFBF / Financing Obligations)</t>
  </si>
  <si>
    <t>Less Financing obligations ( P + I )</t>
  </si>
  <si>
    <t xml:space="preserve">  Less Interest</t>
  </si>
  <si>
    <t>Historical</t>
  </si>
  <si>
    <t>Projected</t>
  </si>
  <si>
    <t>Assumpt.</t>
  </si>
  <si>
    <t>Public to Private LBO Equity &amp; Debt Analysis using CAPM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</si>
</sst>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6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3" fontId="0" fillId="0" borderId="0" xfId="60" applyNumberFormat="1" applyFont="1" applyBorder="1" applyAlignment="1">
      <alignment/>
    </xf>
    <xf numFmtId="10" fontId="0" fillId="0" borderId="0" xfId="0" applyNumberFormat="1" applyBorder="1" applyAlignment="1">
      <alignment/>
    </xf>
    <xf numFmtId="173" fontId="0" fillId="0" borderId="10" xfId="60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3" fontId="0" fillId="0" borderId="11" xfId="6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8" fontId="1" fillId="0" borderId="17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8" fontId="1" fillId="0" borderId="10" xfId="42" applyNumberFormat="1" applyFont="1" applyBorder="1" applyAlignment="1">
      <alignment horizontal="center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4" xfId="42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0" fontId="1" fillId="0" borderId="14" xfId="6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10" fontId="1" fillId="0" borderId="14" xfId="0" applyNumberFormat="1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172" fontId="12" fillId="34" borderId="20" xfId="42" applyNumberFormat="1" applyFont="1" applyFill="1" applyBorder="1" applyAlignment="1">
      <alignment/>
    </xf>
    <xf numFmtId="173" fontId="1" fillId="33" borderId="19" xfId="60" applyNumberFormat="1" applyFont="1" applyFill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7" xfId="42" applyNumberFormat="1" applyFont="1" applyBorder="1" applyAlignment="1">
      <alignment/>
    </xf>
    <xf numFmtId="10" fontId="1" fillId="33" borderId="19" xfId="0" applyNumberFormat="1" applyFont="1" applyFill="1" applyBorder="1" applyAlignment="1">
      <alignment/>
    </xf>
    <xf numFmtId="10" fontId="1" fillId="33" borderId="20" xfId="6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75" fontId="1" fillId="33" borderId="24" xfId="0" applyNumberFormat="1" applyFont="1" applyFill="1" applyBorder="1" applyAlignment="1">
      <alignment horizontal="center"/>
    </xf>
    <xf numFmtId="10" fontId="14" fillId="0" borderId="19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6" fontId="6" fillId="35" borderId="25" xfId="57" applyFont="1" applyFill="1" applyBorder="1" applyAlignment="1">
      <alignment horizontal="center"/>
      <protection/>
    </xf>
    <xf numFmtId="176" fontId="6" fillId="35" borderId="10" xfId="57" applyFont="1" applyFill="1" applyBorder="1" applyAlignment="1">
      <alignment horizontal="center"/>
      <protection/>
    </xf>
    <xf numFmtId="173" fontId="6" fillId="35" borderId="26" xfId="57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/>
    </xf>
    <xf numFmtId="0" fontId="1" fillId="35" borderId="13" xfId="0" applyFont="1" applyFill="1" applyBorder="1" applyAlignment="1" quotePrefix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10" fontId="15" fillId="0" borderId="14" xfId="60" applyNumberFormat="1" applyFont="1" applyBorder="1" applyAlignment="1">
      <alignment/>
    </xf>
    <xf numFmtId="10" fontId="15" fillId="0" borderId="0" xfId="60" applyNumberFormat="1" applyFont="1" applyBorder="1" applyAlignment="1">
      <alignment/>
    </xf>
    <xf numFmtId="0" fontId="4" fillId="35" borderId="1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/>
    </xf>
    <xf numFmtId="172" fontId="0" fillId="0" borderId="2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7" xfId="0" applyNumberFormat="1" applyBorder="1" applyAlignment="1">
      <alignment/>
    </xf>
    <xf numFmtId="10" fontId="1" fillId="33" borderId="18" xfId="0" applyNumberFormat="1" applyFont="1" applyFill="1" applyBorder="1" applyAlignment="1">
      <alignment horizontal="center"/>
    </xf>
    <xf numFmtId="10" fontId="1" fillId="0" borderId="0" xfId="6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74" fontId="1" fillId="35" borderId="31" xfId="60" applyNumberFormat="1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right" vertical="center"/>
    </xf>
    <xf numFmtId="178" fontId="15" fillId="0" borderId="32" xfId="42" applyNumberFormat="1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6" fontId="0" fillId="0" borderId="33" xfId="57" applyFont="1" applyBorder="1" applyAlignment="1">
      <alignment horizontal="center"/>
      <protection/>
    </xf>
    <xf numFmtId="172" fontId="0" fillId="0" borderId="32" xfId="42" applyNumberFormat="1" applyFont="1" applyBorder="1" applyAlignment="1">
      <alignment/>
    </xf>
    <xf numFmtId="10" fontId="0" fillId="0" borderId="34" xfId="60" applyNumberFormat="1" applyFont="1" applyBorder="1" applyAlignment="1">
      <alignment/>
    </xf>
    <xf numFmtId="176" fontId="0" fillId="0" borderId="12" xfId="57" applyFont="1" applyBorder="1" applyAlignment="1">
      <alignment horizontal="center"/>
      <protection/>
    </xf>
    <xf numFmtId="172" fontId="0" fillId="0" borderId="0" xfId="42" applyNumberFormat="1" applyFont="1" applyBorder="1" applyAlignment="1">
      <alignment/>
    </xf>
    <xf numFmtId="10" fontId="0" fillId="0" borderId="35" xfId="60" applyNumberFormat="1" applyFont="1" applyBorder="1" applyAlignment="1">
      <alignment/>
    </xf>
    <xf numFmtId="176" fontId="1" fillId="33" borderId="22" xfId="57" applyFont="1" applyFill="1" applyBorder="1" applyAlignment="1">
      <alignment horizontal="center"/>
      <protection/>
    </xf>
    <xf numFmtId="172" fontId="1" fillId="33" borderId="13" xfId="42" applyNumberFormat="1" applyFont="1" applyFill="1" applyBorder="1" applyAlignment="1">
      <alignment/>
    </xf>
    <xf numFmtId="10" fontId="1" fillId="33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 horizontal="right"/>
    </xf>
    <xf numFmtId="10" fontId="0" fillId="0" borderId="10" xfId="6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0" fillId="0" borderId="0" xfId="60" applyNumberFormat="1" applyFont="1" applyBorder="1" applyAlignment="1">
      <alignment horizontal="right"/>
    </xf>
    <xf numFmtId="172" fontId="1" fillId="33" borderId="14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22" xfId="0" applyNumberFormat="1" applyFont="1" applyBorder="1" applyAlignment="1">
      <alignment horizontal="center"/>
    </xf>
    <xf numFmtId="10" fontId="1" fillId="35" borderId="15" xfId="60" applyNumberFormat="1" applyFont="1" applyFill="1" applyBorder="1" applyAlignment="1">
      <alignment horizontal="right"/>
    </xf>
    <xf numFmtId="174" fontId="0" fillId="0" borderId="10" xfId="0" applyNumberFormat="1" applyFont="1" applyBorder="1" applyAlignment="1">
      <alignment/>
    </xf>
    <xf numFmtId="10" fontId="1" fillId="0" borderId="19" xfId="0" applyNumberFormat="1" applyFont="1" applyFill="1" applyBorder="1" applyAlignment="1">
      <alignment/>
    </xf>
    <xf numFmtId="173" fontId="1" fillId="35" borderId="31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right"/>
    </xf>
    <xf numFmtId="172" fontId="0" fillId="0" borderId="14" xfId="42" applyNumberFormat="1" applyFont="1" applyBorder="1" applyAlignment="1" quotePrefix="1">
      <alignment/>
    </xf>
    <xf numFmtId="172" fontId="0" fillId="0" borderId="0" xfId="0" applyNumberFormat="1" applyFont="1" applyAlignment="1">
      <alignment/>
    </xf>
    <xf numFmtId="172" fontId="0" fillId="0" borderId="36" xfId="42" applyNumberFormat="1" applyFont="1" applyBorder="1" applyAlignment="1">
      <alignment/>
    </xf>
    <xf numFmtId="0" fontId="0" fillId="0" borderId="37" xfId="0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9" xfId="0" applyNumberFormat="1" applyFont="1" applyFill="1" applyBorder="1" applyAlignment="1">
      <alignment/>
    </xf>
    <xf numFmtId="175" fontId="14" fillId="0" borderId="18" xfId="42" applyNumberFormat="1" applyFont="1" applyBorder="1" applyAlignment="1">
      <alignment horizontal="center" vertical="center"/>
    </xf>
    <xf numFmtId="173" fontId="14" fillId="0" borderId="0" xfId="60" applyNumberFormat="1" applyFont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5" fontId="14" fillId="0" borderId="0" xfId="42" applyNumberFormat="1" applyFont="1" applyBorder="1" applyAlignment="1">
      <alignment horizontal="center" vertical="center"/>
    </xf>
    <xf numFmtId="44" fontId="14" fillId="0" borderId="19" xfId="44" applyFont="1" applyBorder="1" applyAlignment="1">
      <alignment horizontal="center" vertical="center"/>
    </xf>
    <xf numFmtId="172" fontId="0" fillId="0" borderId="10" xfId="42" applyNumberFormat="1" applyFont="1" applyBorder="1" applyAlignment="1">
      <alignment/>
    </xf>
    <xf numFmtId="173" fontId="1" fillId="33" borderId="31" xfId="60" applyNumberFormat="1" applyFont="1" applyFill="1" applyBorder="1" applyAlignment="1">
      <alignment horizontal="left"/>
    </xf>
    <xf numFmtId="173" fontId="1" fillId="33" borderId="21" xfId="60" applyNumberFormat="1" applyFont="1" applyFill="1" applyBorder="1" applyAlignment="1">
      <alignment horizontal="right"/>
    </xf>
    <xf numFmtId="175" fontId="14" fillId="33" borderId="19" xfId="42" applyNumberFormat="1" applyFont="1" applyFill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173" fontId="0" fillId="0" borderId="10" xfId="60" applyNumberFormat="1" applyFont="1" applyBorder="1" applyAlignment="1">
      <alignment horizontal="right"/>
    </xf>
    <xf numFmtId="43" fontId="1" fillId="33" borderId="19" xfId="42" applyFont="1" applyFill="1" applyBorder="1" applyAlignment="1">
      <alignment/>
    </xf>
    <xf numFmtId="175" fontId="14" fillId="0" borderId="40" xfId="42" applyNumberFormat="1" applyFont="1" applyBorder="1" applyAlignment="1">
      <alignment horizontal="center"/>
    </xf>
    <xf numFmtId="175" fontId="1" fillId="0" borderId="0" xfId="42" applyNumberFormat="1" applyFont="1" applyBorder="1" applyAlignment="1">
      <alignment horizontal="center" vertical="center"/>
    </xf>
    <xf numFmtId="175" fontId="14" fillId="0" borderId="27" xfId="42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 shrinkToFit="1"/>
    </xf>
    <xf numFmtId="173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0" fontId="1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44" fontId="1" fillId="0" borderId="19" xfId="44" applyNumberFormat="1" applyFont="1" applyBorder="1" applyAlignment="1">
      <alignment horizontal="center" vertical="center"/>
    </xf>
    <xf numFmtId="172" fontId="14" fillId="0" borderId="14" xfId="42" applyNumberFormat="1" applyFont="1" applyBorder="1" applyAlignment="1">
      <alignment/>
    </xf>
    <xf numFmtId="172" fontId="14" fillId="0" borderId="14" xfId="42" applyNumberFormat="1" applyFont="1" applyBorder="1" applyAlignment="1" quotePrefix="1">
      <alignment/>
    </xf>
    <xf numFmtId="10" fontId="18" fillId="0" borderId="0" xfId="60" applyNumberFormat="1" applyFont="1" applyBorder="1" applyAlignment="1">
      <alignment/>
    </xf>
    <xf numFmtId="172" fontId="1" fillId="0" borderId="14" xfId="42" applyNumberFormat="1" applyFont="1" applyBorder="1" applyAlignment="1">
      <alignment/>
    </xf>
    <xf numFmtId="172" fontId="1" fillId="0" borderId="14" xfId="42" applyNumberFormat="1" applyFont="1" applyBorder="1" applyAlignment="1" quotePrefix="1">
      <alignment/>
    </xf>
    <xf numFmtId="10" fontId="14" fillId="0" borderId="0" xfId="0" applyNumberFormat="1" applyFont="1" applyAlignment="1">
      <alignment/>
    </xf>
    <xf numFmtId="10" fontId="14" fillId="0" borderId="10" xfId="0" applyNumberFormat="1" applyFont="1" applyBorder="1" applyAlignment="1">
      <alignment/>
    </xf>
    <xf numFmtId="189" fontId="1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6" fontId="1" fillId="33" borderId="21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  <xf numFmtId="172" fontId="0" fillId="0" borderId="0" xfId="42" applyNumberFormat="1" applyFont="1" applyBorder="1" applyAlignment="1">
      <alignment/>
    </xf>
    <xf numFmtId="172" fontId="54" fillId="0" borderId="27" xfId="42" applyNumberFormat="1" applyFont="1" applyBorder="1" applyAlignment="1" quotePrefix="1">
      <alignment/>
    </xf>
    <xf numFmtId="172" fontId="14" fillId="0" borderId="10" xfId="42" applyNumberFormat="1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53" applyAlignment="1" applyProtection="1">
      <alignment/>
      <protection/>
    </xf>
    <xf numFmtId="172" fontId="0" fillId="0" borderId="18" xfId="0" applyNumberFormat="1" applyBorder="1" applyAlignment="1">
      <alignment/>
    </xf>
    <xf numFmtId="177" fontId="0" fillId="0" borderId="0" xfId="0" applyNumberFormat="1" applyAlignment="1">
      <alignment/>
    </xf>
    <xf numFmtId="0" fontId="13" fillId="34" borderId="21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2" fillId="34" borderId="31" xfId="0" applyFont="1" applyFill="1" applyBorder="1" applyAlignment="1">
      <alignment/>
    </xf>
    <xf numFmtId="173" fontId="14" fillId="0" borderId="0" xfId="0" applyNumberFormat="1" applyFont="1" applyAlignment="1">
      <alignment/>
    </xf>
    <xf numFmtId="0" fontId="1" fillId="35" borderId="4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173" fontId="0" fillId="0" borderId="32" xfId="60" applyNumberFormat="1" applyFont="1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0" fillId="0" borderId="44" xfId="0" applyBorder="1" applyAlignment="1">
      <alignment/>
    </xf>
    <xf numFmtId="173" fontId="0" fillId="0" borderId="44" xfId="60" applyNumberFormat="1" applyFont="1" applyBorder="1" applyAlignment="1">
      <alignment/>
    </xf>
    <xf numFmtId="173" fontId="0" fillId="0" borderId="45" xfId="6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10" fontId="0" fillId="0" borderId="44" xfId="60" applyNumberFormat="1" applyFont="1" applyBorder="1" applyAlignment="1">
      <alignment/>
    </xf>
    <xf numFmtId="172" fontId="14" fillId="0" borderId="0" xfId="42" applyNumberFormat="1" applyFont="1" applyAlignment="1">
      <alignment/>
    </xf>
    <xf numFmtId="176" fontId="1" fillId="0" borderId="25" xfId="57" applyFont="1" applyBorder="1" applyAlignment="1">
      <alignment horizontal="center"/>
      <protection/>
    </xf>
    <xf numFmtId="172" fontId="1" fillId="0" borderId="10" xfId="42" applyNumberFormat="1" applyFont="1" applyBorder="1" applyAlignment="1">
      <alignment/>
    </xf>
    <xf numFmtId="10" fontId="1" fillId="0" borderId="26" xfId="6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stens Mgt C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54</xdr:row>
      <xdr:rowOff>0</xdr:rowOff>
    </xdr:from>
    <xdr:to>
      <xdr:col>14</xdr:col>
      <xdr:colOff>466725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1877675" y="10106025"/>
          <a:ext cx="190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66675</xdr:rowOff>
    </xdr:from>
    <xdr:to>
      <xdr:col>14</xdr:col>
      <xdr:colOff>447675</xdr:colOff>
      <xdr:row>61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430000" y="11249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76200</xdr:rowOff>
    </xdr:from>
    <xdr:to>
      <xdr:col>10</xdr:col>
      <xdr:colOff>266700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8524875" y="1724025"/>
          <a:ext cx="257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.gov/resource-center/data-chart-center/interest-rates/Pages/TextView.aspx?data=yield" TargetMode="External" /><Relationship Id="rId2" Type="http://schemas.openxmlformats.org/officeDocument/2006/relationships/hyperlink" Target="http://finance.yahoo.com/" TargetMode="External" /><Relationship Id="rId3" Type="http://schemas.openxmlformats.org/officeDocument/2006/relationships/hyperlink" Target="http://www.bankrate.com/rates/interest-rates/libor.aspx?ec_id=m1118120&amp;s_kwcid=AL!1325!3!41196777488!e!!g!!libor%20rate&amp;ef_id=Ux9NKQAAAcXzBiC8:20150227133807: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00390625" style="0" customWidth="1"/>
    <col min="2" max="2" width="1.1484375" style="0" customWidth="1"/>
    <col min="3" max="3" width="33.7109375" style="0" customWidth="1"/>
    <col min="4" max="4" width="12.57421875" style="0" customWidth="1"/>
    <col min="5" max="5" width="11.57421875" style="0" customWidth="1"/>
    <col min="6" max="6" width="10.421875" style="0" customWidth="1"/>
    <col min="7" max="7" width="13.7109375" style="0" customWidth="1"/>
    <col min="8" max="8" width="13.57421875" style="0" customWidth="1"/>
    <col min="9" max="9" width="13.421875" style="0" customWidth="1"/>
    <col min="10" max="11" width="13.57421875" style="0" customWidth="1"/>
    <col min="12" max="12" width="13.7109375" style="0" customWidth="1"/>
    <col min="13" max="13" width="3.00390625" style="0" customWidth="1"/>
    <col min="14" max="14" width="13.421875" style="0" customWidth="1"/>
    <col min="15" max="15" width="16.421875" style="0" customWidth="1"/>
    <col min="16" max="16" width="12.28125" style="0" customWidth="1"/>
    <col min="17" max="17" width="13.421875" style="0" customWidth="1"/>
    <col min="18" max="19" width="12.28125" style="0" customWidth="1"/>
    <col min="20" max="20" width="12.7109375" style="0" customWidth="1"/>
    <col min="21" max="21" width="14.28125" style="0" customWidth="1"/>
    <col min="22" max="26" width="12.421875" style="0" customWidth="1"/>
  </cols>
  <sheetData>
    <row r="1" spans="3:6" ht="23.25">
      <c r="C1" s="2" t="s">
        <v>82</v>
      </c>
      <c r="D1" s="2"/>
      <c r="E1" s="2"/>
      <c r="F1" s="2"/>
    </row>
    <row r="2" spans="3:11" ht="12.75" customHeight="1" thickBot="1">
      <c r="C2" s="1" t="s">
        <v>119</v>
      </c>
      <c r="D2" s="1"/>
      <c r="E2" s="1"/>
      <c r="F2" s="3"/>
      <c r="G2" s="4"/>
      <c r="H2" s="4"/>
      <c r="I2" s="5"/>
      <c r="J2" s="4"/>
      <c r="K2" s="6"/>
    </row>
    <row r="3" spans="1:19" ht="18" customHeight="1" thickBot="1">
      <c r="A3" s="91">
        <f>ROW()</f>
        <v>3</v>
      </c>
      <c r="B3" s="7"/>
      <c r="C3" s="65" t="s">
        <v>44</v>
      </c>
      <c r="D3" s="65"/>
      <c r="E3" s="65"/>
      <c r="F3" s="65"/>
      <c r="G3" s="66"/>
      <c r="H3" s="66"/>
      <c r="I3" s="66"/>
      <c r="J3" s="66"/>
      <c r="K3" s="66"/>
      <c r="L3" s="66"/>
      <c r="N3" s="194" t="s">
        <v>64</v>
      </c>
      <c r="O3" s="50"/>
      <c r="P3" s="195"/>
      <c r="Q3" s="52"/>
      <c r="R3" s="196"/>
      <c r="S3" s="196"/>
    </row>
    <row r="4" spans="1:19" ht="43.5" customHeight="1" thickBot="1">
      <c r="A4" s="91">
        <f>ROW()</f>
        <v>4</v>
      </c>
      <c r="B4" s="7"/>
      <c r="C4" s="8" t="s">
        <v>0</v>
      </c>
      <c r="D4" s="8"/>
      <c r="E4" s="8"/>
      <c r="F4" s="76" t="s">
        <v>41</v>
      </c>
      <c r="G4" s="79" t="s">
        <v>84</v>
      </c>
      <c r="H4" s="78" t="s">
        <v>1</v>
      </c>
      <c r="I4" s="79" t="s">
        <v>2</v>
      </c>
      <c r="J4" s="79" t="s">
        <v>77</v>
      </c>
      <c r="K4" s="79" t="s">
        <v>78</v>
      </c>
      <c r="L4" s="79" t="s">
        <v>3</v>
      </c>
      <c r="N4" s="179" t="s">
        <v>60</v>
      </c>
      <c r="O4" s="180"/>
      <c r="P4" s="181"/>
      <c r="Q4" s="176" t="s">
        <v>70</v>
      </c>
      <c r="R4" s="177"/>
      <c r="S4" s="178"/>
    </row>
    <row r="5" spans="1:19" ht="32.25" customHeight="1" thickBot="1">
      <c r="A5" s="91">
        <f>ROW()</f>
        <v>5</v>
      </c>
      <c r="B5" s="7"/>
      <c r="C5" s="7" t="s">
        <v>4</v>
      </c>
      <c r="D5" s="7"/>
      <c r="E5" s="7"/>
      <c r="F5" s="150">
        <v>3.5</v>
      </c>
      <c r="G5" s="162">
        <f>+G59*F5</f>
        <v>3640000</v>
      </c>
      <c r="H5" s="10">
        <f>+G5/$G$9</f>
        <v>0.21237864077669902</v>
      </c>
      <c r="I5" s="118">
        <f>+F23</f>
        <v>0.05334375563207572</v>
      </c>
      <c r="J5" s="118">
        <f>+I5*(1-$L$14)</f>
        <v>0.03414000360452846</v>
      </c>
      <c r="K5" s="116">
        <f>+H5*J5</f>
        <v>0.0072506075616413585</v>
      </c>
      <c r="L5" s="103">
        <f>+G5/$G$59</f>
        <v>3.5</v>
      </c>
      <c r="N5" s="76" t="s">
        <v>51</v>
      </c>
      <c r="O5" s="76" t="s">
        <v>54</v>
      </c>
      <c r="P5" s="77" t="s">
        <v>53</v>
      </c>
      <c r="Q5" s="73" t="s">
        <v>8</v>
      </c>
      <c r="R5" s="74" t="s">
        <v>9</v>
      </c>
      <c r="S5" s="75" t="s">
        <v>10</v>
      </c>
    </row>
    <row r="6" spans="1:19" ht="13.5" thickBot="1">
      <c r="A6" s="91">
        <f>ROW()</f>
        <v>6</v>
      </c>
      <c r="B6" s="7"/>
      <c r="C6" s="7" t="s">
        <v>71</v>
      </c>
      <c r="D6" s="7"/>
      <c r="E6" s="7"/>
      <c r="F6" s="152"/>
      <c r="G6" s="42">
        <f>+G7-G5</f>
        <v>2600000</v>
      </c>
      <c r="H6" s="12">
        <f>+G6/$G$9</f>
        <v>0.15169902912621358</v>
      </c>
      <c r="I6" s="128">
        <f>+F32</f>
        <v>0.07000000000000006</v>
      </c>
      <c r="J6" s="128">
        <f>+I6*(1-$L$14)</f>
        <v>0.04480000000000004</v>
      </c>
      <c r="K6" s="117">
        <f>+H6*J6</f>
        <v>0.006796116504854375</v>
      </c>
      <c r="L6" s="104">
        <f>+G6/$G$59</f>
        <v>2.5</v>
      </c>
      <c r="N6" s="68">
        <v>0.0026</v>
      </c>
      <c r="O6" s="69">
        <v>0.035</v>
      </c>
      <c r="P6" s="70">
        <f>+O6+N6</f>
        <v>0.0376</v>
      </c>
      <c r="Q6" s="107">
        <v>1</v>
      </c>
      <c r="R6" s="108">
        <v>52435</v>
      </c>
      <c r="S6" s="109">
        <v>0.0703</v>
      </c>
    </row>
    <row r="7" spans="1:19" ht="13.5" thickBot="1">
      <c r="A7" s="91">
        <f>ROW()</f>
        <v>7</v>
      </c>
      <c r="B7" s="7"/>
      <c r="C7" s="7" t="s">
        <v>42</v>
      </c>
      <c r="D7" s="7"/>
      <c r="E7" s="7"/>
      <c r="F7" s="138">
        <v>6</v>
      </c>
      <c r="G7" s="162">
        <f>+(F7*G59)</f>
        <v>6240000</v>
      </c>
      <c r="H7" s="10">
        <f>SUM(H5:H6)</f>
        <v>0.36407766990291257</v>
      </c>
      <c r="I7" s="72"/>
      <c r="J7" s="72"/>
      <c r="K7" s="116">
        <f>+K6+K5</f>
        <v>0.014046724066495733</v>
      </c>
      <c r="L7" s="105">
        <f>+G7/$G$59</f>
        <v>6</v>
      </c>
      <c r="N7" s="15"/>
      <c r="O7" s="7"/>
      <c r="P7" s="7"/>
      <c r="Q7" s="110"/>
      <c r="R7" s="111"/>
      <c r="S7" s="112"/>
    </row>
    <row r="8" spans="1:19" ht="15" customHeight="1" thickBot="1">
      <c r="A8" s="91">
        <f>ROW()</f>
        <v>8</v>
      </c>
      <c r="B8" s="7"/>
      <c r="C8" s="7" t="s">
        <v>5</v>
      </c>
      <c r="D8" s="7"/>
      <c r="E8" s="7"/>
      <c r="F8" s="151">
        <f>+G8/$G$59</f>
        <v>10.48</v>
      </c>
      <c r="G8" s="42">
        <f>+G16-G7</f>
        <v>10899200</v>
      </c>
      <c r="H8" s="12">
        <f>+G8/$G$9</f>
        <v>0.6359223300970874</v>
      </c>
      <c r="I8" s="61">
        <f>+P16</f>
        <v>0.146225</v>
      </c>
      <c r="J8" s="129">
        <f>+I8</f>
        <v>0.146225</v>
      </c>
      <c r="K8" s="116">
        <f>+H8*J8</f>
        <v>0.0929877427184466</v>
      </c>
      <c r="L8" s="104">
        <f>+G8/$G$59</f>
        <v>10.48</v>
      </c>
      <c r="N8" s="182" t="s">
        <v>72</v>
      </c>
      <c r="O8" s="183"/>
      <c r="P8" s="184"/>
      <c r="Q8" s="209">
        <v>2</v>
      </c>
      <c r="R8" s="210">
        <v>10343.765</v>
      </c>
      <c r="S8" s="211">
        <v>0.0805</v>
      </c>
    </row>
    <row r="9" spans="1:19" ht="13.5" thickBot="1">
      <c r="A9" s="91">
        <f>ROW()</f>
        <v>9</v>
      </c>
      <c r="B9" s="7"/>
      <c r="C9" s="7" t="s">
        <v>6</v>
      </c>
      <c r="D9" s="7"/>
      <c r="E9" s="7"/>
      <c r="F9" s="151">
        <f>+G9/$G$59</f>
        <v>16.48</v>
      </c>
      <c r="G9" s="13">
        <f>+G8+G7</f>
        <v>17139200</v>
      </c>
      <c r="H9" s="14">
        <f>+G9/$G$9</f>
        <v>1</v>
      </c>
      <c r="I9" s="7"/>
      <c r="K9" s="127">
        <f>+K8+K7</f>
        <v>0.10703446678494234</v>
      </c>
      <c r="L9" s="106">
        <f>+G9/$G$59</f>
        <v>16.48</v>
      </c>
      <c r="N9" s="63"/>
      <c r="O9" s="71">
        <v>0.07</v>
      </c>
      <c r="P9" s="64"/>
      <c r="Q9" s="107">
        <v>3</v>
      </c>
      <c r="R9" s="108">
        <v>4143.902</v>
      </c>
      <c r="S9" s="109">
        <v>0.0847</v>
      </c>
    </row>
    <row r="10" spans="1:19" ht="14.25" customHeight="1" thickBot="1" thickTop="1">
      <c r="A10" s="91">
        <f>ROW()</f>
        <v>10</v>
      </c>
      <c r="B10" s="7"/>
      <c r="C10" s="7"/>
      <c r="D10" s="7"/>
      <c r="E10" s="7"/>
      <c r="F10" s="7"/>
      <c r="G10" s="60"/>
      <c r="H10" s="60"/>
      <c r="I10" s="143"/>
      <c r="K10" s="9"/>
      <c r="L10" s="9"/>
      <c r="N10" s="15"/>
      <c r="O10" s="7"/>
      <c r="P10" s="7"/>
      <c r="Q10" s="107">
        <v>4</v>
      </c>
      <c r="R10" s="108">
        <v>2177.448</v>
      </c>
      <c r="S10" s="109">
        <v>0.0875</v>
      </c>
    </row>
    <row r="11" spans="1:19" ht="41.25" customHeight="1" thickBot="1">
      <c r="A11" s="91">
        <f>ROW()</f>
        <v>11</v>
      </c>
      <c r="B11" s="7"/>
      <c r="C11" s="59" t="s">
        <v>7</v>
      </c>
      <c r="D11" s="76" t="s">
        <v>92</v>
      </c>
      <c r="E11" s="76" t="s">
        <v>93</v>
      </c>
      <c r="F11" s="76" t="s">
        <v>40</v>
      </c>
      <c r="G11" s="79" t="s">
        <v>84</v>
      </c>
      <c r="H11" s="80" t="s">
        <v>55</v>
      </c>
      <c r="I11" s="80" t="s">
        <v>94</v>
      </c>
      <c r="K11" s="101" t="s">
        <v>67</v>
      </c>
      <c r="L11" s="100">
        <f>+(G5/G7*J5)+(G6/G7*J6)</f>
        <v>0.03858166876930828</v>
      </c>
      <c r="N11" s="179" t="s">
        <v>80</v>
      </c>
      <c r="O11" s="180"/>
      <c r="P11" s="181"/>
      <c r="Q11" s="107">
        <v>5</v>
      </c>
      <c r="R11" s="108">
        <v>1327.582</v>
      </c>
      <c r="S11" s="109">
        <v>0.0903</v>
      </c>
    </row>
    <row r="12" spans="1:19" ht="13.5" thickBot="1">
      <c r="A12" s="91">
        <f>ROW()</f>
        <v>12</v>
      </c>
      <c r="B12" s="7"/>
      <c r="C12" s="9" t="s">
        <v>83</v>
      </c>
      <c r="D12" s="142">
        <v>80</v>
      </c>
      <c r="E12" s="163">
        <f>+G12/I12/1000</f>
        <v>91.30812438473565</v>
      </c>
      <c r="F12" s="141"/>
      <c r="G12" s="36">
        <f>+G14-G13</f>
        <v>15768000</v>
      </c>
      <c r="H12" s="122">
        <f>+G12/$G$16</f>
        <v>0.9199962658700522</v>
      </c>
      <c r="I12" s="149">
        <v>172.69</v>
      </c>
      <c r="N12" s="189" t="s">
        <v>99</v>
      </c>
      <c r="O12" s="7"/>
      <c r="P12" s="170">
        <f>+(1.49%+1.19%)/2</f>
        <v>0.013399999999999999</v>
      </c>
      <c r="Q12" s="107">
        <v>6</v>
      </c>
      <c r="R12" s="108">
        <v>840</v>
      </c>
      <c r="S12" s="109">
        <v>0.0918</v>
      </c>
    </row>
    <row r="13" spans="1:19" ht="13.5" thickBot="1">
      <c r="A13" s="91">
        <f>ROW()</f>
        <v>13</v>
      </c>
      <c r="B13" s="7"/>
      <c r="C13" s="186" t="s">
        <v>98</v>
      </c>
      <c r="D13" s="9"/>
      <c r="E13" s="9"/>
      <c r="F13" s="9"/>
      <c r="G13" s="188">
        <f>1523000+99000-750000</f>
        <v>872000</v>
      </c>
      <c r="H13" s="148">
        <f>+G13/$G$16</f>
        <v>0.050877520537714715</v>
      </c>
      <c r="N13" s="15" t="s">
        <v>96</v>
      </c>
      <c r="O13" s="7"/>
      <c r="P13" s="171">
        <v>1.65</v>
      </c>
      <c r="Q13" s="107">
        <v>7</v>
      </c>
      <c r="R13" s="108">
        <v>537.693</v>
      </c>
      <c r="S13" s="109">
        <v>0.0958</v>
      </c>
    </row>
    <row r="14" spans="1:19" ht="13.5" thickBot="1">
      <c r="A14" s="91">
        <f>ROW()</f>
        <v>14</v>
      </c>
      <c r="B14" s="7"/>
      <c r="C14" s="9" t="s">
        <v>90</v>
      </c>
      <c r="D14" s="9"/>
      <c r="E14" s="9"/>
      <c r="F14" s="146">
        <v>16</v>
      </c>
      <c r="G14" s="9">
        <f>+F14*G59</f>
        <v>16640000</v>
      </c>
      <c r="H14" s="122">
        <f>+G14/$G$16</f>
        <v>0.970873786407767</v>
      </c>
      <c r="K14" s="131" t="s">
        <v>79</v>
      </c>
      <c r="L14" s="130">
        <f>+F48</f>
        <v>0.36</v>
      </c>
      <c r="N14" s="15" t="s">
        <v>68</v>
      </c>
      <c r="O14" s="7"/>
      <c r="P14" s="11">
        <f>+S8</f>
        <v>0.0805</v>
      </c>
      <c r="Q14" s="107">
        <v>8</v>
      </c>
      <c r="R14" s="108">
        <v>333.442</v>
      </c>
      <c r="S14" s="109">
        <v>0.0991</v>
      </c>
    </row>
    <row r="15" spans="1:19" ht="12.75" customHeight="1" thickBot="1">
      <c r="A15" s="91">
        <f>ROW()</f>
        <v>15</v>
      </c>
      <c r="B15" s="7"/>
      <c r="C15" s="9" t="s">
        <v>36</v>
      </c>
      <c r="D15" s="145" t="s">
        <v>95</v>
      </c>
      <c r="E15" s="144">
        <f>+E12/D12-1</f>
        <v>0.1413515548091957</v>
      </c>
      <c r="F15" s="139">
        <v>0.03</v>
      </c>
      <c r="G15" s="9">
        <f>+F15*G14</f>
        <v>499200</v>
      </c>
      <c r="H15" s="122">
        <f>+G15/$G$16</f>
        <v>0.02912621359223301</v>
      </c>
      <c r="N15" s="15" t="s">
        <v>69</v>
      </c>
      <c r="O15" s="7"/>
      <c r="P15" s="170">
        <v>0</v>
      </c>
      <c r="Q15" s="107">
        <v>9</v>
      </c>
      <c r="R15" s="108">
        <v>192.598</v>
      </c>
      <c r="S15" s="109">
        <v>0.1043</v>
      </c>
    </row>
    <row r="16" spans="1:19" ht="12.75" customHeight="1" thickBot="1">
      <c r="A16" s="91">
        <f>ROW()</f>
        <v>16</v>
      </c>
      <c r="B16" s="7"/>
      <c r="C16" s="140" t="s">
        <v>91</v>
      </c>
      <c r="G16" s="25">
        <f>+G15+G14</f>
        <v>17139200</v>
      </c>
      <c r="H16" s="147">
        <f>+H15+H14</f>
        <v>1</v>
      </c>
      <c r="N16" s="57" t="s">
        <v>11</v>
      </c>
      <c r="O16" s="58"/>
      <c r="P16" s="62">
        <f>+P12+(P13*P14)+P15</f>
        <v>0.146225</v>
      </c>
      <c r="Q16" s="113">
        <v>10</v>
      </c>
      <c r="R16" s="114">
        <v>84.521</v>
      </c>
      <c r="S16" s="115">
        <v>0.1105</v>
      </c>
    </row>
    <row r="17" spans="1:18" ht="12" customHeight="1" thickBot="1" thickTop="1">
      <c r="A17" s="91">
        <f>ROW()</f>
        <v>17</v>
      </c>
      <c r="B17" s="7"/>
      <c r="C17" s="37"/>
      <c r="D17" s="37"/>
      <c r="E17" s="37"/>
      <c r="F17" s="37"/>
      <c r="G17" s="37"/>
      <c r="H17" s="16"/>
      <c r="I17" s="37"/>
      <c r="J17" s="37"/>
      <c r="K17" s="37"/>
      <c r="L17" s="16"/>
      <c r="M17" s="16"/>
      <c r="N17" s="16"/>
      <c r="O17" s="16"/>
      <c r="P17" s="16"/>
      <c r="R17" s="9"/>
    </row>
    <row r="18" spans="1:20" ht="12.75" customHeight="1" thickBot="1">
      <c r="A18" s="91">
        <f>ROW()</f>
        <v>18</v>
      </c>
      <c r="C18" s="49" t="s">
        <v>58</v>
      </c>
      <c r="D18" s="49"/>
      <c r="E18" s="49"/>
      <c r="F18" s="49"/>
      <c r="G18" s="50"/>
      <c r="H18" s="50"/>
      <c r="I18" s="50"/>
      <c r="J18" s="50"/>
      <c r="K18" s="50"/>
      <c r="L18" s="50"/>
      <c r="M18" s="50"/>
      <c r="N18" s="51"/>
      <c r="O18" s="52"/>
      <c r="P18" s="50"/>
      <c r="Q18" s="50"/>
      <c r="R18" s="50"/>
      <c r="S18" s="50"/>
      <c r="T18" s="50"/>
    </row>
    <row r="19" spans="1:20" ht="15.75" customHeight="1" thickBot="1">
      <c r="A19" s="91">
        <f>ROW()</f>
        <v>19</v>
      </c>
      <c r="C19" s="17" t="s">
        <v>13</v>
      </c>
      <c r="D19" s="17"/>
      <c r="E19" s="17"/>
      <c r="F19" s="84" t="s">
        <v>52</v>
      </c>
      <c r="G19" s="85" t="s">
        <v>43</v>
      </c>
      <c r="H19" s="86">
        <f aca="true" t="shared" si="0" ref="H19:N19">+H39</f>
        <v>2015</v>
      </c>
      <c r="I19" s="86">
        <f t="shared" si="0"/>
        <v>2016</v>
      </c>
      <c r="J19" s="86">
        <f t="shared" si="0"/>
        <v>2017</v>
      </c>
      <c r="K19" s="86">
        <f t="shared" si="0"/>
        <v>2018</v>
      </c>
      <c r="L19" s="86">
        <f t="shared" si="0"/>
        <v>2019</v>
      </c>
      <c r="M19" s="86"/>
      <c r="N19" s="85">
        <f t="shared" si="0"/>
        <v>2020</v>
      </c>
      <c r="O19" s="86">
        <f aca="true" t="shared" si="1" ref="O19:T19">+N19+1</f>
        <v>2021</v>
      </c>
      <c r="P19" s="86">
        <f t="shared" si="1"/>
        <v>2022</v>
      </c>
      <c r="Q19" s="86">
        <f t="shared" si="1"/>
        <v>2023</v>
      </c>
      <c r="R19" s="86">
        <f t="shared" si="1"/>
        <v>2024</v>
      </c>
      <c r="S19" s="86">
        <f t="shared" si="1"/>
        <v>2025</v>
      </c>
      <c r="T19" s="86">
        <f t="shared" si="1"/>
        <v>2026</v>
      </c>
    </row>
    <row r="20" spans="1:20" ht="12.75" customHeight="1">
      <c r="A20" s="91">
        <f>ROW()</f>
        <v>20</v>
      </c>
      <c r="C20" t="s">
        <v>61</v>
      </c>
      <c r="G20" s="45">
        <f>+G5</f>
        <v>3640000</v>
      </c>
      <c r="H20" s="19">
        <f aca="true" t="shared" si="2" ref="H20:T20">+G20-H21</f>
        <v>3640000</v>
      </c>
      <c r="I20" s="19">
        <f t="shared" si="2"/>
        <v>3603600</v>
      </c>
      <c r="J20" s="19">
        <f t="shared" si="2"/>
        <v>3567200</v>
      </c>
      <c r="K20" s="19">
        <f t="shared" si="2"/>
        <v>3494400</v>
      </c>
      <c r="L20" s="19">
        <f t="shared" si="2"/>
        <v>3312400</v>
      </c>
      <c r="M20" s="19"/>
      <c r="N20" s="20">
        <f>+L20-N21</f>
        <v>2948400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</row>
    <row r="21" spans="1:20" ht="12.75">
      <c r="A21" s="91">
        <f>ROW()</f>
        <v>21</v>
      </c>
      <c r="C21" t="s">
        <v>63</v>
      </c>
      <c r="G21" s="47" t="s">
        <v>37</v>
      </c>
      <c r="H21" s="43">
        <v>0</v>
      </c>
      <c r="I21" s="208">
        <f>+G20*0.01</f>
        <v>36400</v>
      </c>
      <c r="J21" s="208">
        <f>+G20*0.01</f>
        <v>36400</v>
      </c>
      <c r="K21" s="208">
        <f>+G20*0.02</f>
        <v>72800</v>
      </c>
      <c r="L21" s="208">
        <f>+G20*0.05</f>
        <v>182000</v>
      </c>
      <c r="M21" s="208"/>
      <c r="N21" s="164">
        <f>+G20*0.1</f>
        <v>364000</v>
      </c>
      <c r="O21" s="208">
        <f aca="true" t="shared" si="3" ref="O21:T21">+N20</f>
        <v>2948400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0</v>
      </c>
    </row>
    <row r="22" spans="1:20" ht="12.75">
      <c r="A22" s="91">
        <f>ROW()</f>
        <v>22</v>
      </c>
      <c r="C22" t="s">
        <v>62</v>
      </c>
      <c r="G22" s="46">
        <f>+I5</f>
        <v>0.05334375563207572</v>
      </c>
      <c r="H22" s="19">
        <f>+G20*(H25+$O$6)</f>
        <v>155064.00000000003</v>
      </c>
      <c r="I22" s="19">
        <f>+H20*(I25+$O$6)</f>
        <v>173264</v>
      </c>
      <c r="J22" s="19">
        <f>+I20*(J25+$O$6)</f>
        <v>207567.36000000002</v>
      </c>
      <c r="K22" s="19">
        <f>+J20*(K25+$O$6)</f>
        <v>205470.72000000003</v>
      </c>
      <c r="L22" s="19">
        <f>+K20*(L25+$O$6)</f>
        <v>201277.44000000003</v>
      </c>
      <c r="M22" s="19"/>
      <c r="N22" s="20">
        <f>+L20*(N25+$O$6)</f>
        <v>190794.24000000002</v>
      </c>
      <c r="O22" s="19">
        <f aca="true" t="shared" si="4" ref="O22:T22">+N20*(O25+$O$6)</f>
        <v>169827.84000000003</v>
      </c>
      <c r="P22" s="19">
        <f t="shared" si="4"/>
        <v>0</v>
      </c>
      <c r="Q22" s="19">
        <f t="shared" si="4"/>
        <v>0</v>
      </c>
      <c r="R22" s="19">
        <f t="shared" si="4"/>
        <v>0</v>
      </c>
      <c r="S22" s="19">
        <f t="shared" si="4"/>
        <v>0</v>
      </c>
      <c r="T22" s="19">
        <f t="shared" si="4"/>
        <v>0</v>
      </c>
    </row>
    <row r="23" spans="1:20" ht="13.5" thickBot="1">
      <c r="A23" s="91">
        <f>ROW()</f>
        <v>23</v>
      </c>
      <c r="C23" t="s">
        <v>15</v>
      </c>
      <c r="F23" s="119">
        <f>IRR(G23:Q23)</f>
        <v>0.05334375563207572</v>
      </c>
      <c r="G23" s="24">
        <f>-G20</f>
        <v>-3640000</v>
      </c>
      <c r="H23" s="13">
        <f aca="true" t="shared" si="5" ref="H23:T23">+H21+H22</f>
        <v>155064.00000000003</v>
      </c>
      <c r="I23" s="13">
        <f t="shared" si="5"/>
        <v>209664</v>
      </c>
      <c r="J23" s="13">
        <f t="shared" si="5"/>
        <v>243967.36000000002</v>
      </c>
      <c r="K23" s="13">
        <f t="shared" si="5"/>
        <v>278270.72000000003</v>
      </c>
      <c r="L23" s="13">
        <f t="shared" si="5"/>
        <v>383277.44000000006</v>
      </c>
      <c r="M23" s="13"/>
      <c r="N23" s="21">
        <f t="shared" si="5"/>
        <v>554794.24</v>
      </c>
      <c r="O23" s="13">
        <f t="shared" si="5"/>
        <v>3118227.84</v>
      </c>
      <c r="P23" s="13">
        <f t="shared" si="5"/>
        <v>0</v>
      </c>
      <c r="Q23" s="13">
        <f t="shared" si="5"/>
        <v>0</v>
      </c>
      <c r="R23" s="13">
        <f t="shared" si="5"/>
        <v>0</v>
      </c>
      <c r="S23" s="13">
        <f t="shared" si="5"/>
        <v>0</v>
      </c>
      <c r="T23" s="13">
        <f t="shared" si="5"/>
        <v>0</v>
      </c>
    </row>
    <row r="24" spans="1:20" ht="13.5" thickTop="1">
      <c r="A24" s="91">
        <f>ROW()</f>
        <v>24</v>
      </c>
      <c r="C24" t="s">
        <v>81</v>
      </c>
      <c r="F24" s="119"/>
      <c r="G24" s="23"/>
      <c r="H24" s="83">
        <f>+$O$6+H25</f>
        <v>0.042600000000000006</v>
      </c>
      <c r="I24" s="83">
        <f>+$O$6+I25</f>
        <v>0.0476</v>
      </c>
      <c r="J24" s="83">
        <f>+$O$6+J25</f>
        <v>0.057600000000000005</v>
      </c>
      <c r="K24" s="83">
        <f>+$O$6+K25</f>
        <v>0.057600000000000005</v>
      </c>
      <c r="L24" s="83">
        <f>+$O$6+L25</f>
        <v>0.057600000000000005</v>
      </c>
      <c r="M24" s="9"/>
      <c r="N24" s="82">
        <f aca="true" t="shared" si="6" ref="N24:T24">+$O$6+N25</f>
        <v>0.057600000000000005</v>
      </c>
      <c r="O24" s="83">
        <f t="shared" si="6"/>
        <v>0.057600000000000005</v>
      </c>
      <c r="P24" s="83">
        <f t="shared" si="6"/>
        <v>0.057600000000000005</v>
      </c>
      <c r="Q24" s="83">
        <f t="shared" si="6"/>
        <v>0.057600000000000005</v>
      </c>
      <c r="R24" s="83">
        <f t="shared" si="6"/>
        <v>0.057600000000000005</v>
      </c>
      <c r="S24" s="83">
        <f t="shared" si="6"/>
        <v>0.057600000000000005</v>
      </c>
      <c r="T24" s="83">
        <f t="shared" si="6"/>
        <v>0.057600000000000005</v>
      </c>
    </row>
    <row r="25" spans="1:20" ht="12.75">
      <c r="A25" s="91">
        <f>ROW()</f>
        <v>25</v>
      </c>
      <c r="C25" s="17" t="s">
        <v>59</v>
      </c>
      <c r="D25" s="17"/>
      <c r="E25" s="17"/>
      <c r="F25" s="120"/>
      <c r="G25" s="82">
        <f>+N6</f>
        <v>0.0026</v>
      </c>
      <c r="H25" s="83">
        <f aca="true" t="shared" si="7" ref="H25:S25">+G25+H26</f>
        <v>0.0076</v>
      </c>
      <c r="I25" s="83">
        <f t="shared" si="7"/>
        <v>0.0126</v>
      </c>
      <c r="J25" s="83">
        <f t="shared" si="7"/>
        <v>0.022600000000000002</v>
      </c>
      <c r="K25" s="83">
        <f t="shared" si="7"/>
        <v>0.022600000000000002</v>
      </c>
      <c r="L25" s="83">
        <f t="shared" si="7"/>
        <v>0.022600000000000002</v>
      </c>
      <c r="M25" s="83"/>
      <c r="N25" s="82">
        <f>+L25+N26</f>
        <v>0.022600000000000002</v>
      </c>
      <c r="O25" s="83">
        <f t="shared" si="7"/>
        <v>0.022600000000000002</v>
      </c>
      <c r="P25" s="83">
        <f t="shared" si="7"/>
        <v>0.022600000000000002</v>
      </c>
      <c r="Q25" s="83">
        <f t="shared" si="7"/>
        <v>0.022600000000000002</v>
      </c>
      <c r="R25" s="83">
        <f t="shared" si="7"/>
        <v>0.022600000000000002</v>
      </c>
      <c r="S25" s="83">
        <f t="shared" si="7"/>
        <v>0.022600000000000002</v>
      </c>
      <c r="T25" s="83">
        <f>+S25+T26</f>
        <v>0.022600000000000002</v>
      </c>
    </row>
    <row r="26" spans="1:20" ht="12.75">
      <c r="A26" s="91">
        <f>ROW()</f>
        <v>26</v>
      </c>
      <c r="C26" s="81" t="s">
        <v>74</v>
      </c>
      <c r="D26" s="81"/>
      <c r="E26" s="81"/>
      <c r="F26" s="120"/>
      <c r="G26" s="82"/>
      <c r="H26" s="166">
        <v>0.005</v>
      </c>
      <c r="I26" s="166">
        <v>0.005</v>
      </c>
      <c r="J26" s="166">
        <v>0.01</v>
      </c>
      <c r="K26" s="166">
        <v>0</v>
      </c>
      <c r="L26" s="83">
        <v>0</v>
      </c>
      <c r="M26" s="83"/>
      <c r="N26" s="82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</row>
    <row r="27" spans="1:14" ht="8.25" customHeight="1">
      <c r="A27" s="91">
        <f>ROW()</f>
        <v>27</v>
      </c>
      <c r="F27" s="119"/>
      <c r="G27" s="22"/>
      <c r="N27" s="22"/>
    </row>
    <row r="28" spans="1:14" ht="12.75">
      <c r="A28" s="91">
        <f>ROW()</f>
        <v>28</v>
      </c>
      <c r="C28" s="17" t="s">
        <v>16</v>
      </c>
      <c r="D28" s="17"/>
      <c r="E28" s="17"/>
      <c r="F28" s="121"/>
      <c r="G28" s="22"/>
      <c r="N28" s="22"/>
    </row>
    <row r="29" spans="1:20" ht="12.75">
      <c r="A29" s="91">
        <f>ROW()</f>
        <v>29</v>
      </c>
      <c r="C29" t="s">
        <v>14</v>
      </c>
      <c r="F29" s="119"/>
      <c r="G29" s="45">
        <f>+G6</f>
        <v>2600000</v>
      </c>
      <c r="H29" s="19">
        <f aca="true" t="shared" si="8" ref="H29:R29">+G29-H30</f>
        <v>2600000</v>
      </c>
      <c r="I29" s="19">
        <f t="shared" si="8"/>
        <v>2600000</v>
      </c>
      <c r="J29" s="19">
        <f t="shared" si="8"/>
        <v>2600000</v>
      </c>
      <c r="K29" s="19">
        <f t="shared" si="8"/>
        <v>2600000</v>
      </c>
      <c r="L29" s="19">
        <f t="shared" si="8"/>
        <v>2600000</v>
      </c>
      <c r="M29" s="19"/>
      <c r="N29" s="20">
        <f>+L29-N30</f>
        <v>2600000</v>
      </c>
      <c r="O29" s="19">
        <f t="shared" si="8"/>
        <v>2600000</v>
      </c>
      <c r="P29" s="19">
        <f t="shared" si="8"/>
        <v>2600000</v>
      </c>
      <c r="Q29" s="19">
        <f t="shared" si="8"/>
        <v>2600000</v>
      </c>
      <c r="R29" s="19">
        <f t="shared" si="8"/>
        <v>0</v>
      </c>
      <c r="S29" s="19"/>
      <c r="T29" s="19"/>
    </row>
    <row r="30" spans="1:20" ht="12.75">
      <c r="A30" s="91">
        <f>ROW()</f>
        <v>30</v>
      </c>
      <c r="C30" t="s">
        <v>63</v>
      </c>
      <c r="F30" s="119"/>
      <c r="G30" s="47" t="s">
        <v>38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/>
      <c r="N30" s="44">
        <v>0</v>
      </c>
      <c r="O30" s="43">
        <v>0</v>
      </c>
      <c r="P30" s="43">
        <v>0</v>
      </c>
      <c r="Q30" s="43">
        <v>0</v>
      </c>
      <c r="R30" s="43">
        <f>+Q29</f>
        <v>2600000</v>
      </c>
      <c r="S30" s="43"/>
      <c r="T30" s="43"/>
    </row>
    <row r="31" spans="1:20" ht="12.75">
      <c r="A31" s="91">
        <f>ROW()</f>
        <v>31</v>
      </c>
      <c r="C31" t="s">
        <v>62</v>
      </c>
      <c r="F31" s="119"/>
      <c r="G31" s="48">
        <f>+O9</f>
        <v>0.07</v>
      </c>
      <c r="H31" s="19">
        <f aca="true" t="shared" si="9" ref="H31:T31">+G29*$G$31</f>
        <v>182000.00000000003</v>
      </c>
      <c r="I31" s="19">
        <f t="shared" si="9"/>
        <v>182000.00000000003</v>
      </c>
      <c r="J31" s="19">
        <f t="shared" si="9"/>
        <v>182000.00000000003</v>
      </c>
      <c r="K31" s="19">
        <f t="shared" si="9"/>
        <v>182000.00000000003</v>
      </c>
      <c r="L31" s="19">
        <f>+K29*$G$31</f>
        <v>182000.00000000003</v>
      </c>
      <c r="M31" s="19"/>
      <c r="N31" s="20">
        <f>+L29*$G$31</f>
        <v>182000.00000000003</v>
      </c>
      <c r="O31" s="19">
        <f t="shared" si="9"/>
        <v>182000.00000000003</v>
      </c>
      <c r="P31" s="19">
        <f t="shared" si="9"/>
        <v>182000.00000000003</v>
      </c>
      <c r="Q31" s="19">
        <f t="shared" si="9"/>
        <v>182000.00000000003</v>
      </c>
      <c r="R31" s="19">
        <f t="shared" si="9"/>
        <v>182000.00000000003</v>
      </c>
      <c r="S31" s="19">
        <f t="shared" si="9"/>
        <v>0</v>
      </c>
      <c r="T31" s="19">
        <f t="shared" si="9"/>
        <v>0</v>
      </c>
    </row>
    <row r="32" spans="1:20" ht="13.5" thickBot="1">
      <c r="A32" s="91">
        <f>ROW()</f>
        <v>32</v>
      </c>
      <c r="C32" t="s">
        <v>15</v>
      </c>
      <c r="F32" s="119">
        <f>IRR(G32:T32)</f>
        <v>0.07000000000000006</v>
      </c>
      <c r="G32" s="24">
        <f>-G29</f>
        <v>-2600000</v>
      </c>
      <c r="H32" s="13">
        <f aca="true" t="shared" si="10" ref="H32:T32">+H30+H31</f>
        <v>182000.00000000003</v>
      </c>
      <c r="I32" s="13">
        <f t="shared" si="10"/>
        <v>182000.00000000003</v>
      </c>
      <c r="J32" s="13">
        <f t="shared" si="10"/>
        <v>182000.00000000003</v>
      </c>
      <c r="K32" s="13">
        <f t="shared" si="10"/>
        <v>182000.00000000003</v>
      </c>
      <c r="L32" s="13">
        <f t="shared" si="10"/>
        <v>182000.00000000003</v>
      </c>
      <c r="M32" s="13"/>
      <c r="N32" s="21">
        <f t="shared" si="10"/>
        <v>182000.00000000003</v>
      </c>
      <c r="O32" s="13">
        <f t="shared" si="10"/>
        <v>182000.00000000003</v>
      </c>
      <c r="P32" s="13">
        <f t="shared" si="10"/>
        <v>182000.00000000003</v>
      </c>
      <c r="Q32" s="13">
        <f t="shared" si="10"/>
        <v>182000.00000000003</v>
      </c>
      <c r="R32" s="13">
        <f t="shared" si="10"/>
        <v>2782000</v>
      </c>
      <c r="S32" s="13">
        <f t="shared" si="10"/>
        <v>0</v>
      </c>
      <c r="T32" s="13">
        <f t="shared" si="10"/>
        <v>0</v>
      </c>
    </row>
    <row r="33" spans="1:17" ht="9.75" customHeight="1" thickTop="1">
      <c r="A33" s="91">
        <f>ROW()</f>
        <v>33</v>
      </c>
      <c r="G33" s="22"/>
      <c r="H33" s="9"/>
      <c r="I33" s="9"/>
      <c r="J33" s="9"/>
      <c r="K33" s="9"/>
      <c r="L33" s="9"/>
      <c r="M33" s="9"/>
      <c r="N33" s="20"/>
      <c r="O33" s="9"/>
      <c r="P33" s="9"/>
      <c r="Q33" s="9"/>
    </row>
    <row r="34" spans="1:20" ht="12.75">
      <c r="A34" s="91">
        <f>ROW()</f>
        <v>34</v>
      </c>
      <c r="C34" t="s">
        <v>17</v>
      </c>
      <c r="G34" s="22"/>
      <c r="H34" s="9">
        <f aca="true" t="shared" si="11" ref="H34:T34">+H30+H31+H21+H22</f>
        <v>337064.00000000006</v>
      </c>
      <c r="I34" s="9">
        <f t="shared" si="11"/>
        <v>391664</v>
      </c>
      <c r="J34" s="9">
        <f t="shared" si="11"/>
        <v>425967.36000000004</v>
      </c>
      <c r="K34" s="9">
        <f t="shared" si="11"/>
        <v>460270.7200000001</v>
      </c>
      <c r="L34" s="9">
        <f t="shared" si="11"/>
        <v>565277.4400000001</v>
      </c>
      <c r="M34" s="9"/>
      <c r="N34" s="20">
        <f t="shared" si="11"/>
        <v>736794.24</v>
      </c>
      <c r="O34" s="9">
        <f t="shared" si="11"/>
        <v>3300227.84</v>
      </c>
      <c r="P34" s="9">
        <f t="shared" si="11"/>
        <v>182000.00000000003</v>
      </c>
      <c r="Q34" s="9">
        <f t="shared" si="11"/>
        <v>182000.00000000003</v>
      </c>
      <c r="R34" s="9">
        <f t="shared" si="11"/>
        <v>2782000</v>
      </c>
      <c r="S34" s="9">
        <f t="shared" si="11"/>
        <v>0</v>
      </c>
      <c r="T34" s="9">
        <f t="shared" si="11"/>
        <v>0</v>
      </c>
    </row>
    <row r="35" spans="1:20" ht="13.5" thickBot="1">
      <c r="A35" s="91">
        <f>ROW()</f>
        <v>35</v>
      </c>
      <c r="C35" t="s">
        <v>18</v>
      </c>
      <c r="G35" s="192">
        <f>+G29+G20</f>
        <v>6240000</v>
      </c>
      <c r="H35" s="9">
        <f aca="true" t="shared" si="12" ref="H35:T35">+H29+H20</f>
        <v>6240000</v>
      </c>
      <c r="I35" s="9">
        <f t="shared" si="12"/>
        <v>6203600</v>
      </c>
      <c r="J35" s="9">
        <f t="shared" si="12"/>
        <v>6167200</v>
      </c>
      <c r="K35" s="9">
        <f t="shared" si="12"/>
        <v>6094400</v>
      </c>
      <c r="L35" s="9">
        <f t="shared" si="12"/>
        <v>5912400</v>
      </c>
      <c r="M35" s="9"/>
      <c r="N35" s="123">
        <f t="shared" si="12"/>
        <v>5548400</v>
      </c>
      <c r="O35" s="9">
        <f t="shared" si="12"/>
        <v>2600000</v>
      </c>
      <c r="P35" s="9">
        <f t="shared" si="12"/>
        <v>2600000</v>
      </c>
      <c r="Q35" s="9">
        <f t="shared" si="12"/>
        <v>2600000</v>
      </c>
      <c r="R35" s="9">
        <f t="shared" si="12"/>
        <v>0</v>
      </c>
      <c r="S35" s="9">
        <f t="shared" si="12"/>
        <v>0</v>
      </c>
      <c r="T35" s="9">
        <f t="shared" si="12"/>
        <v>0</v>
      </c>
    </row>
    <row r="36" spans="1:17" ht="12" customHeight="1" thickBot="1">
      <c r="A36" s="91">
        <f>ROW()</f>
        <v>36</v>
      </c>
      <c r="C36" s="16"/>
      <c r="D36" s="16"/>
      <c r="E36" s="16"/>
      <c r="F36" s="16"/>
      <c r="G36" s="16"/>
      <c r="H36" s="37"/>
      <c r="I36" s="37"/>
      <c r="J36" s="37"/>
      <c r="K36" s="37"/>
      <c r="L36" s="37"/>
      <c r="M36" s="37"/>
      <c r="N36" s="38"/>
      <c r="O36" s="37"/>
      <c r="P36" s="16"/>
      <c r="Q36" s="16"/>
    </row>
    <row r="37" spans="1:20" ht="15" customHeight="1" thickBot="1">
      <c r="A37" s="91">
        <f>ROW()</f>
        <v>37</v>
      </c>
      <c r="C37" s="49" t="s">
        <v>65</v>
      </c>
      <c r="D37" s="49"/>
      <c r="E37" s="49"/>
      <c r="F37" s="49"/>
      <c r="G37" s="50"/>
      <c r="H37" s="50"/>
      <c r="I37" s="50"/>
      <c r="J37" s="50"/>
      <c r="K37" s="50"/>
      <c r="L37" s="50"/>
      <c r="M37" s="50"/>
      <c r="N37" s="51"/>
      <c r="O37" s="52"/>
      <c r="P37" s="50"/>
      <c r="Q37" s="50"/>
      <c r="R37" s="50"/>
      <c r="S37" s="50"/>
      <c r="T37" s="50"/>
    </row>
    <row r="38" spans="1:14" ht="16.5" customHeight="1">
      <c r="A38" s="91">
        <f>ROW()</f>
        <v>38</v>
      </c>
      <c r="C38" s="1" t="s">
        <v>39</v>
      </c>
      <c r="D38" s="1"/>
      <c r="E38" s="201" t="s">
        <v>116</v>
      </c>
      <c r="F38" s="198" t="s">
        <v>117</v>
      </c>
      <c r="G38" s="87" t="s">
        <v>25</v>
      </c>
      <c r="H38" s="88" t="s">
        <v>19</v>
      </c>
      <c r="I38" s="88" t="s">
        <v>20</v>
      </c>
      <c r="J38" s="88" t="s">
        <v>21</v>
      </c>
      <c r="K38" s="88" t="s">
        <v>22</v>
      </c>
      <c r="L38" s="88" t="s">
        <v>23</v>
      </c>
      <c r="M38" s="88"/>
      <c r="N38" s="87" t="s">
        <v>12</v>
      </c>
    </row>
    <row r="39" spans="1:20" ht="13.5" thickBot="1">
      <c r="A39" s="91">
        <f>ROW()</f>
        <v>39</v>
      </c>
      <c r="E39" s="202" t="s">
        <v>118</v>
      </c>
      <c r="F39" s="199" t="s">
        <v>118</v>
      </c>
      <c r="G39" s="92">
        <v>2014</v>
      </c>
      <c r="H39" s="90">
        <f>+G39+1</f>
        <v>2015</v>
      </c>
      <c r="I39" s="90">
        <f aca="true" t="shared" si="13" ref="I39:P39">+H39+1</f>
        <v>2016</v>
      </c>
      <c r="J39" s="90">
        <f t="shared" si="13"/>
        <v>2017</v>
      </c>
      <c r="K39" s="90">
        <f t="shared" si="13"/>
        <v>2018</v>
      </c>
      <c r="L39" s="90">
        <f>+K39+1</f>
        <v>2019</v>
      </c>
      <c r="M39" s="90"/>
      <c r="N39" s="89">
        <f>+L39+1</f>
        <v>2020</v>
      </c>
      <c r="O39" s="90">
        <f t="shared" si="13"/>
        <v>2021</v>
      </c>
      <c r="P39" s="90">
        <f t="shared" si="13"/>
        <v>2022</v>
      </c>
      <c r="Q39" s="90">
        <f>+P39+1</f>
        <v>2023</v>
      </c>
      <c r="R39" s="90">
        <f>+Q39+1</f>
        <v>2024</v>
      </c>
      <c r="S39" s="90">
        <f>+R39+1</f>
        <v>2025</v>
      </c>
      <c r="T39" s="90">
        <f>+S39+1</f>
        <v>2026</v>
      </c>
    </row>
    <row r="40" spans="1:20" ht="12.75">
      <c r="A40" s="91">
        <f>ROW()</f>
        <v>40</v>
      </c>
      <c r="C40" t="s">
        <v>26</v>
      </c>
      <c r="E40" s="203"/>
      <c r="F40" s="197">
        <v>0.07</v>
      </c>
      <c r="G40" s="164">
        <f>1506000+1458000+1539000+1493000</f>
        <v>5996000</v>
      </c>
      <c r="H40" s="133">
        <f>+G40*(1+F40)</f>
        <v>6415720</v>
      </c>
      <c r="I40" s="18">
        <f>+H40*(1+$F$40)</f>
        <v>6864820.4</v>
      </c>
      <c r="J40" s="18">
        <f>+I40*(1+$F$40)</f>
        <v>7345357.828000001</v>
      </c>
      <c r="K40" s="18">
        <f>+J40*(1+$F$40)</f>
        <v>7859532.875960001</v>
      </c>
      <c r="L40" s="18">
        <f>+K40*(1+$F$40)</f>
        <v>8409700.177277202</v>
      </c>
      <c r="M40" s="18"/>
      <c r="N40" s="23">
        <f>+L40*(1+$F$40)</f>
        <v>8998379.189686606</v>
      </c>
      <c r="O40" s="18">
        <f>+N40*(1+$F$40)</f>
        <v>9628265.732964668</v>
      </c>
      <c r="P40" s="18">
        <f>+O40*(1+$F$40)</f>
        <v>10302244.334272197</v>
      </c>
      <c r="Q40" s="18">
        <f>+P40*(1+$F$40)</f>
        <v>11023401.437671252</v>
      </c>
      <c r="R40" s="18">
        <f>+Q40*(1+$F$40)</f>
        <v>11795039.53830824</v>
      </c>
      <c r="S40" s="18">
        <f>+R40*(1+$F$40)</f>
        <v>12620692.305989819</v>
      </c>
      <c r="T40" s="18">
        <f>+S40*(1+$F$40)</f>
        <v>13504140.767409107</v>
      </c>
    </row>
    <row r="41" spans="1:20" ht="12.75">
      <c r="A41" s="91">
        <f>ROW()</f>
        <v>41</v>
      </c>
      <c r="C41" t="s">
        <v>88</v>
      </c>
      <c r="E41" s="204">
        <f>-G41/G40</f>
        <v>0.2921947965310207</v>
      </c>
      <c r="F41" s="197">
        <v>0.29</v>
      </c>
      <c r="G41" s="165">
        <f>-455000-429000-439000-429000</f>
        <v>-1752000</v>
      </c>
      <c r="H41" s="18">
        <f>-H40*$F$41</f>
        <v>-1860558.7999999998</v>
      </c>
      <c r="I41" s="18">
        <f>-I40*$F$41</f>
        <v>-1990797.916</v>
      </c>
      <c r="J41" s="18">
        <f>-J40*$F$41</f>
        <v>-2130153.77012</v>
      </c>
      <c r="K41" s="18">
        <f>-K40*$F$41</f>
        <v>-2279264.5340284</v>
      </c>
      <c r="L41" s="18">
        <f>-L40*$F$41</f>
        <v>-2438813.051410388</v>
      </c>
      <c r="M41" s="18"/>
      <c r="N41" s="23">
        <f>-N40*$F$41</f>
        <v>-2609529.9650091156</v>
      </c>
      <c r="O41" s="18">
        <f>-O40*$F$41</f>
        <v>-2792197.0625597537</v>
      </c>
      <c r="P41" s="18">
        <f>-P40*$F$41</f>
        <v>-2987650.8569389367</v>
      </c>
      <c r="Q41" s="18">
        <f>-Q40*$F$41</f>
        <v>-3196786.416924663</v>
      </c>
      <c r="R41" s="18">
        <f>-R40*$F$41</f>
        <v>-3420561.4661093894</v>
      </c>
      <c r="S41" s="18">
        <f>-S40*$F$41</f>
        <v>-3660000.768737047</v>
      </c>
      <c r="T41" s="18">
        <f>-T40*$F$41</f>
        <v>-3916200.822548641</v>
      </c>
    </row>
    <row r="42" spans="1:20" ht="12.75">
      <c r="A42" s="91">
        <f>ROW()</f>
        <v>42</v>
      </c>
      <c r="C42" t="s">
        <v>27</v>
      </c>
      <c r="E42" s="204">
        <f>-G42/G40</f>
        <v>0.5675450300200133</v>
      </c>
      <c r="F42" s="197">
        <v>0.55</v>
      </c>
      <c r="G42" s="187">
        <f>+G43-G40-G41</f>
        <v>-3403000</v>
      </c>
      <c r="H42" s="133">
        <f>-F42*H40</f>
        <v>-3528646.0000000005</v>
      </c>
      <c r="I42" s="18">
        <f>-$F$42*I40</f>
        <v>-3775651.2200000007</v>
      </c>
      <c r="J42" s="18">
        <f>-$F$42*J40</f>
        <v>-4039946.805400001</v>
      </c>
      <c r="K42" s="18">
        <f>-$F$42*K40</f>
        <v>-4322743.081778001</v>
      </c>
      <c r="L42" s="18">
        <f>-$F$42*L40</f>
        <v>-4625335.097502462</v>
      </c>
      <c r="M42" s="18"/>
      <c r="N42" s="23">
        <f>-$F$42*N40</f>
        <v>-4949108.554327633</v>
      </c>
      <c r="O42" s="18">
        <f>-$F$42*O40</f>
        <v>-5295546.153130568</v>
      </c>
      <c r="P42" s="18">
        <f>-$F$42*P40</f>
        <v>-5666234.383849708</v>
      </c>
      <c r="Q42" s="18">
        <f>-$F$42*Q40</f>
        <v>-6062870.790719189</v>
      </c>
      <c r="R42" s="18">
        <f>-$F$42*R40</f>
        <v>-6487271.746069533</v>
      </c>
      <c r="S42" s="18">
        <f>-$F$42*S40</f>
        <v>-6941380.768294401</v>
      </c>
      <c r="T42" s="18">
        <f>-$F$42*T40</f>
        <v>-7427277.422075009</v>
      </c>
    </row>
    <row r="43" spans="1:20" ht="12.75">
      <c r="A43" s="91">
        <f>ROW()</f>
        <v>43</v>
      </c>
      <c r="C43" t="s">
        <v>97</v>
      </c>
      <c r="E43" s="205">
        <f>+G43/G40</f>
        <v>0.14026017344896596</v>
      </c>
      <c r="F43" s="200">
        <f>+H43/H40</f>
        <v>0.15999999999999995</v>
      </c>
      <c r="G43" s="165">
        <f>200000+194000+237000+210000</f>
        <v>841000</v>
      </c>
      <c r="H43" s="136">
        <f aca="true" t="shared" si="14" ref="H43:N43">SUM(H40:H42)</f>
        <v>1026515.1999999997</v>
      </c>
      <c r="I43" s="136">
        <f t="shared" si="14"/>
        <v>1098371.2639999995</v>
      </c>
      <c r="J43" s="136">
        <f t="shared" si="14"/>
        <v>1175257.2524800003</v>
      </c>
      <c r="K43" s="136">
        <f t="shared" si="14"/>
        <v>1257525.260153599</v>
      </c>
      <c r="L43" s="136">
        <f t="shared" si="14"/>
        <v>1345552.028364352</v>
      </c>
      <c r="M43" s="136"/>
      <c r="N43" s="137">
        <f t="shared" si="14"/>
        <v>1439740.6703498568</v>
      </c>
      <c r="O43" s="136">
        <f aca="true" t="shared" si="15" ref="O43:T43">SUM(O40:O42)</f>
        <v>1540522.5172743471</v>
      </c>
      <c r="P43" s="136">
        <f t="shared" si="15"/>
        <v>1648359.0934835514</v>
      </c>
      <c r="Q43" s="136">
        <f t="shared" si="15"/>
        <v>1763744.2300274</v>
      </c>
      <c r="R43" s="136">
        <f t="shared" si="15"/>
        <v>1887206.3261293182</v>
      </c>
      <c r="S43" s="136">
        <f t="shared" si="15"/>
        <v>2019310.768958372</v>
      </c>
      <c r="T43" s="136">
        <f t="shared" si="15"/>
        <v>2160662.522785457</v>
      </c>
    </row>
    <row r="44" spans="1:20" ht="12.75">
      <c r="A44" s="91">
        <f>ROW()</f>
        <v>44</v>
      </c>
      <c r="C44" t="s">
        <v>66</v>
      </c>
      <c r="E44" s="203"/>
      <c r="F44" s="98">
        <v>7</v>
      </c>
      <c r="G44" s="20"/>
      <c r="H44" s="93">
        <f>-$G$15/$F$44</f>
        <v>-71314.28571428571</v>
      </c>
      <c r="I44" s="94">
        <f>-$G$15/$F$44</f>
        <v>-71314.28571428571</v>
      </c>
      <c r="J44" s="94">
        <f>-$G$15/$F$44</f>
        <v>-71314.28571428571</v>
      </c>
      <c r="K44" s="94">
        <f>-$G$15/$F$44</f>
        <v>-71314.28571428571</v>
      </c>
      <c r="L44" s="94">
        <f>-$G$15/$F$44</f>
        <v>-71314.28571428571</v>
      </c>
      <c r="M44" s="94"/>
      <c r="N44" s="95">
        <f>+L44</f>
        <v>-71314.28571428571</v>
      </c>
      <c r="O44" s="94"/>
      <c r="P44" s="94"/>
      <c r="Q44" s="94"/>
      <c r="R44" s="94"/>
      <c r="S44" s="94"/>
      <c r="T44" s="94"/>
    </row>
    <row r="45" spans="1:20" ht="12.75">
      <c r="A45" s="91">
        <f>ROW()</f>
        <v>45</v>
      </c>
      <c r="C45" t="s">
        <v>24</v>
      </c>
      <c r="E45" s="203"/>
      <c r="F45" s="169"/>
      <c r="G45" s="20"/>
      <c r="H45" s="26">
        <f>SUM(H43:H44)</f>
        <v>955200.914285714</v>
      </c>
      <c r="I45" s="26">
        <f>SUM(I43:I44)</f>
        <v>1027056.9782857138</v>
      </c>
      <c r="J45" s="26">
        <f>SUM(J43:J44)</f>
        <v>1103942.9667657146</v>
      </c>
      <c r="K45" s="26">
        <f>SUM(K43:K44)</f>
        <v>1186210.9744393134</v>
      </c>
      <c r="L45" s="26">
        <f>SUM(L43:L44)</f>
        <v>1274237.7426500663</v>
      </c>
      <c r="M45" s="26"/>
      <c r="N45" s="23">
        <f aca="true" t="shared" si="16" ref="N45:T45">SUM(N43:N44)</f>
        <v>1368426.3846355712</v>
      </c>
      <c r="O45" s="26">
        <f t="shared" si="16"/>
        <v>1540522.5172743471</v>
      </c>
      <c r="P45" s="26">
        <f t="shared" si="16"/>
        <v>1648359.0934835514</v>
      </c>
      <c r="Q45" s="26">
        <f t="shared" si="16"/>
        <v>1763744.2300274</v>
      </c>
      <c r="R45" s="26">
        <f t="shared" si="16"/>
        <v>1887206.3261293182</v>
      </c>
      <c r="S45" s="26">
        <f t="shared" si="16"/>
        <v>2019310.768958372</v>
      </c>
      <c r="T45" s="26">
        <f t="shared" si="16"/>
        <v>2160662.522785457</v>
      </c>
    </row>
    <row r="46" spans="1:21" ht="12.75">
      <c r="A46" s="91">
        <f>ROW()</f>
        <v>46</v>
      </c>
      <c r="C46" s="190" t="s">
        <v>115</v>
      </c>
      <c r="E46" s="203"/>
      <c r="F46" s="169"/>
      <c r="G46" s="20"/>
      <c r="H46" s="93">
        <f>-H22-H31</f>
        <v>-337064.00000000006</v>
      </c>
      <c r="I46" s="94">
        <f aca="true" t="shared" si="17" ref="I46:T46">-I22-I31</f>
        <v>-355264</v>
      </c>
      <c r="J46" s="94">
        <f t="shared" si="17"/>
        <v>-389567.36000000004</v>
      </c>
      <c r="K46" s="94">
        <f t="shared" si="17"/>
        <v>-387470.7200000001</v>
      </c>
      <c r="L46" s="94">
        <f t="shared" si="17"/>
        <v>-383277.44000000006</v>
      </c>
      <c r="M46" s="94"/>
      <c r="N46" s="95">
        <f t="shared" si="17"/>
        <v>-372794.24000000005</v>
      </c>
      <c r="O46" s="94">
        <f t="shared" si="17"/>
        <v>-351827.8400000001</v>
      </c>
      <c r="P46" s="94">
        <f t="shared" si="17"/>
        <v>-182000.00000000003</v>
      </c>
      <c r="Q46" s="94">
        <f t="shared" si="17"/>
        <v>-182000.00000000003</v>
      </c>
      <c r="R46" s="94">
        <f t="shared" si="17"/>
        <v>-182000.00000000003</v>
      </c>
      <c r="S46" s="94">
        <f t="shared" si="17"/>
        <v>0</v>
      </c>
      <c r="T46" s="94">
        <f t="shared" si="17"/>
        <v>0</v>
      </c>
      <c r="U46" s="124"/>
    </row>
    <row r="47" spans="1:21" ht="12.75">
      <c r="A47" s="91">
        <f>ROW()</f>
        <v>47</v>
      </c>
      <c r="C47" t="s">
        <v>75</v>
      </c>
      <c r="E47" s="203"/>
      <c r="F47" s="169"/>
      <c r="G47" s="20"/>
      <c r="H47" s="26">
        <f>+H45+H46</f>
        <v>618136.914285714</v>
      </c>
      <c r="I47" s="26">
        <f>+I45+I46</f>
        <v>671792.9782857138</v>
      </c>
      <c r="J47" s="26">
        <f aca="true" t="shared" si="18" ref="J47:T47">+J45+J46</f>
        <v>714375.6067657145</v>
      </c>
      <c r="K47" s="26">
        <f t="shared" si="18"/>
        <v>798740.2544393133</v>
      </c>
      <c r="L47" s="26">
        <f t="shared" si="18"/>
        <v>890960.3026500662</v>
      </c>
      <c r="M47" s="26"/>
      <c r="N47" s="23">
        <f t="shared" si="18"/>
        <v>995632.1446355712</v>
      </c>
      <c r="O47" s="26">
        <f t="shared" si="18"/>
        <v>1188694.677274347</v>
      </c>
      <c r="P47" s="26">
        <f t="shared" si="18"/>
        <v>1466359.0934835514</v>
      </c>
      <c r="Q47" s="26">
        <f t="shared" si="18"/>
        <v>1581744.2300274</v>
      </c>
      <c r="R47" s="26">
        <f t="shared" si="18"/>
        <v>1705206.3261293182</v>
      </c>
      <c r="S47" s="26">
        <f t="shared" si="18"/>
        <v>2019310.768958372</v>
      </c>
      <c r="T47" s="26">
        <f t="shared" si="18"/>
        <v>2160662.522785457</v>
      </c>
      <c r="U47" s="124"/>
    </row>
    <row r="48" spans="1:20" ht="12.75">
      <c r="A48" s="91">
        <f>ROW()</f>
        <v>48</v>
      </c>
      <c r="C48" t="s">
        <v>45</v>
      </c>
      <c r="E48" s="203"/>
      <c r="F48" s="169">
        <v>0.36</v>
      </c>
      <c r="G48" s="132"/>
      <c r="H48" s="18">
        <f>-$F$48*H47</f>
        <v>-222529.28914285704</v>
      </c>
      <c r="I48" s="18">
        <f>-$F$48*I47</f>
        <v>-241845.47218285696</v>
      </c>
      <c r="J48" s="18">
        <f>-$F$48*J47</f>
        <v>-257175.2184356572</v>
      </c>
      <c r="K48" s="18">
        <f>-$F$48*K47</f>
        <v>-287546.4915981528</v>
      </c>
      <c r="L48" s="18">
        <f>-$F$48*L47</f>
        <v>-320745.70895402384</v>
      </c>
      <c r="M48" s="18"/>
      <c r="N48" s="23">
        <f>-$F$48*N47</f>
        <v>-358427.57206880563</v>
      </c>
      <c r="O48" s="18">
        <f>-$F$48*O47</f>
        <v>-427930.08381876495</v>
      </c>
      <c r="P48" s="18">
        <f>-$F$48*P47</f>
        <v>-527889.2736540785</v>
      </c>
      <c r="Q48" s="18">
        <f>-$F$48*Q47</f>
        <v>-569427.9228098639</v>
      </c>
      <c r="R48" s="18">
        <f>-$F$48*R47</f>
        <v>-613874.2774065546</v>
      </c>
      <c r="S48" s="18">
        <f>-$F$48*S47</f>
        <v>-726951.8768250139</v>
      </c>
      <c r="T48" s="18">
        <f>-$F$48*T47</f>
        <v>-777838.5082027644</v>
      </c>
    </row>
    <row r="49" spans="1:20" ht="12.75">
      <c r="A49" s="91">
        <f>ROW()</f>
        <v>49</v>
      </c>
      <c r="C49" t="s">
        <v>89</v>
      </c>
      <c r="E49" s="206"/>
      <c r="F49" s="169"/>
      <c r="G49" s="132"/>
      <c r="H49" s="18">
        <f>-H46</f>
        <v>337064.00000000006</v>
      </c>
      <c r="I49" s="18">
        <f aca="true" t="shared" si="19" ref="I49:T49">-I46</f>
        <v>355264</v>
      </c>
      <c r="J49" s="18">
        <f t="shared" si="19"/>
        <v>389567.36000000004</v>
      </c>
      <c r="K49" s="18">
        <f t="shared" si="19"/>
        <v>387470.7200000001</v>
      </c>
      <c r="L49" s="18">
        <f t="shared" si="19"/>
        <v>383277.44000000006</v>
      </c>
      <c r="M49" s="18"/>
      <c r="N49" s="23">
        <f t="shared" si="19"/>
        <v>372794.24000000005</v>
      </c>
      <c r="O49" s="18">
        <f t="shared" si="19"/>
        <v>351827.8400000001</v>
      </c>
      <c r="P49" s="18">
        <f t="shared" si="19"/>
        <v>182000.00000000003</v>
      </c>
      <c r="Q49" s="18">
        <f t="shared" si="19"/>
        <v>182000.00000000003</v>
      </c>
      <c r="R49" s="18">
        <f t="shared" si="19"/>
        <v>182000.00000000003</v>
      </c>
      <c r="S49" s="18">
        <f t="shared" si="19"/>
        <v>0</v>
      </c>
      <c r="T49" s="18">
        <f t="shared" si="19"/>
        <v>0</v>
      </c>
    </row>
    <row r="50" spans="1:20" ht="12.75">
      <c r="A50" s="91">
        <f>ROW()</f>
        <v>50</v>
      </c>
      <c r="C50" t="s">
        <v>85</v>
      </c>
      <c r="E50" s="204">
        <f>+G50/G40</f>
        <v>0.03318879252835223</v>
      </c>
      <c r="F50" s="169">
        <f>+E50</f>
        <v>0.03318879252835223</v>
      </c>
      <c r="G50" s="165">
        <f>54000+47000+48000+50000</f>
        <v>199000</v>
      </c>
      <c r="H50" s="18">
        <f>+$F$50*H40</f>
        <v>212929.99999999997</v>
      </c>
      <c r="I50" s="18">
        <f>+$F$50*I40</f>
        <v>227835.09999999998</v>
      </c>
      <c r="J50" s="18">
        <f>+$F$50*J40</f>
        <v>243783.557</v>
      </c>
      <c r="K50" s="18">
        <f>+$F$50*K40</f>
        <v>260848.40599</v>
      </c>
      <c r="L50" s="18">
        <f>+$F$50*L40</f>
        <v>279107.7944093</v>
      </c>
      <c r="M50" s="18"/>
      <c r="N50" s="23">
        <f>+$F$50*N40</f>
        <v>298645.34001795104</v>
      </c>
      <c r="O50" s="18">
        <f>+$F$50*O40</f>
        <v>319550.5138192076</v>
      </c>
      <c r="P50" s="18">
        <f>+$F$50*P40</f>
        <v>341919.0497865522</v>
      </c>
      <c r="Q50" s="18">
        <f>+$F$50*Q40</f>
        <v>365853.3832716109</v>
      </c>
      <c r="R50" s="18">
        <f>+$F$50*R40</f>
        <v>391463.1201006237</v>
      </c>
      <c r="S50" s="18">
        <f>+$F$50*S40</f>
        <v>418865.53850766737</v>
      </c>
      <c r="T50" s="18">
        <f>+$F$50*T40</f>
        <v>448186.12620320416</v>
      </c>
    </row>
    <row r="51" spans="1:20" ht="12.75">
      <c r="A51" s="91">
        <f>ROW()</f>
        <v>51</v>
      </c>
      <c r="C51" t="s">
        <v>86</v>
      </c>
      <c r="D51" s="41"/>
      <c r="E51" s="206"/>
      <c r="F51" s="169"/>
      <c r="G51" s="167"/>
      <c r="H51" s="18">
        <f>-H44</f>
        <v>71314.28571428571</v>
      </c>
      <c r="I51" s="18">
        <f aca="true" t="shared" si="20" ref="I51:T51">-I44</f>
        <v>71314.28571428571</v>
      </c>
      <c r="J51" s="18">
        <f t="shared" si="20"/>
        <v>71314.28571428571</v>
      </c>
      <c r="K51" s="18">
        <f t="shared" si="20"/>
        <v>71314.28571428571</v>
      </c>
      <c r="L51" s="18">
        <f t="shared" si="20"/>
        <v>71314.28571428571</v>
      </c>
      <c r="M51" s="18"/>
      <c r="N51" s="23">
        <f t="shared" si="20"/>
        <v>71314.28571428571</v>
      </c>
      <c r="O51" s="18">
        <f t="shared" si="20"/>
        <v>0</v>
      </c>
      <c r="P51" s="18">
        <f t="shared" si="20"/>
        <v>0</v>
      </c>
      <c r="Q51" s="18">
        <f t="shared" si="20"/>
        <v>0</v>
      </c>
      <c r="R51" s="18">
        <f t="shared" si="20"/>
        <v>0</v>
      </c>
      <c r="S51" s="18">
        <f t="shared" si="20"/>
        <v>0</v>
      </c>
      <c r="T51" s="18">
        <f t="shared" si="20"/>
        <v>0</v>
      </c>
    </row>
    <row r="52" spans="1:20" ht="12.75">
      <c r="A52" s="91">
        <f>ROW()</f>
        <v>52</v>
      </c>
      <c r="C52" t="s">
        <v>46</v>
      </c>
      <c r="E52" s="203"/>
      <c r="F52" s="169">
        <v>0</v>
      </c>
      <c r="G52" s="168"/>
      <c r="H52" s="18">
        <f>-$F$52*H40</f>
        <v>0</v>
      </c>
      <c r="I52" s="18">
        <f>-$F$52*I40</f>
        <v>0</v>
      </c>
      <c r="J52" s="18">
        <f>-$F$52*J40</f>
        <v>0</v>
      </c>
      <c r="K52" s="18">
        <f>-$F$52*K40</f>
        <v>0</v>
      </c>
      <c r="L52" s="18">
        <f>-$F$52*L40</f>
        <v>0</v>
      </c>
      <c r="M52" s="18"/>
      <c r="N52" s="23">
        <f>-$F$52*N40</f>
        <v>0</v>
      </c>
      <c r="O52" s="18">
        <f>-$F$52*O40</f>
        <v>0</v>
      </c>
      <c r="P52" s="18">
        <f>-$F$52*P40</f>
        <v>0</v>
      </c>
      <c r="Q52" s="18">
        <f>-$F$52*Q40</f>
        <v>0</v>
      </c>
      <c r="R52" s="18">
        <f>-$F$52*R40</f>
        <v>0</v>
      </c>
      <c r="S52" s="18">
        <f>-$F$52*S40</f>
        <v>0</v>
      </c>
      <c r="T52" s="18">
        <f>-$F$52*T40</f>
        <v>0</v>
      </c>
    </row>
    <row r="53" spans="1:20" ht="12.75">
      <c r="A53" s="91">
        <f>ROW()</f>
        <v>53</v>
      </c>
      <c r="C53" t="s">
        <v>47</v>
      </c>
      <c r="E53" s="207">
        <f>-G53/G40</f>
        <v>0.058372248165443626</v>
      </c>
      <c r="F53" s="169">
        <v>0.04</v>
      </c>
      <c r="G53" s="165">
        <f>-129000-84000-71000-66000</f>
        <v>-350000</v>
      </c>
      <c r="H53" s="18">
        <f>-$F$53*H40</f>
        <v>-256628.80000000002</v>
      </c>
      <c r="I53" s="18">
        <f>-$F$53*I40</f>
        <v>-274592.816</v>
      </c>
      <c r="J53" s="18">
        <f>-$F$53*J40</f>
        <v>-293814.31312</v>
      </c>
      <c r="K53" s="18">
        <f>-$F$53*K40</f>
        <v>-314381.31503840006</v>
      </c>
      <c r="L53" s="18">
        <f>-$F$53*L40</f>
        <v>-336388.0070910881</v>
      </c>
      <c r="M53" s="18"/>
      <c r="N53" s="23">
        <f>-$F$53*N40</f>
        <v>-359935.1675874642</v>
      </c>
      <c r="O53" s="18">
        <f>-$F$53*O40</f>
        <v>-385130.6293185867</v>
      </c>
      <c r="P53" s="18">
        <f>-$F$53*P40</f>
        <v>-412089.77337088785</v>
      </c>
      <c r="Q53" s="18">
        <f>-$F$53*Q40</f>
        <v>-440936.05750685005</v>
      </c>
      <c r="R53" s="18">
        <f>-$F$53*R40</f>
        <v>-471801.5815323296</v>
      </c>
      <c r="S53" s="18">
        <f>-$F$53*S40</f>
        <v>-504827.6922395928</v>
      </c>
      <c r="T53" s="18">
        <f>-$F$53*T40</f>
        <v>-540165.6306963643</v>
      </c>
    </row>
    <row r="54" spans="1:20" ht="13.5" thickBot="1">
      <c r="A54" s="91">
        <f>ROW()</f>
        <v>54</v>
      </c>
      <c r="C54" t="s">
        <v>76</v>
      </c>
      <c r="F54" s="169"/>
      <c r="G54" s="167"/>
      <c r="H54" s="29">
        <f>SUM(H47:H53)</f>
        <v>760287.1108571426</v>
      </c>
      <c r="I54" s="29">
        <f aca="true" t="shared" si="21" ref="I54:T54">SUM(I47:I53)</f>
        <v>809768.0758171425</v>
      </c>
      <c r="J54" s="29">
        <f t="shared" si="21"/>
        <v>868051.277924343</v>
      </c>
      <c r="K54" s="29">
        <f t="shared" si="21"/>
        <v>916445.8595070462</v>
      </c>
      <c r="L54" s="29">
        <f t="shared" si="21"/>
        <v>967526.1067285402</v>
      </c>
      <c r="M54" s="29"/>
      <c r="N54" s="28">
        <f t="shared" si="21"/>
        <v>1020023.2707115381</v>
      </c>
      <c r="O54" s="29">
        <f t="shared" si="21"/>
        <v>1047012.3179562031</v>
      </c>
      <c r="P54" s="29">
        <f t="shared" si="21"/>
        <v>1050299.0962451373</v>
      </c>
      <c r="Q54" s="29">
        <f t="shared" si="21"/>
        <v>1119233.6329822969</v>
      </c>
      <c r="R54" s="29">
        <f t="shared" si="21"/>
        <v>1192993.5872910577</v>
      </c>
      <c r="S54" s="29">
        <f t="shared" si="21"/>
        <v>1206396.7384014328</v>
      </c>
      <c r="T54" s="29">
        <f t="shared" si="21"/>
        <v>1290844.5100895325</v>
      </c>
    </row>
    <row r="55" spans="1:20" ht="7.5" customHeight="1" thickTop="1">
      <c r="A55" s="91">
        <f>ROW()</f>
        <v>55</v>
      </c>
      <c r="F55" s="169"/>
      <c r="G55" s="167"/>
      <c r="H55" s="26"/>
      <c r="I55" s="26"/>
      <c r="J55" s="26"/>
      <c r="K55" s="26"/>
      <c r="L55" s="26"/>
      <c r="M55" s="26"/>
      <c r="N55" s="23"/>
      <c r="O55" s="26"/>
      <c r="P55" s="26"/>
      <c r="Q55" s="26"/>
      <c r="R55" s="26"/>
      <c r="S55" s="26"/>
      <c r="T55" s="26"/>
    </row>
    <row r="56" spans="1:20" ht="12.75">
      <c r="A56" s="91">
        <f>ROW()</f>
        <v>56</v>
      </c>
      <c r="C56" s="190" t="s">
        <v>114</v>
      </c>
      <c r="F56" s="169"/>
      <c r="G56" s="167"/>
      <c r="H56" s="26">
        <f>-H34</f>
        <v>-337064.00000000006</v>
      </c>
      <c r="I56" s="26">
        <f aca="true" t="shared" si="22" ref="I56:P56">-I34</f>
        <v>-391664</v>
      </c>
      <c r="J56" s="26">
        <f t="shared" si="22"/>
        <v>-425967.36000000004</v>
      </c>
      <c r="K56" s="26">
        <f t="shared" si="22"/>
        <v>-460270.7200000001</v>
      </c>
      <c r="L56" s="26">
        <f t="shared" si="22"/>
        <v>-565277.4400000001</v>
      </c>
      <c r="M56" s="26"/>
      <c r="N56" s="23">
        <f t="shared" si="22"/>
        <v>-736794.24</v>
      </c>
      <c r="O56" s="26">
        <f t="shared" si="22"/>
        <v>-3300227.84</v>
      </c>
      <c r="P56" s="26">
        <f t="shared" si="22"/>
        <v>-182000.00000000003</v>
      </c>
      <c r="Q56" s="26">
        <f>-Q34</f>
        <v>-182000.00000000003</v>
      </c>
      <c r="R56" s="26">
        <f>-R34</f>
        <v>-2782000</v>
      </c>
      <c r="S56" s="26">
        <f>-S34</f>
        <v>0</v>
      </c>
      <c r="T56" s="26">
        <f>-T34</f>
        <v>0</v>
      </c>
    </row>
    <row r="57" spans="1:20" ht="13.5" thickBot="1">
      <c r="A57" s="91">
        <f>ROW()</f>
        <v>57</v>
      </c>
      <c r="C57" t="s">
        <v>28</v>
      </c>
      <c r="F57" s="169"/>
      <c r="G57" s="20"/>
      <c r="H57" s="25">
        <f>+H54+H56</f>
        <v>423223.11085714254</v>
      </c>
      <c r="I57" s="25">
        <f aca="true" t="shared" si="23" ref="I57:T57">+I54+I56</f>
        <v>418104.0758171425</v>
      </c>
      <c r="J57" s="25">
        <f t="shared" si="23"/>
        <v>442083.91792434297</v>
      </c>
      <c r="K57" s="25">
        <f t="shared" si="23"/>
        <v>456175.1395070461</v>
      </c>
      <c r="L57" s="25">
        <f t="shared" si="23"/>
        <v>402248.6667285401</v>
      </c>
      <c r="M57" s="25"/>
      <c r="N57" s="24">
        <f t="shared" si="23"/>
        <v>283229.03071153816</v>
      </c>
      <c r="O57" s="25">
        <f t="shared" si="23"/>
        <v>-2253215.5220437967</v>
      </c>
      <c r="P57" s="25">
        <f t="shared" si="23"/>
        <v>868299.0962451373</v>
      </c>
      <c r="Q57" s="25">
        <f t="shared" si="23"/>
        <v>937233.6329822969</v>
      </c>
      <c r="R57" s="25">
        <f t="shared" si="23"/>
        <v>-1589006.4127089423</v>
      </c>
      <c r="S57" s="25">
        <f t="shared" si="23"/>
        <v>1206396.7384014328</v>
      </c>
      <c r="T57" s="25">
        <f t="shared" si="23"/>
        <v>1290844.5100895325</v>
      </c>
    </row>
    <row r="58" spans="1:14" ht="9" customHeight="1" thickTop="1">
      <c r="A58" s="91">
        <f>ROW()</f>
        <v>58</v>
      </c>
      <c r="F58" s="169"/>
      <c r="G58" s="22"/>
      <c r="N58" s="22"/>
    </row>
    <row r="59" spans="1:14" ht="15" customHeight="1" thickBot="1">
      <c r="A59" s="91">
        <f>ROW()</f>
        <v>59</v>
      </c>
      <c r="C59" t="s">
        <v>87</v>
      </c>
      <c r="G59" s="24">
        <f aca="true" t="shared" si="24" ref="G59:L59">+G50+G43</f>
        <v>1040000</v>
      </c>
      <c r="H59" s="134">
        <f t="shared" si="24"/>
        <v>1239445.1999999997</v>
      </c>
      <c r="I59" s="13">
        <f t="shared" si="24"/>
        <v>1326206.3639999996</v>
      </c>
      <c r="J59" s="13">
        <f t="shared" si="24"/>
        <v>1419040.8094800003</v>
      </c>
      <c r="K59" s="13">
        <f t="shared" si="24"/>
        <v>1518373.666143599</v>
      </c>
      <c r="L59" s="13">
        <f t="shared" si="24"/>
        <v>1624659.822773652</v>
      </c>
      <c r="M59" s="135"/>
      <c r="N59" s="24">
        <f>+N50+N43</f>
        <v>1738386.010367808</v>
      </c>
    </row>
    <row r="60" spans="1:14" ht="14.25" thickBot="1" thickTop="1">
      <c r="A60" s="91">
        <f>ROW()</f>
        <v>60</v>
      </c>
      <c r="C60" s="125" t="s">
        <v>29</v>
      </c>
      <c r="D60" s="125"/>
      <c r="E60" s="125"/>
      <c r="F60" s="17"/>
      <c r="G60" s="22"/>
      <c r="N60" s="22"/>
    </row>
    <row r="61" spans="1:21" ht="12.75">
      <c r="A61" s="91">
        <f>ROW()</f>
        <v>61</v>
      </c>
      <c r="C61" t="s">
        <v>73</v>
      </c>
      <c r="F61" s="99" t="s">
        <v>50</v>
      </c>
      <c r="G61" s="67">
        <f>+F14</f>
        <v>16</v>
      </c>
      <c r="N61" s="23">
        <f>+G61*N59</f>
        <v>27814176.165884927</v>
      </c>
      <c r="P61" s="153"/>
      <c r="Q61" s="153"/>
      <c r="R61" s="153"/>
      <c r="S61" s="153"/>
      <c r="T61" s="153"/>
      <c r="U61" s="153"/>
    </row>
    <row r="62" spans="1:21" ht="17.25" customHeight="1" thickBot="1">
      <c r="A62" s="91">
        <f>ROW()</f>
        <v>62</v>
      </c>
      <c r="C62" t="s">
        <v>48</v>
      </c>
      <c r="F62" s="126">
        <v>0.07</v>
      </c>
      <c r="G62" s="96">
        <f>+K9</f>
        <v>0.10703446678494234</v>
      </c>
      <c r="N62" s="20">
        <f>+O54/($G$62-$F$62)</f>
        <v>28271294.522374567</v>
      </c>
      <c r="P62" s="153"/>
      <c r="Q62" s="153"/>
      <c r="R62" s="153"/>
      <c r="S62" s="153"/>
      <c r="T62" s="153"/>
      <c r="U62" s="153"/>
    </row>
    <row r="63" spans="1:21" ht="16.5" customHeight="1" thickBot="1">
      <c r="A63" s="91">
        <f>ROW()</f>
        <v>63</v>
      </c>
      <c r="C63" s="17" t="s">
        <v>49</v>
      </c>
      <c r="D63" s="17"/>
      <c r="E63" s="17"/>
      <c r="G63" s="22"/>
      <c r="N63" s="54">
        <f>+(N61+N62)/2</f>
        <v>28042735.34412975</v>
      </c>
      <c r="P63" s="185"/>
      <c r="Q63" s="185"/>
      <c r="R63" s="185"/>
      <c r="S63" s="185"/>
      <c r="T63" s="185"/>
      <c r="U63" s="185"/>
    </row>
    <row r="64" spans="1:21" ht="14.25" thickBot="1" thickTop="1">
      <c r="A64" s="91">
        <f>ROW()</f>
        <v>64</v>
      </c>
      <c r="C64" t="s">
        <v>30</v>
      </c>
      <c r="G64" s="22"/>
      <c r="N64" s="27">
        <f>+N20+N29</f>
        <v>5548400</v>
      </c>
      <c r="P64" s="174"/>
      <c r="Q64" s="175"/>
      <c r="R64" s="154"/>
      <c r="S64" s="154"/>
      <c r="T64" s="154"/>
      <c r="U64" s="154"/>
    </row>
    <row r="65" spans="1:21" ht="12.75">
      <c r="A65" s="91">
        <f>ROW()</f>
        <v>65</v>
      </c>
      <c r="C65" t="s">
        <v>31</v>
      </c>
      <c r="G65" s="23"/>
      <c r="N65" s="23">
        <f>+N63-N64</f>
        <v>22494335.34412975</v>
      </c>
      <c r="P65" s="155"/>
      <c r="Q65" s="156"/>
      <c r="R65" s="157"/>
      <c r="S65" s="157"/>
      <c r="T65" s="157"/>
      <c r="U65" s="157"/>
    </row>
    <row r="66" spans="1:21" ht="13.5" customHeight="1">
      <c r="A66" s="91">
        <f>ROW()</f>
        <v>66</v>
      </c>
      <c r="G66" s="22"/>
      <c r="N66" s="22"/>
      <c r="P66" s="172"/>
      <c r="Q66" s="158"/>
      <c r="R66" s="159"/>
      <c r="S66" s="160"/>
      <c r="T66" s="161"/>
      <c r="U66" s="159"/>
    </row>
    <row r="67" spans="1:21" ht="13.5" thickBot="1">
      <c r="A67" s="91">
        <f>ROW()</f>
        <v>67</v>
      </c>
      <c r="C67" t="s">
        <v>28</v>
      </c>
      <c r="G67" s="56">
        <f>-G8</f>
        <v>-10899200</v>
      </c>
      <c r="H67" s="55">
        <f>+H57+H63-H64</f>
        <v>423223.11085714254</v>
      </c>
      <c r="I67" s="55">
        <f>+I57+I63-I64</f>
        <v>418104.0758171425</v>
      </c>
      <c r="J67" s="55">
        <f>+J57+J63-J64</f>
        <v>442083.91792434297</v>
      </c>
      <c r="K67" s="55">
        <f>+K57+K63-K64</f>
        <v>456175.1395070461</v>
      </c>
      <c r="L67" s="55">
        <f>+L57+L63-L64</f>
        <v>402248.6667285401</v>
      </c>
      <c r="M67" s="55"/>
      <c r="N67" s="56">
        <f>+N65+N57</f>
        <v>22777564.374841288</v>
      </c>
      <c r="P67" s="172"/>
      <c r="Q67" s="158"/>
      <c r="R67" s="159"/>
      <c r="S67" s="159"/>
      <c r="T67" s="159"/>
      <c r="U67" s="159"/>
    </row>
    <row r="68" spans="1:21" ht="13.5" thickTop="1">
      <c r="A68" s="91">
        <f>ROW()</f>
        <v>68</v>
      </c>
      <c r="G68" s="26"/>
      <c r="H68" s="30" t="s">
        <v>32</v>
      </c>
      <c r="I68" s="30" t="s">
        <v>32</v>
      </c>
      <c r="J68" s="30" t="s">
        <v>32</v>
      </c>
      <c r="K68" s="30" t="s">
        <v>32</v>
      </c>
      <c r="L68" s="30" t="s">
        <v>32</v>
      </c>
      <c r="M68" s="32"/>
      <c r="N68" s="32" t="s">
        <v>32</v>
      </c>
      <c r="P68" s="172"/>
      <c r="Q68" s="158"/>
      <c r="R68" s="159"/>
      <c r="S68" s="159"/>
      <c r="T68" s="159"/>
      <c r="U68" s="159"/>
    </row>
    <row r="69" spans="1:21" ht="13.5" thickBot="1">
      <c r="A69" s="91">
        <f>ROW()</f>
        <v>69</v>
      </c>
      <c r="C69" s="31" t="s">
        <v>56</v>
      </c>
      <c r="D69" s="31"/>
      <c r="E69" s="31"/>
      <c r="F69" s="31"/>
      <c r="G69" s="97">
        <f>+I8</f>
        <v>0.146225</v>
      </c>
      <c r="H69" s="102">
        <f>(1/(1+$G69))^1</f>
        <v>0.872429060612009</v>
      </c>
      <c r="I69" s="102">
        <f>(1/(1+$G69))^2</f>
        <v>0.7611324658003524</v>
      </c>
      <c r="J69" s="102">
        <f>(1/(1+$G69))^3</f>
        <v>0.6640340821395035</v>
      </c>
      <c r="K69" s="102">
        <f>(1/(1+$G69))^4</f>
        <v>0.5793226304953246</v>
      </c>
      <c r="L69" s="102">
        <f>(1/(1+$G69))^5</f>
        <v>0.505417898314314</v>
      </c>
      <c r="M69" s="102"/>
      <c r="N69" s="102">
        <f>(1/(1+$G69))^6</f>
        <v>0.44094126224285285</v>
      </c>
      <c r="P69" s="172"/>
      <c r="Q69" s="158"/>
      <c r="R69" s="159"/>
      <c r="S69" s="159"/>
      <c r="T69" s="159"/>
      <c r="U69" s="159"/>
    </row>
    <row r="70" spans="1:21" ht="13.5" thickBot="1">
      <c r="A70" s="91">
        <f>ROW()</f>
        <v>70</v>
      </c>
      <c r="C70" s="31" t="s">
        <v>57</v>
      </c>
      <c r="D70" s="31"/>
      <c r="E70" s="31"/>
      <c r="F70" s="31"/>
      <c r="G70" s="39">
        <f>SUM(H70:N70)</f>
        <v>11492167.759673616</v>
      </c>
      <c r="H70" s="40">
        <f aca="true" t="shared" si="25" ref="H70:N70">+H69*H67</f>
        <v>369232.14103438903</v>
      </c>
      <c r="I70" s="40">
        <f t="shared" si="25"/>
        <v>318232.58618787915</v>
      </c>
      <c r="J70" s="40">
        <f t="shared" si="25"/>
        <v>293558.7886675267</v>
      </c>
      <c r="K70" s="40">
        <f t="shared" si="25"/>
        <v>264272.5817857936</v>
      </c>
      <c r="L70" s="40">
        <f t="shared" si="25"/>
        <v>203303.67573767368</v>
      </c>
      <c r="M70" s="40"/>
      <c r="N70" s="40">
        <f t="shared" si="25"/>
        <v>10043567.986260355</v>
      </c>
      <c r="P70" s="172"/>
      <c r="Q70" s="158"/>
      <c r="R70" s="159"/>
      <c r="S70" s="159"/>
      <c r="T70" s="159"/>
      <c r="U70" s="159"/>
    </row>
    <row r="71" spans="1:21" ht="12.75" customHeight="1">
      <c r="A71" s="91">
        <f>ROW()</f>
        <v>71</v>
      </c>
      <c r="C71" s="31"/>
      <c r="D71" s="31"/>
      <c r="E71" s="31"/>
      <c r="F71" s="31"/>
      <c r="G71" s="31"/>
      <c r="H71" s="40"/>
      <c r="I71" s="40"/>
      <c r="J71" s="40"/>
      <c r="K71" s="40"/>
      <c r="L71" s="40"/>
      <c r="M71" s="40"/>
      <c r="N71" s="40"/>
      <c r="P71" s="172"/>
      <c r="Q71" s="158"/>
      <c r="R71" s="159"/>
      <c r="S71" s="159"/>
      <c r="T71" s="159"/>
      <c r="U71" s="159"/>
    </row>
    <row r="72" spans="1:21" ht="12.75">
      <c r="A72" s="91">
        <f>ROW()</f>
        <v>72</v>
      </c>
      <c r="C72" s="31" t="s">
        <v>33</v>
      </c>
      <c r="D72" s="31"/>
      <c r="E72" s="31"/>
      <c r="F72" s="31"/>
      <c r="G72" s="34">
        <f>+G67</f>
        <v>-10899200</v>
      </c>
      <c r="H72" s="33"/>
      <c r="P72" s="172"/>
      <c r="Q72" s="158"/>
      <c r="R72" s="159"/>
      <c r="S72" s="159"/>
      <c r="T72" s="159"/>
      <c r="U72" s="159"/>
    </row>
    <row r="73" spans="1:21" ht="13.5" thickBot="1">
      <c r="A73" s="91">
        <f>ROW()</f>
        <v>73</v>
      </c>
      <c r="C73" s="31" t="s">
        <v>34</v>
      </c>
      <c r="D73" s="31"/>
      <c r="E73" s="31"/>
      <c r="F73" s="31"/>
      <c r="G73" s="29">
        <f>+G70+G72</f>
        <v>592967.7596736159</v>
      </c>
      <c r="P73" s="172"/>
      <c r="Q73" s="158"/>
      <c r="R73" s="159"/>
      <c r="S73" s="159"/>
      <c r="T73" s="159"/>
      <c r="U73" s="159"/>
    </row>
    <row r="74" spans="1:21" ht="14.25" customHeight="1" thickBot="1" thickTop="1">
      <c r="A74" s="91">
        <f>ROW()</f>
        <v>74</v>
      </c>
      <c r="C74" s="31"/>
      <c r="D74" s="31"/>
      <c r="E74" s="31"/>
      <c r="F74" s="31"/>
      <c r="G74" s="35"/>
      <c r="H74" s="33"/>
      <c r="P74" s="172"/>
      <c r="Q74" s="158"/>
      <c r="R74" s="159"/>
      <c r="S74" s="159"/>
      <c r="T74" s="159"/>
      <c r="U74" s="159"/>
    </row>
    <row r="75" spans="1:21" ht="12.75" customHeight="1" thickBot="1">
      <c r="A75" s="91">
        <f>ROW()</f>
        <v>75</v>
      </c>
      <c r="C75" s="31" t="s">
        <v>35</v>
      </c>
      <c r="D75" s="31"/>
      <c r="E75" s="31"/>
      <c r="F75" s="31"/>
      <c r="G75" s="53">
        <f>IRR(G67:N67)</f>
        <v>0.15715613382200178</v>
      </c>
      <c r="P75" s="173"/>
      <c r="Q75" s="158"/>
      <c r="R75" s="159"/>
      <c r="S75" s="159"/>
      <c r="T75" s="159"/>
      <c r="U75" s="159"/>
    </row>
    <row r="76" spans="1:21" ht="13.5" thickBot="1">
      <c r="A76" s="91">
        <f>ROW()</f>
        <v>76</v>
      </c>
      <c r="P76" s="153"/>
      <c r="Q76" s="153"/>
      <c r="R76" s="153"/>
      <c r="S76" s="153"/>
      <c r="T76" s="153"/>
      <c r="U76" s="153"/>
    </row>
    <row r="77" spans="1:20" ht="15" customHeight="1" thickBot="1">
      <c r="A77" s="91">
        <f>ROW()</f>
        <v>77</v>
      </c>
      <c r="C77" s="49" t="s">
        <v>107</v>
      </c>
      <c r="D77" s="49"/>
      <c r="E77" s="49"/>
      <c r="F77" s="49"/>
      <c r="G77" s="50"/>
      <c r="H77" s="50"/>
      <c r="I77" s="50"/>
      <c r="J77" s="50"/>
      <c r="K77" s="50"/>
      <c r="L77" s="50"/>
      <c r="M77" s="50"/>
      <c r="N77" s="51"/>
      <c r="O77" s="52"/>
      <c r="P77" s="50"/>
      <c r="Q77" s="50"/>
      <c r="R77" s="50"/>
      <c r="S77" s="50"/>
      <c r="T77" s="50"/>
    </row>
    <row r="78" spans="1:14" ht="16.5" customHeight="1">
      <c r="A78" s="91">
        <f>ROW()</f>
        <v>78</v>
      </c>
      <c r="C78" s="1" t="s">
        <v>39</v>
      </c>
      <c r="D78" s="1"/>
      <c r="E78" s="1"/>
      <c r="F78" s="1"/>
      <c r="G78" s="87" t="s">
        <v>25</v>
      </c>
      <c r="H78" s="88" t="s">
        <v>19</v>
      </c>
      <c r="I78" s="88" t="s">
        <v>20</v>
      </c>
      <c r="J78" s="88" t="s">
        <v>21</v>
      </c>
      <c r="K78" s="88" t="s">
        <v>22</v>
      </c>
      <c r="L78" s="88" t="s">
        <v>23</v>
      </c>
      <c r="M78" s="88"/>
      <c r="N78" s="87" t="s">
        <v>12</v>
      </c>
    </row>
    <row r="79" spans="1:14" ht="13.5" thickBot="1">
      <c r="A79" s="91">
        <f>ROW()</f>
        <v>79</v>
      </c>
      <c r="G79" s="92">
        <v>2014</v>
      </c>
      <c r="H79" s="90">
        <f>+G79+1</f>
        <v>2015</v>
      </c>
      <c r="I79" s="90">
        <f>+H79+1</f>
        <v>2016</v>
      </c>
      <c r="J79" s="90">
        <f>+I79+1</f>
        <v>2017</v>
      </c>
      <c r="K79" s="90">
        <f>+J79+1</f>
        <v>2018</v>
      </c>
      <c r="L79" s="90">
        <f>+K79+1</f>
        <v>2019</v>
      </c>
      <c r="M79" s="90"/>
      <c r="N79" s="89">
        <f>+L79+1</f>
        <v>2020</v>
      </c>
    </row>
    <row r="80" spans="1:21" ht="12.75">
      <c r="A80" s="91">
        <f>ROW()</f>
        <v>80</v>
      </c>
      <c r="P80" s="153"/>
      <c r="Q80" s="153"/>
      <c r="R80" s="153"/>
      <c r="S80" s="153"/>
      <c r="T80" s="153"/>
      <c r="U80" s="153"/>
    </row>
    <row r="81" spans="1:14" ht="12.75">
      <c r="A81" s="91">
        <f>ROW()</f>
        <v>81</v>
      </c>
      <c r="C81" s="190" t="s">
        <v>108</v>
      </c>
      <c r="G81" s="18">
        <f>+G20</f>
        <v>3640000</v>
      </c>
      <c r="H81" s="18">
        <f>+H20</f>
        <v>3640000</v>
      </c>
      <c r="I81" s="18">
        <f>+I20</f>
        <v>3603600</v>
      </c>
      <c r="J81" s="18">
        <f>+J20</f>
        <v>3567200</v>
      </c>
      <c r="K81" s="18">
        <f>+K20</f>
        <v>3494400</v>
      </c>
      <c r="L81" s="18">
        <f>+L20</f>
        <v>3312400</v>
      </c>
      <c r="N81" s="18">
        <f>+N20</f>
        <v>2948400</v>
      </c>
    </row>
    <row r="82" spans="1:14" ht="12.75">
      <c r="A82" s="91">
        <f>ROW()</f>
        <v>82</v>
      </c>
      <c r="C82" s="190" t="s">
        <v>18</v>
      </c>
      <c r="G82" s="18">
        <f>+G35</f>
        <v>6240000</v>
      </c>
      <c r="H82" s="18">
        <f>+H35</f>
        <v>6240000</v>
      </c>
      <c r="I82" s="18">
        <f>+I35</f>
        <v>6203600</v>
      </c>
      <c r="J82" s="18">
        <f>+J35</f>
        <v>6167200</v>
      </c>
      <c r="K82" s="18">
        <f>+K35</f>
        <v>6094400</v>
      </c>
      <c r="L82" s="18">
        <f>+L35</f>
        <v>5912400</v>
      </c>
      <c r="N82" s="18">
        <f>+N35</f>
        <v>5548400</v>
      </c>
    </row>
    <row r="83" spans="1:14" ht="12.75">
      <c r="A83" s="91">
        <f>ROW()</f>
        <v>83</v>
      </c>
      <c r="C83" s="190" t="s">
        <v>109</v>
      </c>
      <c r="H83" s="18">
        <f>-H46</f>
        <v>337064.00000000006</v>
      </c>
      <c r="I83" s="18">
        <f>-I46</f>
        <v>355264</v>
      </c>
      <c r="J83" s="18">
        <f>-J46</f>
        <v>389567.36000000004</v>
      </c>
      <c r="K83" s="18">
        <f>-K46</f>
        <v>387470.7200000001</v>
      </c>
      <c r="L83" s="18">
        <f>-L46</f>
        <v>383277.44000000006</v>
      </c>
      <c r="N83" s="18">
        <f>-N46</f>
        <v>372794.24000000005</v>
      </c>
    </row>
    <row r="84" ht="12.75">
      <c r="A84" s="91">
        <f>ROW()</f>
        <v>84</v>
      </c>
    </row>
    <row r="85" spans="1:14" ht="12.75">
      <c r="A85" s="91">
        <f>ROW()</f>
        <v>85</v>
      </c>
      <c r="C85" s="190" t="s">
        <v>87</v>
      </c>
      <c r="G85" s="18">
        <f>+G59</f>
        <v>1040000</v>
      </c>
      <c r="H85" s="18">
        <f>+H59</f>
        <v>1239445.1999999997</v>
      </c>
      <c r="I85" s="18">
        <f>+I59</f>
        <v>1326206.3639999996</v>
      </c>
      <c r="J85" s="18">
        <f>+J59</f>
        <v>1419040.8094800003</v>
      </c>
      <c r="K85" s="18">
        <f>+K59</f>
        <v>1518373.666143599</v>
      </c>
      <c r="L85" s="18">
        <f>+L59</f>
        <v>1624659.822773652</v>
      </c>
      <c r="N85" s="18">
        <f>+N59</f>
        <v>1738386.010367808</v>
      </c>
    </row>
    <row r="86" ht="12.75">
      <c r="A86" s="91">
        <f>ROW()</f>
        <v>86</v>
      </c>
    </row>
    <row r="87" spans="1:14" ht="12.75">
      <c r="A87" s="91">
        <f>ROW()</f>
        <v>87</v>
      </c>
      <c r="C87" s="190" t="s">
        <v>110</v>
      </c>
      <c r="G87" s="193">
        <f>+G81/G85</f>
        <v>3.5</v>
      </c>
      <c r="H87" s="193">
        <f aca="true" t="shared" si="26" ref="H87:N87">+H81/H85</f>
        <v>2.936797851167604</v>
      </c>
      <c r="I87" s="193">
        <f t="shared" si="26"/>
        <v>2.717224180052269</v>
      </c>
      <c r="J87" s="193">
        <f t="shared" si="26"/>
        <v>2.5138107207129448</v>
      </c>
      <c r="K87" s="193">
        <f t="shared" si="26"/>
        <v>2.301409776735103</v>
      </c>
      <c r="L87" s="193">
        <f t="shared" si="26"/>
        <v>2.0388268076605747</v>
      </c>
      <c r="N87" s="193">
        <f t="shared" si="26"/>
        <v>1.6960559866540672</v>
      </c>
    </row>
    <row r="88" spans="1:14" ht="12.75">
      <c r="A88" s="91">
        <f>ROW()</f>
        <v>88</v>
      </c>
      <c r="C88" s="190" t="s">
        <v>111</v>
      </c>
      <c r="G88" s="193">
        <f>+G82/G59</f>
        <v>6</v>
      </c>
      <c r="H88" s="193">
        <f>+H82/H59</f>
        <v>5.034510602001606</v>
      </c>
      <c r="I88" s="193">
        <f>+I82/I59</f>
        <v>4.6777033864391875</v>
      </c>
      <c r="J88" s="193">
        <f>+J82/J59</f>
        <v>4.346034278083896</v>
      </c>
      <c r="K88" s="193">
        <f>+K82/K59</f>
        <v>4.013768241567769</v>
      </c>
      <c r="L88" s="193">
        <f>+L82/L59</f>
        <v>3.6391618215228783</v>
      </c>
      <c r="N88" s="193">
        <f>+N82/N59</f>
        <v>3.1916961865253786</v>
      </c>
    </row>
    <row r="89" spans="1:14" ht="12.75">
      <c r="A89" s="91">
        <f>ROW()</f>
        <v>89</v>
      </c>
      <c r="C89" s="190" t="s">
        <v>112</v>
      </c>
      <c r="G89" s="193"/>
      <c r="H89" s="193">
        <f>+H59/-H46</f>
        <v>3.6771805947831853</v>
      </c>
      <c r="I89" s="193">
        <f>+I59/-I46</f>
        <v>3.73301647225725</v>
      </c>
      <c r="J89" s="193">
        <f>+J59/-J46</f>
        <v>3.642607043567511</v>
      </c>
      <c r="K89" s="193">
        <f>+K59/-K46</f>
        <v>3.918679755062779</v>
      </c>
      <c r="L89" s="193">
        <f>+L59/-L46</f>
        <v>4.238861078736207</v>
      </c>
      <c r="N89" s="193">
        <f>+N59/-N46</f>
        <v>4.663124651195812</v>
      </c>
    </row>
    <row r="90" spans="1:14" ht="12.75">
      <c r="A90" s="91">
        <f>ROW()</f>
        <v>90</v>
      </c>
      <c r="C90" s="190" t="s">
        <v>113</v>
      </c>
      <c r="G90" s="193"/>
      <c r="H90" s="193">
        <f>+H54/-H56</f>
        <v>2.2556164730055492</v>
      </c>
      <c r="I90" s="193">
        <f>+I54/-I56</f>
        <v>2.06750703617678</v>
      </c>
      <c r="J90" s="193">
        <f>+J54/-J56</f>
        <v>2.0378351945189954</v>
      </c>
      <c r="K90" s="193">
        <f>+K54/-K56</f>
        <v>1.9911018009293444</v>
      </c>
      <c r="L90" s="193">
        <f>+L54/-L56</f>
        <v>1.7115951181928295</v>
      </c>
      <c r="N90" s="193">
        <f>+N54/-N56</f>
        <v>1.3844072270591288</v>
      </c>
    </row>
    <row r="91" spans="1:15" ht="13.5" thickBot="1">
      <c r="A91" s="91">
        <f>ROW()</f>
        <v>91</v>
      </c>
      <c r="H91" s="19"/>
      <c r="J91" s="19"/>
      <c r="K91" s="19"/>
      <c r="L91" s="19"/>
      <c r="N91" s="19"/>
      <c r="O91" s="19"/>
    </row>
    <row r="92" spans="1:20" ht="15" customHeight="1" thickBot="1">
      <c r="A92" s="91">
        <f>ROW()</f>
        <v>92</v>
      </c>
      <c r="C92" s="49" t="s">
        <v>102</v>
      </c>
      <c r="D92" s="49"/>
      <c r="E92" s="49"/>
      <c r="F92" s="49"/>
      <c r="G92" s="50"/>
      <c r="H92" s="50"/>
      <c r="I92" s="50"/>
      <c r="J92" s="50"/>
      <c r="K92" s="50"/>
      <c r="L92" s="50"/>
      <c r="M92" s="50"/>
      <c r="N92" s="51"/>
      <c r="O92" s="52"/>
      <c r="P92" s="50"/>
      <c r="Q92" s="50"/>
      <c r="R92" s="50"/>
      <c r="S92" s="50"/>
      <c r="T92" s="50"/>
    </row>
    <row r="93" spans="1:15" ht="12.75">
      <c r="A93" s="91">
        <f>ROW()</f>
        <v>93</v>
      </c>
      <c r="C93" s="190" t="s">
        <v>105</v>
      </c>
      <c r="D93" s="191" t="s">
        <v>106</v>
      </c>
      <c r="H93" s="19"/>
      <c r="J93" s="19"/>
      <c r="K93" s="19"/>
      <c r="L93" s="19"/>
      <c r="N93" s="19"/>
      <c r="O93" s="19"/>
    </row>
    <row r="94" spans="1:15" ht="12.75">
      <c r="A94" s="91">
        <f>ROW()</f>
        <v>94</v>
      </c>
      <c r="C94" s="190" t="s">
        <v>101</v>
      </c>
      <c r="D94" s="191" t="s">
        <v>100</v>
      </c>
      <c r="H94" s="19"/>
      <c r="J94" s="19"/>
      <c r="K94" s="19"/>
      <c r="L94" s="19"/>
      <c r="N94" s="19"/>
      <c r="O94" s="19"/>
    </row>
    <row r="95" spans="1:10" ht="12.75">
      <c r="A95" s="91">
        <f>ROW()</f>
        <v>95</v>
      </c>
      <c r="C95" s="190" t="s">
        <v>104</v>
      </c>
      <c r="D95" s="191" t="s">
        <v>103</v>
      </c>
      <c r="H95" s="19"/>
      <c r="J95" s="19"/>
    </row>
    <row r="96" spans="1:8" ht="12.75">
      <c r="A96" s="91">
        <f>ROW()</f>
        <v>96</v>
      </c>
      <c r="H96" s="19"/>
    </row>
    <row r="97" spans="1:8" ht="12.75">
      <c r="A97" s="91">
        <f>ROW()</f>
        <v>97</v>
      </c>
      <c r="H97" s="19"/>
    </row>
    <row r="98" spans="1:8" ht="12.75">
      <c r="A98" s="91">
        <f>ROW()</f>
        <v>98</v>
      </c>
      <c r="H98" s="19"/>
    </row>
    <row r="99" spans="1:8" ht="12.75">
      <c r="A99" s="91">
        <f>ROW()</f>
        <v>99</v>
      </c>
      <c r="H99" s="19"/>
    </row>
    <row r="100" spans="1:8" ht="12.75">
      <c r="A100" s="91">
        <f>ROW()</f>
        <v>100</v>
      </c>
      <c r="H100" s="19"/>
    </row>
    <row r="101" spans="1:8" ht="12.75">
      <c r="A101" s="91">
        <f>ROW()</f>
        <v>101</v>
      </c>
      <c r="H101" s="19"/>
    </row>
    <row r="102" spans="1:8" ht="12.75">
      <c r="A102" s="91">
        <f>ROW()</f>
        <v>102</v>
      </c>
      <c r="H102" s="19"/>
    </row>
    <row r="103" spans="1:8" ht="12.75">
      <c r="A103" s="91">
        <f>ROW()</f>
        <v>103</v>
      </c>
      <c r="H103" s="19"/>
    </row>
    <row r="104" spans="1:8" ht="12.75">
      <c r="A104" s="91">
        <f>ROW()</f>
        <v>104</v>
      </c>
      <c r="H104" s="19"/>
    </row>
    <row r="105" spans="1:8" ht="12.75">
      <c r="A105" s="91">
        <f>ROW()</f>
        <v>105</v>
      </c>
      <c r="H105" s="19"/>
    </row>
    <row r="106" spans="1:8" ht="12.75">
      <c r="A106" s="91">
        <f>ROW()</f>
        <v>106</v>
      </c>
      <c r="H106" s="19"/>
    </row>
    <row r="107" spans="1:8" ht="12.75">
      <c r="A107" s="91">
        <f>ROW()</f>
        <v>107</v>
      </c>
      <c r="H107" s="19"/>
    </row>
    <row r="108" spans="1:8" ht="12.75">
      <c r="A108" s="91">
        <f>ROW()</f>
        <v>108</v>
      </c>
      <c r="H108" s="19"/>
    </row>
    <row r="109" spans="1:8" ht="12.75">
      <c r="A109" s="91">
        <f>ROW()</f>
        <v>109</v>
      </c>
      <c r="H109" s="19"/>
    </row>
    <row r="110" spans="1:8" ht="12.75">
      <c r="A110" s="91">
        <f>ROW()</f>
        <v>110</v>
      </c>
      <c r="H110" s="19"/>
    </row>
    <row r="111" spans="1:8" ht="12.75">
      <c r="A111" s="91">
        <f>ROW()</f>
        <v>111</v>
      </c>
      <c r="H111" s="19"/>
    </row>
    <row r="112" spans="1:8" ht="12.75">
      <c r="A112" s="91">
        <f>ROW()</f>
        <v>112</v>
      </c>
      <c r="H112" s="19"/>
    </row>
    <row r="113" spans="1:8" ht="12.75">
      <c r="A113" s="91">
        <f>ROW()</f>
        <v>113</v>
      </c>
      <c r="H113" s="19"/>
    </row>
    <row r="114" spans="1:8" ht="12.75">
      <c r="A114" s="91">
        <f>ROW()</f>
        <v>114</v>
      </c>
      <c r="H114" s="19"/>
    </row>
    <row r="115" spans="1:8" ht="12.75">
      <c r="A115" s="91">
        <f>ROW()</f>
        <v>115</v>
      </c>
      <c r="H115" s="19"/>
    </row>
    <row r="116" spans="1:8" ht="12.75">
      <c r="A116" s="91">
        <f>ROW()</f>
        <v>116</v>
      </c>
      <c r="H116" s="19"/>
    </row>
    <row r="117" spans="1:8" ht="12.75">
      <c r="A117" s="91">
        <f>ROW()</f>
        <v>117</v>
      </c>
      <c r="H117" s="19"/>
    </row>
    <row r="118" spans="1:8" ht="12.75">
      <c r="A118" s="91">
        <f>ROW()</f>
        <v>118</v>
      </c>
      <c r="H118" s="19"/>
    </row>
    <row r="119" spans="1:8" ht="12.75">
      <c r="A119" s="91">
        <f>ROW()</f>
        <v>119</v>
      </c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</sheetData>
  <sheetProtection/>
  <mergeCells count="7">
    <mergeCell ref="P66:P75"/>
    <mergeCell ref="P64:Q64"/>
    <mergeCell ref="Q4:S4"/>
    <mergeCell ref="N11:P11"/>
    <mergeCell ref="N8:P8"/>
    <mergeCell ref="N4:P4"/>
    <mergeCell ref="P63:U63"/>
  </mergeCells>
  <hyperlinks>
    <hyperlink ref="D94" r:id="rId1" display="http://www.treasury.gov/resource-center/data-chart-center/interest-rates/Pages/TextView.aspx?data=yield "/>
    <hyperlink ref="D93" r:id="rId2" display="http://finance.yahoo.com/"/>
    <hyperlink ref="D95" r:id="rId3" display="http://www.bankrate.com/rates/interest-rates/libor.aspx?ec_id=m1118120&amp;s_kwcid=AL!1325!3!41196777488!e!!g!!libor%20rate&amp;ef_id=Ux9NKQAAAcXzBiC8:20150227133807:s "/>
  </hyperlinks>
  <printOptions/>
  <pageMargins left="0.2" right="0.2" top="0.34" bottom="0.17" header="0.53" footer="0.17"/>
  <pageSetup fitToHeight="1" fitToWidth="1" horizontalDpi="1200" verticalDpi="1200" orientation="landscape" scale="52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Droussiotis</cp:lastModifiedBy>
  <cp:lastPrinted>2012-07-05T15:35:09Z</cp:lastPrinted>
  <dcterms:created xsi:type="dcterms:W3CDTF">2007-12-04T14:52:44Z</dcterms:created>
  <dcterms:modified xsi:type="dcterms:W3CDTF">2015-02-27T14:14:16Z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