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II - SECONDARY MARKETS\CASE STUDIES\EXCEL - CASE STUDIES\"/>
    </mc:Choice>
  </mc:AlternateContent>
  <xr:revisionPtr revIDLastSave="0" documentId="13_ncr:1_{8FA69CC5-4180-4665-9461-62A2E3B93703}" xr6:coauthVersionLast="47" xr6:coauthVersionMax="47" xr10:uidLastSave="{00000000-0000-0000-0000-000000000000}"/>
  <bookViews>
    <workbookView xWindow="-110" yWindow="-110" windowWidth="19420" windowHeight="11500" xr2:uid="{A45004A8-AE8C-4F75-BFD4-00C7C0101642}"/>
  </bookViews>
  <sheets>
    <sheet name="CASE STUDY" sheetId="14" r:id="rId1"/>
    <sheet name="Sheet3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4" l="1"/>
  <c r="B15" i="14"/>
  <c r="C23" i="14" s="1"/>
  <c r="C24" i="14" s="1"/>
  <c r="D25" i="14"/>
  <c r="B25" i="14"/>
  <c r="B34" i="14"/>
  <c r="H38" i="14"/>
  <c r="B40" i="14" s="1"/>
  <c r="H39" i="14"/>
  <c r="B42" i="14" s="1"/>
  <c r="J38" i="14"/>
  <c r="B41" i="14" s="1"/>
  <c r="B14" i="14"/>
  <c r="C25" i="14" s="1"/>
  <c r="D22" i="14"/>
  <c r="B43" i="14" l="1"/>
  <c r="B35" i="14" s="1"/>
  <c r="D23" i="14"/>
  <c r="D24" i="14" s="1"/>
  <c r="C26" i="14"/>
  <c r="B23" i="14"/>
  <c r="B24" i="14" s="1"/>
  <c r="B26" i="14" l="1"/>
  <c r="D26" i="14"/>
  <c r="B113" i="6"/>
  <c r="B114" i="6" s="1"/>
  <c r="B115" i="6" s="1"/>
  <c r="B112" i="6"/>
  <c r="D112" i="6" s="1"/>
  <c r="K111" i="6"/>
  <c r="J111" i="6"/>
  <c r="D95" i="6"/>
  <c r="G95" i="6" s="1"/>
  <c r="D94" i="6"/>
  <c r="G94" i="6" s="1"/>
  <c r="G93" i="6"/>
  <c r="F85" i="6"/>
  <c r="E85" i="6"/>
  <c r="G85" i="6" s="1"/>
  <c r="F84" i="6"/>
  <c r="E84" i="6"/>
  <c r="G84" i="6" s="1"/>
  <c r="F83" i="6"/>
  <c r="E83" i="6"/>
  <c r="F82" i="6"/>
  <c r="E82" i="6"/>
  <c r="G82" i="6" s="1"/>
  <c r="F81" i="6"/>
  <c r="E81" i="6"/>
  <c r="G81" i="6" s="1"/>
  <c r="C69" i="6"/>
  <c r="C68" i="6"/>
  <c r="C67" i="6"/>
  <c r="E64" i="6"/>
  <c r="E69" i="6" s="1"/>
  <c r="F69" i="6" s="1"/>
  <c r="E63" i="6"/>
  <c r="E62" i="6"/>
  <c r="E61" i="6"/>
  <c r="N60" i="6"/>
  <c r="J56" i="6"/>
  <c r="L56" i="6" s="1"/>
  <c r="N56" i="6" s="1"/>
  <c r="C56" i="6"/>
  <c r="E56" i="6" s="1"/>
  <c r="G56" i="6" s="1"/>
  <c r="J55" i="6"/>
  <c r="L55" i="6" s="1"/>
  <c r="N55" i="6" s="1"/>
  <c r="E55" i="6"/>
  <c r="G55" i="6" s="1"/>
  <c r="C55" i="6"/>
  <c r="J54" i="6"/>
  <c r="L54" i="6" s="1"/>
  <c r="N54" i="6" s="1"/>
  <c r="C54" i="6"/>
  <c r="E54" i="6" s="1"/>
  <c r="G54" i="6" s="1"/>
  <c r="H37" i="6"/>
  <c r="I37" i="6" s="1"/>
  <c r="J37" i="6" s="1"/>
  <c r="K37" i="6" s="1"/>
  <c r="F37" i="6"/>
  <c r="G37" i="6" s="1"/>
  <c r="E33" i="6"/>
  <c r="F29" i="6"/>
  <c r="G28" i="6"/>
  <c r="H28" i="6" s="1"/>
  <c r="E23" i="6"/>
  <c r="E26" i="6" s="1"/>
  <c r="K16" i="6"/>
  <c r="N15" i="6"/>
  <c r="N17" i="6" s="1"/>
  <c r="N18" i="6" s="1"/>
  <c r="K14" i="6"/>
  <c r="F14" i="6"/>
  <c r="G14" i="6" s="1"/>
  <c r="F13" i="6"/>
  <c r="G13" i="6" s="1"/>
  <c r="F12" i="6"/>
  <c r="F11" i="6"/>
  <c r="G11" i="6" s="1"/>
  <c r="G10" i="6"/>
  <c r="F10" i="6"/>
  <c r="F9" i="6"/>
  <c r="G9" i="6" s="1"/>
  <c r="E9" i="6"/>
  <c r="C9" i="6"/>
  <c r="F27" i="6" s="1"/>
  <c r="G29" i="6" s="1"/>
  <c r="N57" i="6" l="1"/>
  <c r="K18" i="6"/>
  <c r="D68" i="6"/>
  <c r="G83" i="6"/>
  <c r="E67" i="6"/>
  <c r="F67" i="6" s="1"/>
  <c r="C10" i="6"/>
  <c r="E36" i="6"/>
  <c r="F33" i="6"/>
  <c r="F35" i="6"/>
  <c r="F36" i="6" s="1"/>
  <c r="D67" i="6"/>
  <c r="G67" i="6" s="1"/>
  <c r="I67" i="6" s="1"/>
  <c r="L111" i="6"/>
  <c r="M111" i="6" s="1"/>
  <c r="G111" i="6"/>
  <c r="H111" i="6" s="1"/>
  <c r="K115" i="6"/>
  <c r="B116" i="6"/>
  <c r="C114" i="6"/>
  <c r="E10" i="6"/>
  <c r="H10" i="6" s="1"/>
  <c r="G57" i="6"/>
  <c r="K59" i="6" s="1"/>
  <c r="D114" i="6"/>
  <c r="I28" i="6"/>
  <c r="E68" i="6"/>
  <c r="F68" i="6" s="1"/>
  <c r="G68" i="6" s="1"/>
  <c r="I68" i="6" s="1"/>
  <c r="J113" i="6"/>
  <c r="K113" i="6"/>
  <c r="H9" i="6"/>
  <c r="G12" i="6"/>
  <c r="F23" i="6"/>
  <c r="F25" i="6"/>
  <c r="F26" i="6" s="1"/>
  <c r="E40" i="6"/>
  <c r="D69" i="6"/>
  <c r="G69" i="6" s="1"/>
  <c r="I69" i="6" s="1"/>
  <c r="C112" i="6"/>
  <c r="E112" i="6" s="1"/>
  <c r="E41" i="6" l="1"/>
  <c r="L113" i="6"/>
  <c r="M113" i="6" s="1"/>
  <c r="G113" i="6"/>
  <c r="H113" i="6" s="1"/>
  <c r="J115" i="6"/>
  <c r="E114" i="6"/>
  <c r="C116" i="6"/>
  <c r="B117" i="6"/>
  <c r="D116" i="6"/>
  <c r="I70" i="6"/>
  <c r="E11" i="6"/>
  <c r="H11" i="6" s="1"/>
  <c r="G27" i="6"/>
  <c r="H29" i="6" s="1"/>
  <c r="C11" i="6"/>
  <c r="G25" i="6"/>
  <c r="G26" i="6" s="1"/>
  <c r="F40" i="6" s="1"/>
  <c r="G23" i="6"/>
  <c r="J28" i="6"/>
  <c r="G33" i="6"/>
  <c r="G35" i="6"/>
  <c r="G36" i="6" s="1"/>
  <c r="F41" i="6" s="1"/>
  <c r="F42" i="6" l="1"/>
  <c r="H35" i="6"/>
  <c r="H36" i="6" s="1"/>
  <c r="H33" i="6"/>
  <c r="H23" i="6"/>
  <c r="H25" i="6"/>
  <c r="H26" i="6" s="1"/>
  <c r="H27" i="6"/>
  <c r="I29" i="6" s="1"/>
  <c r="C12" i="6"/>
  <c r="E12" i="6"/>
  <c r="H12" i="6" s="1"/>
  <c r="E116" i="6"/>
  <c r="J117" i="6"/>
  <c r="G115" i="6"/>
  <c r="H115" i="6" s="1"/>
  <c r="L115" i="6"/>
  <c r="M115" i="6" s="1"/>
  <c r="K117" i="6"/>
  <c r="B118" i="6"/>
  <c r="K28" i="6"/>
  <c r="L117" i="6" l="1"/>
  <c r="M117" i="6" s="1"/>
  <c r="G117" i="6"/>
  <c r="H117" i="6" s="1"/>
  <c r="G41" i="6"/>
  <c r="I25" i="6"/>
  <c r="I26" i="6" s="1"/>
  <c r="G40" i="6" s="1"/>
  <c r="I23" i="6"/>
  <c r="D118" i="6"/>
  <c r="C118" i="6"/>
  <c r="B119" i="6"/>
  <c r="I27" i="6"/>
  <c r="J29" i="6" s="1"/>
  <c r="E13" i="6"/>
  <c r="H13" i="6" s="1"/>
  <c r="C13" i="6"/>
  <c r="I33" i="6"/>
  <c r="I35" i="6"/>
  <c r="I36" i="6" s="1"/>
  <c r="G42" i="6" l="1"/>
  <c r="E14" i="6"/>
  <c r="H14" i="6" s="1"/>
  <c r="J27" i="6"/>
  <c r="K29" i="6" s="1"/>
  <c r="C14" i="6"/>
  <c r="K119" i="6"/>
  <c r="B120" i="6"/>
  <c r="J119" i="6"/>
  <c r="E118" i="6"/>
  <c r="J33" i="6"/>
  <c r="J35" i="6"/>
  <c r="J36" i="6" s="1"/>
  <c r="J23" i="6"/>
  <c r="J25" i="6"/>
  <c r="J26" i="6" s="1"/>
  <c r="K35" i="6" l="1"/>
  <c r="K34" i="6"/>
  <c r="K33" i="6" s="1"/>
  <c r="D120" i="6"/>
  <c r="E120" i="6" s="1"/>
  <c r="E121" i="6" s="1"/>
  <c r="F125" i="6" s="1"/>
  <c r="E127" i="6" s="1"/>
  <c r="C120" i="6"/>
  <c r="K24" i="6"/>
  <c r="K23" i="6"/>
  <c r="K25" i="6"/>
  <c r="L119" i="6"/>
  <c r="M119" i="6" s="1"/>
  <c r="M121" i="6" s="1"/>
  <c r="E128" i="6" s="1"/>
  <c r="G119" i="6"/>
  <c r="H119" i="6" s="1"/>
  <c r="H121" i="6" s="1"/>
  <c r="E129" i="6" l="1"/>
  <c r="G129" i="6" s="1"/>
  <c r="K36" i="6"/>
  <c r="H41" i="6" s="1"/>
  <c r="D41" i="6" s="1"/>
  <c r="K26" i="6"/>
  <c r="H40" i="6" s="1"/>
  <c r="H42" i="6" l="1"/>
  <c r="D40" i="6"/>
</calcChain>
</file>

<file path=xl/sharedStrings.xml><?xml version="1.0" encoding="utf-8"?>
<sst xmlns="http://schemas.openxmlformats.org/spreadsheetml/2006/main" count="246" uniqueCount="190">
  <si>
    <t>VOLUME:</t>
  </si>
  <si>
    <t>PRICE:</t>
  </si>
  <si>
    <t>LONG:</t>
  </si>
  <si>
    <t>EXP. DATE:</t>
  </si>
  <si>
    <t xml:space="preserve">TYPE: </t>
  </si>
  <si>
    <t>Cash Basis</t>
  </si>
  <si>
    <t>CONTRACT:</t>
  </si>
  <si>
    <t>NO OF CONTRACTS:</t>
  </si>
  <si>
    <t xml:space="preserve">+ Profit/Loss form Forward Contract </t>
  </si>
  <si>
    <t>Net Payment</t>
  </si>
  <si>
    <t xml:space="preserve">   Increase/Decrease in Spot Prices</t>
  </si>
  <si>
    <t>Transaction on Delivery/Expiration Day</t>
  </si>
  <si>
    <t>Scenarios - Spot Prices</t>
  </si>
  <si>
    <t>Units</t>
  </si>
  <si>
    <t>Price</t>
  </si>
  <si>
    <t>WTI Crude Oil (Nymex)</t>
  </si>
  <si>
    <t>USD/bbl.</t>
  </si>
  <si>
    <t>Brent Crude (ICE)</t>
  </si>
  <si>
    <t>Natural Gas (Nymex)</t>
  </si>
  <si>
    <t>USD/MMBtu</t>
  </si>
  <si>
    <t>Heating Oil (Nymex)</t>
  </si>
  <si>
    <t>%
Change</t>
  </si>
  <si>
    <t>Delivery
Day</t>
  </si>
  <si>
    <t>Energy</t>
  </si>
  <si>
    <t>Volume per 
Contract</t>
  </si>
  <si>
    <t xml:space="preserve">Simple Interest Rate Swap </t>
  </si>
  <si>
    <t>Interest Rate Swap Between 2 Companies</t>
  </si>
  <si>
    <t>Notional Amount =</t>
  </si>
  <si>
    <t>million</t>
  </si>
  <si>
    <t>Fixed Rate =</t>
  </si>
  <si>
    <t>SWAP Rate</t>
  </si>
  <si>
    <t>Time
 (six months)</t>
  </si>
  <si>
    <t>LIBOR
 Rate</t>
  </si>
  <si>
    <t>LIBOR SPEAD</t>
  </si>
  <si>
    <t>Floating Cash Flow Paid by A 
($ mm)</t>
  </si>
  <si>
    <t>Fixed Cash 
Flow
 Paid by XYZ
($ mm)</t>
  </si>
  <si>
    <t>Net 
Cash Flow for XYZ
($ mm)</t>
  </si>
  <si>
    <t>Net 
Cash Flow for A
($ mm)</t>
  </si>
  <si>
    <t>Company A</t>
  </si>
  <si>
    <t>Company B</t>
  </si>
  <si>
    <t>Fixed Rate</t>
  </si>
  <si>
    <t>Float (L+)</t>
  </si>
  <si>
    <t>IR View:</t>
  </si>
  <si>
    <t>Low</t>
  </si>
  <si>
    <t>IR View</t>
  </si>
  <si>
    <t>High</t>
  </si>
  <si>
    <t>Choose:</t>
  </si>
  <si>
    <t>Fixed</t>
  </si>
  <si>
    <t>Float</t>
  </si>
  <si>
    <t>Cash Flow:</t>
  </si>
  <si>
    <t>Pay</t>
  </si>
  <si>
    <t>-(L+1.0%)</t>
  </si>
  <si>
    <t>-LIBOR</t>
  </si>
  <si>
    <t>Company (XYZ) enterer into a Swap Agreement with the Market Maker (A)</t>
  </si>
  <si>
    <t>Receive</t>
  </si>
  <si>
    <t xml:space="preserve">+ L  </t>
  </si>
  <si>
    <t>Net Pay</t>
  </si>
  <si>
    <t xml:space="preserve"> L + 5 bps</t>
  </si>
  <si>
    <t>Savings</t>
  </si>
  <si>
    <t>Simple Interest Rate Swap - Cash Flow - IRR</t>
  </si>
  <si>
    <t>Unhedged</t>
  </si>
  <si>
    <t>Outstanding</t>
  </si>
  <si>
    <t>Increase/Decrease in Principal</t>
  </si>
  <si>
    <t>Interest Payment</t>
  </si>
  <si>
    <t>Total Debt Service</t>
  </si>
  <si>
    <t>LIBOR Rate forward</t>
  </si>
  <si>
    <t>LIBOR Spread</t>
  </si>
  <si>
    <t>Total Interest Rate</t>
  </si>
  <si>
    <t>Hedged</t>
  </si>
  <si>
    <t>SWAP RATE DEBT</t>
  </si>
  <si>
    <t>Effective Cost of Debt</t>
  </si>
  <si>
    <t>Unhedged Cost of Debt</t>
  </si>
  <si>
    <t>Hedged Cost of Debt</t>
  </si>
  <si>
    <t>Savings / (Cost) for Hedging</t>
  </si>
  <si>
    <t xml:space="preserve">Simple Currency Swap </t>
  </si>
  <si>
    <t>COMPANY XYZ</t>
  </si>
  <si>
    <r>
      <t>Bond Par Value (</t>
    </r>
    <r>
      <rPr>
        <b/>
        <sz val="10"/>
        <rFont val="Arial"/>
        <family val="2"/>
      </rPr>
      <t>€</t>
    </r>
    <r>
      <rPr>
        <b/>
        <sz val="10"/>
        <rFont val="Arial"/>
        <family val="2"/>
      </rPr>
      <t>)=</t>
    </r>
  </si>
  <si>
    <t>million Euros</t>
  </si>
  <si>
    <t>Euro-denominated Rate=</t>
  </si>
  <si>
    <t>Dollar-denomiated Rate =</t>
  </si>
  <si>
    <t>Spot Exchange Rate=</t>
  </si>
  <si>
    <t>per €</t>
  </si>
  <si>
    <t>UNHEDGED</t>
  </si>
  <si>
    <t>HEDGED</t>
  </si>
  <si>
    <t xml:space="preserve">Time
</t>
  </si>
  <si>
    <r>
      <t>Unhedged Euro 
Cash Flow
 (</t>
    </r>
    <r>
      <rPr>
        <b/>
        <sz val="10"/>
        <rFont val="Arial"/>
        <family val="2"/>
      </rPr>
      <t>€)</t>
    </r>
  </si>
  <si>
    <t>Forward Exchange Rate</t>
  </si>
  <si>
    <t>Hedges Dollar Cash Flow
($)</t>
  </si>
  <si>
    <t>Present Value of the unhedged Cash Flows
($)</t>
  </si>
  <si>
    <t xml:space="preserve"> 
Cash Flow
 ($)</t>
  </si>
  <si>
    <t>Present Value of the hedged Cash Flows
($)</t>
  </si>
  <si>
    <t>Benefit =</t>
  </si>
  <si>
    <t>Market Maker (A)</t>
  </si>
  <si>
    <t>Disc. Rate</t>
  </si>
  <si>
    <t>Swap Agreement Payment =</t>
  </si>
  <si>
    <t>million bond</t>
  </si>
  <si>
    <t>Swap Agreement Dollar Rate =</t>
  </si>
  <si>
    <t>Swap Agreement Receipt =</t>
  </si>
  <si>
    <t>Euro million bond</t>
  </si>
  <si>
    <t>Swap Agreement Euro Rate =</t>
  </si>
  <si>
    <r>
      <t>Forward Exchange Rate
 ($/</t>
    </r>
    <r>
      <rPr>
        <b/>
        <sz val="10"/>
        <rFont val="Arial"/>
        <family val="2"/>
      </rPr>
      <t>€)</t>
    </r>
  </si>
  <si>
    <t>Received Dollar Interest 
($)</t>
  </si>
  <si>
    <r>
      <t>Pay UnHedged Euro Interest
 (</t>
    </r>
    <r>
      <rPr>
        <b/>
        <sz val="10"/>
        <rFont val="Arial"/>
        <family val="2"/>
      </rPr>
      <t>€</t>
    </r>
    <r>
      <rPr>
        <b/>
        <sz val="10"/>
        <rFont val="Arial"/>
        <family val="2"/>
      </rPr>
      <t>)</t>
    </r>
  </si>
  <si>
    <t>Pay UnHedged Euro Interest
 ($)</t>
  </si>
  <si>
    <t>Net Cash Flow
($)</t>
  </si>
  <si>
    <t>Credit Default Swap</t>
  </si>
  <si>
    <t>Lender A that receivesLIBOR SPREAD</t>
  </si>
  <si>
    <t>Lender A that pays CDS Rate based on Forwards</t>
  </si>
  <si>
    <t xml:space="preserve"> Cash Flow Received from borrower
($ mm)</t>
  </si>
  <si>
    <t xml:space="preserve"> CDS cost paid to counterter party
($ mm)</t>
  </si>
  <si>
    <t xml:space="preserve"> Cash Flow Received 
($ mm)</t>
  </si>
  <si>
    <t xml:space="preserve">Pricing of Nth to default bonds. Assumes the bonds owned as assets have </t>
  </si>
  <si>
    <t>perfectly correlated basis</t>
  </si>
  <si>
    <t>Default</t>
  </si>
  <si>
    <t>Probability</t>
  </si>
  <si>
    <t>Probability N or more</t>
  </si>
  <si>
    <t>Payoffs - Default</t>
  </si>
  <si>
    <t>Payoff - No Default</t>
  </si>
  <si>
    <t>Expected Payoff</t>
  </si>
  <si>
    <t>Yield</t>
  </si>
  <si>
    <t>First</t>
  </si>
  <si>
    <t>Second</t>
  </si>
  <si>
    <t>Third</t>
  </si>
  <si>
    <t>Valuation of Credit Default Swap (CDS) - John Hall's method</t>
  </si>
  <si>
    <t>Assumptions:</t>
  </si>
  <si>
    <t>Notional=</t>
  </si>
  <si>
    <t>PV of Payments    =          PV of Payoff</t>
  </si>
  <si>
    <t>Risk Free Rate=</t>
  </si>
  <si>
    <t>Prob. Of Default=</t>
  </si>
  <si>
    <t>Recovery Rate=</t>
  </si>
  <si>
    <t>Payments by CDS Buyer (Buyer of protection)</t>
  </si>
  <si>
    <t>Payoffs by CDS seller (protection seller)</t>
  </si>
  <si>
    <t>PAYMENT</t>
  </si>
  <si>
    <t>EXPECTED PAYOFF</t>
  </si>
  <si>
    <t>Expected Payments</t>
  </si>
  <si>
    <t>Expected Accrual</t>
  </si>
  <si>
    <t>Time</t>
  </si>
  <si>
    <t>Discount Factor (comp. e)</t>
  </si>
  <si>
    <t>Prob of Survival</t>
  </si>
  <si>
    <t>PV of Exp. Payments</t>
  </si>
  <si>
    <t>PV of Exp. Acrrual</t>
  </si>
  <si>
    <t>Probability of Default</t>
  </si>
  <si>
    <t>% of Notional</t>
  </si>
  <si>
    <t>PV of:</t>
  </si>
  <si>
    <t>TOTAL=</t>
  </si>
  <si>
    <t>Per $1 Notional</t>
  </si>
  <si>
    <t>Total Exp. Pmt</t>
  </si>
  <si>
    <t>Total</t>
  </si>
  <si>
    <t>Exp. Paymants =</t>
  </si>
  <si>
    <t>Exp. Payoff =</t>
  </si>
  <si>
    <t>Solve spread (s) (Exp. Pmt x Spread = Exp./ Payoff)=</t>
  </si>
  <si>
    <t>bps</t>
  </si>
  <si>
    <t>Insurance Payment</t>
  </si>
  <si>
    <t>Cents/gal.</t>
  </si>
  <si>
    <t>April</t>
  </si>
  <si>
    <t>FUTURES CONTRACT</t>
  </si>
  <si>
    <t>(420,000/42,000)</t>
  </si>
  <si>
    <t>ZZZ Airlines, INC.</t>
  </si>
  <si>
    <t xml:space="preserve">April </t>
  </si>
  <si>
    <t>HEATING OIL PRICES ON DELIVERY DAY</t>
  </si>
  <si>
    <t>Cost of Jet Fuel Purchases at Spot Prices</t>
  </si>
  <si>
    <t>Optimum Method</t>
  </si>
  <si>
    <t>(420,000/42,000 * H)</t>
  </si>
  <si>
    <r>
      <t>Monthly Stand. Dev. (</t>
    </r>
    <r>
      <rPr>
        <sz val="11"/>
        <color theme="1"/>
        <rFont val="Calibri"/>
        <family val="2"/>
      </rPr>
      <t>σ) for Spot Price (S)</t>
    </r>
  </si>
  <si>
    <r>
      <t>Monthly Stand. Dev. (</t>
    </r>
    <r>
      <rPr>
        <sz val="11"/>
        <color theme="1"/>
        <rFont val="Calibri"/>
        <family val="2"/>
      </rPr>
      <t>σ) for Future Price (K)</t>
    </r>
  </si>
  <si>
    <t>Corelation between S and K</t>
  </si>
  <si>
    <t>Heating Oil Historical Prices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</si>
  <si>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</si>
  <si>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</si>
  <si>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</si>
  <si>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</si>
  <si>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</si>
  <si>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</si>
  <si>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</si>
  <si>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</si>
  <si>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</si>
  <si>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</si>
  <si>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</si>
  <si>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Month</t>
  </si>
  <si>
    <t xml:space="preserve">Spot </t>
  </si>
  <si>
    <t>Futures</t>
  </si>
  <si>
    <t>Monthly % Changes</t>
  </si>
  <si>
    <t>Stand. Dev</t>
  </si>
  <si>
    <t>gallons</t>
  </si>
  <si>
    <t>Correlation</t>
  </si>
  <si>
    <t>Optimal Hedge Ratio (H)</t>
  </si>
  <si>
    <t xml:space="preserve">FUTURES MARKETS </t>
  </si>
  <si>
    <t>Hedge</t>
  </si>
  <si>
    <t xml:space="preserve"> Hedge</t>
  </si>
  <si>
    <t xml:space="preserve">
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</si>
</sst>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\ 0.00"/>
    <numFmt numFmtId="166" formatCode="_(&quot;$&quot;* #,##0_);_(&quot;$&quot;* \(#,##0\);_(&quot;$&quot;* &quot;-&quot;??_);_(@_)"/>
    <numFmt numFmtId="167" formatCode="[$-409]mmmmm\-yy;@"/>
    <numFmt numFmtId="168" formatCode="0.0%"/>
    <numFmt numFmtId="169" formatCode="0.000%"/>
    <numFmt numFmtId="170" formatCode="0.0000%"/>
    <numFmt numFmtId="171" formatCode="0.0000"/>
    <numFmt numFmtId="172" formatCode="0.0"/>
    <numFmt numFmtId="173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44" fontId="0" fillId="0" borderId="0" xfId="2" applyFont="1"/>
    <xf numFmtId="43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/>
    <xf numFmtId="0" fontId="0" fillId="0" borderId="0" xfId="0" quotePrefix="1"/>
    <xf numFmtId="164" fontId="0" fillId="0" borderId="1" xfId="1" applyNumberFormat="1" applyFont="1" applyBorder="1"/>
    <xf numFmtId="164" fontId="0" fillId="0" borderId="0" xfId="0" applyNumberFormat="1"/>
    <xf numFmtId="166" fontId="0" fillId="0" borderId="0" xfId="2" applyNumberFormat="1" applyFont="1"/>
    <xf numFmtId="165" fontId="0" fillId="0" borderId="0" xfId="0" applyNumberFormat="1"/>
    <xf numFmtId="0" fontId="0" fillId="4" borderId="2" xfId="0" applyFill="1" applyBorder="1"/>
    <xf numFmtId="0" fontId="2" fillId="4" borderId="2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0" borderId="4" xfId="0" applyFont="1" applyBorder="1"/>
    <xf numFmtId="167" fontId="5" fillId="0" borderId="4" xfId="0" quotePrefix="1" applyNumberFormat="1" applyFont="1" applyBorder="1" applyAlignment="1">
      <alignment horizontal="center" vertical="center"/>
    </xf>
    <xf numFmtId="43" fontId="5" fillId="0" borderId="4" xfId="1" applyFont="1" applyBorder="1" applyAlignment="1">
      <alignment horizontal="right" vertical="top"/>
    </xf>
    <xf numFmtId="10" fontId="5" fillId="0" borderId="4" xfId="0" applyNumberFormat="1" applyFont="1" applyBorder="1" applyAlignment="1">
      <alignment horizontal="right" vertical="top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7" fontId="10" fillId="3" borderId="0" xfId="0" applyNumberFormat="1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167" fontId="8" fillId="4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9" fillId="3" borderId="0" xfId="1" applyNumberFormat="1" applyFont="1" applyFill="1" applyAlignment="1">
      <alignment horizontal="right"/>
    </xf>
    <xf numFmtId="164" fontId="8" fillId="4" borderId="4" xfId="1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44" fontId="4" fillId="0" borderId="0" xfId="2" applyFont="1" applyAlignment="1">
      <alignment horizontal="right" wrapText="1"/>
    </xf>
    <xf numFmtId="0" fontId="4" fillId="0" borderId="0" xfId="0" applyFont="1" applyAlignment="1">
      <alignment horizontal="center" wrapText="1"/>
    </xf>
    <xf numFmtId="10" fontId="4" fillId="0" borderId="0" xfId="2" applyNumberFormat="1" applyFont="1" applyAlignment="1">
      <alignment horizontal="right" wrapText="1"/>
    </xf>
    <xf numFmtId="0" fontId="0" fillId="0" borderId="0" xfId="0" applyAlignment="1">
      <alignment horizontal="center" wrapText="1"/>
    </xf>
    <xf numFmtId="0" fontId="4" fillId="2" borderId="5" xfId="0" applyFont="1" applyFill="1" applyBorder="1"/>
    <xf numFmtId="10" fontId="4" fillId="0" borderId="6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10" fontId="0" fillId="0" borderId="0" xfId="0" applyNumberFormat="1" applyAlignment="1">
      <alignment horizontal="center"/>
    </xf>
    <xf numFmtId="10" fontId="0" fillId="0" borderId="0" xfId="3" applyNumberFormat="1" applyFont="1"/>
    <xf numFmtId="43" fontId="0" fillId="0" borderId="0" xfId="1" applyFont="1"/>
    <xf numFmtId="44" fontId="0" fillId="0" borderId="0" xfId="0" applyNumberFormat="1"/>
    <xf numFmtId="0" fontId="13" fillId="0" borderId="0" xfId="0" applyFont="1"/>
    <xf numFmtId="10" fontId="0" fillId="0" borderId="0" xfId="0" applyNumberFormat="1"/>
    <xf numFmtId="168" fontId="0" fillId="0" borderId="0" xfId="0" quotePrefix="1" applyNumberFormat="1" applyAlignment="1">
      <alignment horizontal="right"/>
    </xf>
    <xf numFmtId="0" fontId="0" fillId="0" borderId="2" xfId="0" applyBorder="1"/>
    <xf numFmtId="0" fontId="0" fillId="0" borderId="0" xfId="0" quotePrefix="1" applyAlignment="1">
      <alignment horizontal="right"/>
    </xf>
    <xf numFmtId="10" fontId="0" fillId="0" borderId="0" xfId="0" quotePrefix="1" applyNumberFormat="1" applyAlignment="1">
      <alignment horizontal="right"/>
    </xf>
    <xf numFmtId="10" fontId="0" fillId="0" borderId="0" xfId="0" quotePrefix="1" applyNumberFormat="1"/>
    <xf numFmtId="10" fontId="0" fillId="0" borderId="1" xfId="0" applyNumberFormat="1" applyBorder="1"/>
    <xf numFmtId="0" fontId="4" fillId="0" borderId="0" xfId="0" applyFont="1" applyAlignment="1">
      <alignment horizontal="center"/>
    </xf>
    <xf numFmtId="0" fontId="4" fillId="2" borderId="2" xfId="0" applyFont="1" applyFill="1" applyBorder="1"/>
    <xf numFmtId="169" fontId="0" fillId="0" borderId="0" xfId="0" applyNumberFormat="1"/>
    <xf numFmtId="169" fontId="14" fillId="0" borderId="0" xfId="3" applyNumberFormat="1" applyFont="1"/>
    <xf numFmtId="169" fontId="0" fillId="0" borderId="0" xfId="3" applyNumberFormat="1" applyFont="1"/>
    <xf numFmtId="0" fontId="4" fillId="2" borderId="2" xfId="0" applyFont="1" applyFill="1" applyBorder="1" applyAlignment="1">
      <alignment horizontal="center" wrapText="1"/>
    </xf>
    <xf numFmtId="170" fontId="0" fillId="0" borderId="0" xfId="0" applyNumberFormat="1"/>
    <xf numFmtId="170" fontId="0" fillId="0" borderId="2" xfId="0" applyNumberFormat="1" applyBorder="1"/>
    <xf numFmtId="43" fontId="0" fillId="0" borderId="2" xfId="0" applyNumberFormat="1" applyBorder="1"/>
    <xf numFmtId="0" fontId="15" fillId="0" borderId="0" xfId="0" applyFont="1"/>
    <xf numFmtId="0" fontId="4" fillId="0" borderId="2" xfId="0" applyFont="1" applyBorder="1"/>
    <xf numFmtId="2" fontId="0" fillId="0" borderId="0" xfId="0" applyNumberFormat="1"/>
    <xf numFmtId="171" fontId="0" fillId="0" borderId="0" xfId="0" applyNumberFormat="1"/>
    <xf numFmtId="8" fontId="0" fillId="0" borderId="0" xfId="0" applyNumberFormat="1"/>
    <xf numFmtId="8" fontId="4" fillId="2" borderId="1" xfId="0" applyNumberFormat="1" applyFont="1" applyFill="1" applyBorder="1"/>
    <xf numFmtId="0" fontId="4" fillId="2" borderId="7" xfId="0" applyFont="1" applyFill="1" applyBorder="1" applyAlignment="1">
      <alignment horizontal="right"/>
    </xf>
    <xf numFmtId="8" fontId="4" fillId="2" borderId="8" xfId="0" applyNumberFormat="1" applyFont="1" applyFill="1" applyBorder="1"/>
    <xf numFmtId="0" fontId="4" fillId="0" borderId="7" xfId="0" applyFont="1" applyBorder="1"/>
    <xf numFmtId="10" fontId="4" fillId="0" borderId="8" xfId="0" applyNumberFormat="1" applyFont="1" applyBorder="1"/>
    <xf numFmtId="0" fontId="16" fillId="6" borderId="7" xfId="0" applyFont="1" applyFill="1" applyBorder="1"/>
    <xf numFmtId="0" fontId="16" fillId="6" borderId="9" xfId="0" applyFont="1" applyFill="1" applyBorder="1"/>
    <xf numFmtId="0" fontId="16" fillId="0" borderId="9" xfId="0" applyFont="1" applyBorder="1"/>
    <xf numFmtId="0" fontId="0" fillId="7" borderId="9" xfId="0" applyFill="1" applyBorder="1"/>
    <xf numFmtId="0" fontId="0" fillId="7" borderId="8" xfId="0" applyFill="1" applyBorder="1"/>
    <xf numFmtId="9" fontId="0" fillId="0" borderId="0" xfId="0" applyNumberFormat="1"/>
    <xf numFmtId="0" fontId="4" fillId="2" borderId="3" xfId="0" applyFont="1" applyFill="1" applyBorder="1"/>
    <xf numFmtId="0" fontId="0" fillId="2" borderId="3" xfId="0" applyFill="1" applyBorder="1"/>
    <xf numFmtId="0" fontId="4" fillId="6" borderId="3" xfId="0" applyFont="1" applyFill="1" applyBorder="1" applyAlignment="1">
      <alignment wrapText="1"/>
    </xf>
    <xf numFmtId="0" fontId="4" fillId="6" borderId="9" xfId="0" applyFont="1" applyFill="1" applyBorder="1" applyAlignment="1">
      <alignment wrapText="1"/>
    </xf>
    <xf numFmtId="0" fontId="4" fillId="7" borderId="3" xfId="0" applyFont="1" applyFill="1" applyBorder="1" applyAlignment="1">
      <alignment wrapText="1"/>
    </xf>
    <xf numFmtId="172" fontId="0" fillId="0" borderId="0" xfId="0" applyNumberFormat="1"/>
    <xf numFmtId="173" fontId="0" fillId="0" borderId="0" xfId="0" applyNumberFormat="1"/>
    <xf numFmtId="168" fontId="0" fillId="0" borderId="0" xfId="3" applyNumberFormat="1" applyFont="1"/>
    <xf numFmtId="172" fontId="0" fillId="0" borderId="3" xfId="0" applyNumberFormat="1" applyBorder="1"/>
    <xf numFmtId="173" fontId="0" fillId="0" borderId="3" xfId="0" applyNumberFormat="1" applyBorder="1"/>
    <xf numFmtId="168" fontId="0" fillId="0" borderId="3" xfId="3" applyNumberFormat="1" applyFont="1" applyBorder="1"/>
    <xf numFmtId="0" fontId="0" fillId="0" borderId="3" xfId="0" applyBorder="1"/>
    <xf numFmtId="173" fontId="4" fillId="6" borderId="5" xfId="0" applyNumberFormat="1" applyFont="1" applyFill="1" applyBorder="1"/>
    <xf numFmtId="173" fontId="4" fillId="6" borderId="6" xfId="0" applyNumberFormat="1" applyFont="1" applyFill="1" applyBorder="1"/>
    <xf numFmtId="173" fontId="4" fillId="7" borderId="6" xfId="0" applyNumberFormat="1" applyFont="1" applyFill="1" applyBorder="1"/>
    <xf numFmtId="43" fontId="4" fillId="2" borderId="7" xfId="1" applyFont="1" applyFill="1" applyBorder="1"/>
    <xf numFmtId="0" fontId="4" fillId="2" borderId="8" xfId="0" applyFont="1" applyFill="1" applyBorder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164" fontId="17" fillId="0" borderId="0" xfId="1" applyNumberFormat="1" applyFont="1"/>
    <xf numFmtId="0" fontId="2" fillId="0" borderId="0" xfId="0" applyFont="1"/>
    <xf numFmtId="0" fontId="5" fillId="8" borderId="4" xfId="0" applyFont="1" applyFill="1" applyBorder="1"/>
    <xf numFmtId="164" fontId="5" fillId="8" borderId="4" xfId="1" applyNumberFormat="1" applyFont="1" applyFill="1" applyBorder="1" applyAlignment="1">
      <alignment horizontal="right"/>
    </xf>
    <xf numFmtId="0" fontId="5" fillId="8" borderId="4" xfId="0" applyFont="1" applyFill="1" applyBorder="1" applyAlignment="1">
      <alignment horizontal="center" vertical="top"/>
    </xf>
    <xf numFmtId="43" fontId="5" fillId="8" borderId="4" xfId="1" applyFont="1" applyFill="1" applyBorder="1" applyAlignment="1">
      <alignment horizontal="right" vertical="top"/>
    </xf>
    <xf numFmtId="10" fontId="5" fillId="8" borderId="4" xfId="0" applyNumberFormat="1" applyFont="1" applyFill="1" applyBorder="1" applyAlignment="1">
      <alignment horizontal="right" vertical="top"/>
    </xf>
    <xf numFmtId="0" fontId="7" fillId="8" borderId="0" xfId="0" applyFont="1" applyFill="1"/>
    <xf numFmtId="167" fontId="5" fillId="8" borderId="4" xfId="0" quotePrefix="1" applyNumberFormat="1" applyFont="1" applyFill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 wrapText="1"/>
    </xf>
    <xf numFmtId="165" fontId="5" fillId="0" borderId="3" xfId="2" applyNumberFormat="1" applyFont="1" applyBorder="1" applyAlignment="1">
      <alignment horizontal="center" vertical="center"/>
    </xf>
    <xf numFmtId="165" fontId="5" fillId="0" borderId="2" xfId="2" applyNumberFormat="1" applyFont="1" applyBorder="1" applyAlignment="1">
      <alignment horizontal="center" vertical="center"/>
    </xf>
    <xf numFmtId="0" fontId="18" fillId="3" borderId="0" xfId="0" quotePrefix="1" applyFont="1" applyFill="1"/>
    <xf numFmtId="0" fontId="11" fillId="3" borderId="0" xfId="0" applyFont="1" applyFill="1" applyAlignment="1">
      <alignment horizontal="right"/>
    </xf>
    <xf numFmtId="0" fontId="2" fillId="0" borderId="2" xfId="0" applyFont="1" applyBorder="1"/>
    <xf numFmtId="168" fontId="0" fillId="0" borderId="4" xfId="3" applyNumberFormat="1" applyFont="1" applyBorder="1" applyAlignment="1">
      <alignment horizontal="center"/>
    </xf>
    <xf numFmtId="10" fontId="0" fillId="0" borderId="0" xfId="0" applyNumberFormat="1" applyAlignment="1">
      <alignment horizontal="right"/>
    </xf>
    <xf numFmtId="171" fontId="0" fillId="0" borderId="0" xfId="0" applyNumberForma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168" fontId="0" fillId="0" borderId="0" xfId="3" applyNumberFormat="1" applyFont="1" applyBorder="1" applyAlignment="1">
      <alignment horizontal="center"/>
    </xf>
    <xf numFmtId="168" fontId="0" fillId="0" borderId="19" xfId="3" applyNumberFormat="1" applyFont="1" applyBorder="1" applyAlignment="1">
      <alignment horizontal="center"/>
    </xf>
    <xf numFmtId="0" fontId="0" fillId="0" borderId="16" xfId="0" applyBorder="1"/>
    <xf numFmtId="0" fontId="0" fillId="0" borderId="20" xfId="0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0" fillId="0" borderId="20" xfId="3" applyNumberFormat="1" applyFont="1" applyBorder="1" applyAlignment="1">
      <alignment horizontal="center"/>
    </xf>
    <xf numFmtId="171" fontId="0" fillId="0" borderId="0" xfId="0" applyNumberFormat="1" applyAlignment="1">
      <alignment horizontal="center"/>
    </xf>
    <xf numFmtId="0" fontId="0" fillId="0" borderId="21" xfId="0" applyBorder="1"/>
    <xf numFmtId="0" fontId="0" fillId="0" borderId="22" xfId="0" applyBorder="1"/>
    <xf numFmtId="173" fontId="2" fillId="0" borderId="0" xfId="0" applyNumberFormat="1" applyFont="1" applyAlignment="1">
      <alignment horizontal="right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21167</xdr:colOff>
      <xdr:row>4</xdr:row>
      <xdr:rowOff>55033</xdr:rowOff>
    </xdr:from>
    <xdr:to>
      <xdr:col>10</xdr:col>
      <xdr:colOff>342900</xdr:colOff>
      <xdr:row>6</xdr:row>
      <xdr:rowOff>342900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05ABDCA-FE5E-4A61-9125-3207BC0625CD}"/>
            </a:ext>
          </a:extLst>
        </xdr:cNvPr>
        <xdr:cNvSpPr>
          <a:spLocks noChangeShapeType="1"/>
        </xdr:cNvSpPr>
      </xdr:nvSpPr>
      <xdr:spPr bwMode="auto">
        <a:xfrm flipH="1">
          <a:off x="8048625" y="876300"/>
          <a:ext cx="32385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4233</xdr:colOff>
      <xdr:row>5</xdr:row>
      <xdr:rowOff>4233</xdr:rowOff>
    </xdr:from>
    <xdr:to>
      <xdr:col>13</xdr:col>
      <xdr:colOff>4233</xdr:colOff>
      <xdr:row>6</xdr:row>
      <xdr:rowOff>342900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7DAE10B-B7CC-431D-8262-C19E94B28A2C}"/>
            </a:ext>
          </a:extLst>
        </xdr:cNvPr>
        <xdr:cNvSpPr>
          <a:spLocks noChangeShapeType="1"/>
        </xdr:cNvSpPr>
      </xdr:nvSpPr>
      <xdr:spPr bwMode="auto">
        <a:xfrm>
          <a:off x="9620250" y="1009650"/>
          <a:ext cx="7715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67733</xdr:rowOff>
    </xdr:from>
    <xdr:to>
      <xdr:col>8</xdr:col>
      <xdr:colOff>275167</xdr:colOff>
      <xdr:row>58</xdr:row>
      <xdr:rowOff>33867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E8AA6035-E265-4B7D-8FC1-506D5052B438}"/>
            </a:ext>
          </a:extLst>
        </xdr:cNvPr>
        <xdr:cNvSpPr>
          <a:spLocks noChangeShapeType="1"/>
        </xdr:cNvSpPr>
      </xdr:nvSpPr>
      <xdr:spPr bwMode="auto">
        <a:xfrm>
          <a:off x="5972175" y="12458700"/>
          <a:ext cx="9239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46567</xdr:colOff>
      <xdr:row>57</xdr:row>
      <xdr:rowOff>0</xdr:rowOff>
    </xdr:from>
    <xdr:to>
      <xdr:col>13</xdr:col>
      <xdr:colOff>12700</xdr:colOff>
      <xdr:row>58</xdr:row>
      <xdr:rowOff>59267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3A4B1D29-A4DC-4271-908A-C0D73230719B}"/>
            </a:ext>
          </a:extLst>
        </xdr:cNvPr>
        <xdr:cNvSpPr>
          <a:spLocks noChangeShapeType="1"/>
        </xdr:cNvSpPr>
      </xdr:nvSpPr>
      <xdr:spPr bwMode="auto">
        <a:xfrm flipH="1">
          <a:off x="8858250" y="12582525"/>
          <a:ext cx="15430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194733</xdr:colOff>
      <xdr:row>121</xdr:row>
      <xdr:rowOff>4233</xdr:rowOff>
    </xdr:from>
    <xdr:to>
      <xdr:col>6</xdr:col>
      <xdr:colOff>376767</xdr:colOff>
      <xdr:row>122</xdr:row>
      <xdr:rowOff>8467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FA2EEBE7-1F7A-4F83-A268-AA806868D734}"/>
            </a:ext>
          </a:extLst>
        </xdr:cNvPr>
        <xdr:cNvSpPr>
          <a:spLocks noChangeShapeType="1"/>
        </xdr:cNvSpPr>
      </xdr:nvSpPr>
      <xdr:spPr bwMode="auto">
        <a:xfrm flipV="1">
          <a:off x="5286375" y="26631900"/>
          <a:ext cx="19050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194733</xdr:colOff>
      <xdr:row>121</xdr:row>
      <xdr:rowOff>8467</xdr:rowOff>
    </xdr:from>
    <xdr:to>
      <xdr:col>5</xdr:col>
      <xdr:colOff>16933</xdr:colOff>
      <xdr:row>121</xdr:row>
      <xdr:rowOff>67733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AFDE041C-5260-40F7-9F5C-597D5AE618DE}"/>
            </a:ext>
          </a:extLst>
        </xdr:cNvPr>
        <xdr:cNvSpPr>
          <a:spLocks noChangeShapeType="1"/>
        </xdr:cNvSpPr>
      </xdr:nvSpPr>
      <xdr:spPr bwMode="auto">
        <a:xfrm flipH="1" flipV="1">
          <a:off x="3790950" y="26641425"/>
          <a:ext cx="600075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101600</xdr:colOff>
      <xdr:row>121</xdr:row>
      <xdr:rowOff>21167</xdr:rowOff>
    </xdr:from>
    <xdr:to>
      <xdr:col>12</xdr:col>
      <xdr:colOff>186267</xdr:colOff>
      <xdr:row>121</xdr:row>
      <xdr:rowOff>55033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3E54A80D-819B-46A6-8585-98E526C5DEAE}"/>
            </a:ext>
          </a:extLst>
        </xdr:cNvPr>
        <xdr:cNvSpPr>
          <a:spLocks noChangeShapeType="1"/>
        </xdr:cNvSpPr>
      </xdr:nvSpPr>
      <xdr:spPr bwMode="auto">
        <a:xfrm flipV="1">
          <a:off x="9725025" y="26650950"/>
          <a:ext cx="8572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198967</xdr:colOff>
      <xdr:row>122</xdr:row>
      <xdr:rowOff>59267</xdr:rowOff>
    </xdr:from>
    <xdr:to>
      <xdr:col>5</xdr:col>
      <xdr:colOff>198967</xdr:colOff>
      <xdr:row>123</xdr:row>
      <xdr:rowOff>50800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3D055405-7223-4229-BD44-39BE5C0C6CEF}"/>
            </a:ext>
          </a:extLst>
        </xdr:cNvPr>
        <xdr:cNvSpPr>
          <a:spLocks noChangeShapeType="1"/>
        </xdr:cNvSpPr>
      </xdr:nvSpPr>
      <xdr:spPr bwMode="auto">
        <a:xfrm>
          <a:off x="4572000" y="268700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16933</xdr:colOff>
      <xdr:row>128</xdr:row>
      <xdr:rowOff>42333</xdr:rowOff>
    </xdr:from>
    <xdr:to>
      <xdr:col>5</xdr:col>
      <xdr:colOff>292100</xdr:colOff>
      <xdr:row>128</xdr:row>
      <xdr:rowOff>42333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EB5B14A1-2424-4F7C-A9DD-02D71CB74736}"/>
            </a:ext>
          </a:extLst>
        </xdr:cNvPr>
        <xdr:cNvSpPr>
          <a:spLocks noChangeShapeType="1"/>
        </xdr:cNvSpPr>
      </xdr:nvSpPr>
      <xdr:spPr bwMode="auto">
        <a:xfrm>
          <a:off x="4391025" y="279654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249767</xdr:colOff>
      <xdr:row>129</xdr:row>
      <xdr:rowOff>29633</xdr:rowOff>
    </xdr:from>
    <xdr:to>
      <xdr:col>6</xdr:col>
      <xdr:colOff>347133</xdr:colOff>
      <xdr:row>130</xdr:row>
      <xdr:rowOff>38100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717F6868-E069-4FA1-9BEA-C34DF64BF882}"/>
            </a:ext>
          </a:extLst>
        </xdr:cNvPr>
        <xdr:cNvSpPr>
          <a:spLocks noChangeShapeType="1"/>
        </xdr:cNvSpPr>
      </xdr:nvSpPr>
      <xdr:spPr bwMode="auto">
        <a:xfrm flipV="1">
          <a:off x="5343525" y="28146375"/>
          <a:ext cx="952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EBEF-4B63-4BE6-A65D-9A717F84BD71}">
  <dimension ref="A1:J43"/>
  <sheetViews>
    <sheetView showGridLines="0" tabSelected="1" zoomScale="110" workbookViewId="0"/>
  </sheetViews>
  <sheetFormatPr defaultRowHeight="14.5" x14ac:dyDescent="0.35"/>
  <cols>
    <col min="1" max="1" width="35.6328125" customWidth="1"/>
    <col min="2" max="2" width="12" style="6" customWidth="1"/>
    <col min="3" max="3" width="13.08984375" style="17" customWidth="1"/>
    <col min="4" max="4" width="12.7265625" customWidth="1"/>
    <col min="5" max="5" width="8.36328125" customWidth="1"/>
    <col min="6" max="6" width="10" customWidth="1"/>
    <col min="7" max="7" width="1.54296875" customWidth="1"/>
    <col min="8" max="8" width="9.26953125" customWidth="1"/>
    <col min="9" max="9" width="1.36328125" customWidth="1"/>
    <col min="10" max="10" width="9.1796875" customWidth="1"/>
    <col min="11" max="11" width="2.36328125" customWidth="1"/>
    <col min="12" max="12" width="10.36328125" customWidth="1"/>
    <col min="13" max="13" width="7.54296875" customWidth="1"/>
    <col min="14" max="14" width="7.36328125" customWidth="1"/>
    <col min="15" max="15" width="1.54296875" customWidth="1"/>
  </cols>
  <sheetData>
    <row r="1" spans="1:10" ht="23.5" x14ac:dyDescent="0.55000000000000004">
      <c r="A1" s="18" t="s">
        <v>186</v>
      </c>
      <c r="B1" s="37"/>
    </row>
    <row r="2" spans="1:10" x14ac:dyDescent="0.35">
      <c r="A2" s="25"/>
      <c r="B2" s="39"/>
      <c r="C2" s="20"/>
      <c r="D2" s="20"/>
      <c r="E2" s="21"/>
      <c r="F2" s="22"/>
      <c r="G2" s="25"/>
      <c r="H2" s="23"/>
    </row>
    <row r="3" spans="1:10" x14ac:dyDescent="0.35">
      <c r="A3" s="30" t="s">
        <v>23</v>
      </c>
      <c r="B3" s="40"/>
      <c r="C3" s="31"/>
      <c r="D3" s="32"/>
      <c r="E3" s="32"/>
      <c r="F3" s="32"/>
      <c r="G3" s="25"/>
      <c r="H3" s="33"/>
    </row>
    <row r="4" spans="1:10" ht="33.75" customHeight="1" x14ac:dyDescent="0.35">
      <c r="A4" s="34"/>
      <c r="B4" s="41" t="s">
        <v>24</v>
      </c>
      <c r="C4" s="35" t="s">
        <v>13</v>
      </c>
      <c r="D4" s="35" t="s">
        <v>14</v>
      </c>
      <c r="E4" s="35" t="s">
        <v>189</v>
      </c>
      <c r="F4" s="35" t="s">
        <v>21</v>
      </c>
      <c r="G4" s="24"/>
      <c r="H4" s="36" t="s">
        <v>22</v>
      </c>
    </row>
    <row r="5" spans="1:10" x14ac:dyDescent="0.35">
      <c r="A5" s="26" t="s">
        <v>17</v>
      </c>
      <c r="B5" s="38">
        <v>1000</v>
      </c>
      <c r="C5" s="19" t="s">
        <v>16</v>
      </c>
      <c r="D5" s="28">
        <v>74.2</v>
      </c>
      <c r="E5" s="28">
        <v>2.23</v>
      </c>
      <c r="F5" s="29">
        <v>3.1E-2</v>
      </c>
      <c r="G5" s="25"/>
      <c r="H5" s="27" t="s">
        <v>154</v>
      </c>
    </row>
    <row r="6" spans="1:10" x14ac:dyDescent="0.35">
      <c r="A6" s="109" t="s">
        <v>20</v>
      </c>
      <c r="B6" s="110">
        <v>42000</v>
      </c>
      <c r="C6" s="111" t="s">
        <v>153</v>
      </c>
      <c r="D6" s="112">
        <v>211.35</v>
      </c>
      <c r="E6" s="112">
        <v>4.26</v>
      </c>
      <c r="F6" s="113">
        <v>2.06E-2</v>
      </c>
      <c r="G6" s="114"/>
      <c r="H6" s="115" t="s">
        <v>154</v>
      </c>
    </row>
    <row r="7" spans="1:10" x14ac:dyDescent="0.35">
      <c r="A7" s="26" t="s">
        <v>18</v>
      </c>
      <c r="B7" s="38">
        <v>10000</v>
      </c>
      <c r="C7" s="19" t="s">
        <v>19</v>
      </c>
      <c r="D7" s="28">
        <v>2.52</v>
      </c>
      <c r="E7" s="28">
        <v>0.03</v>
      </c>
      <c r="F7" s="29">
        <v>1.24E-2</v>
      </c>
      <c r="G7" s="25"/>
      <c r="H7" s="27" t="s">
        <v>154</v>
      </c>
    </row>
    <row r="8" spans="1:10" x14ac:dyDescent="0.35">
      <c r="A8" s="26" t="s">
        <v>15</v>
      </c>
      <c r="B8" s="38">
        <v>1000</v>
      </c>
      <c r="C8" s="19" t="s">
        <v>16</v>
      </c>
      <c r="D8" s="28">
        <v>65.75</v>
      </c>
      <c r="E8" s="28">
        <v>1.75</v>
      </c>
      <c r="F8" s="29">
        <v>2.7300000000000001E-2</v>
      </c>
      <c r="G8" s="25"/>
      <c r="H8" s="27" t="s">
        <v>154</v>
      </c>
    </row>
    <row r="9" spans="1:10" ht="15" thickBot="1" x14ac:dyDescent="0.4"/>
    <row r="10" spans="1:10" x14ac:dyDescent="0.35">
      <c r="A10" s="14" t="s">
        <v>155</v>
      </c>
      <c r="B10" s="13"/>
      <c r="C10" s="13"/>
      <c r="D10" s="13"/>
      <c r="F10" s="144" t="s">
        <v>166</v>
      </c>
      <c r="G10" s="145"/>
      <c r="H10" s="145"/>
      <c r="I10" s="145"/>
      <c r="J10" s="146"/>
    </row>
    <row r="11" spans="1:10" x14ac:dyDescent="0.35">
      <c r="A11" t="s">
        <v>2</v>
      </c>
      <c r="B11" t="s">
        <v>157</v>
      </c>
      <c r="C11"/>
      <c r="F11" s="126" t="s">
        <v>178</v>
      </c>
      <c r="G11" s="121"/>
      <c r="H11" s="142" t="s">
        <v>181</v>
      </c>
      <c r="I11" s="142"/>
      <c r="J11" s="143"/>
    </row>
    <row r="12" spans="1:10" x14ac:dyDescent="0.35">
      <c r="A12" t="s">
        <v>6</v>
      </c>
      <c r="B12" s="10">
        <v>42000</v>
      </c>
      <c r="C12" t="s">
        <v>183</v>
      </c>
      <c r="F12" s="127"/>
      <c r="G12" s="108"/>
      <c r="H12" s="125" t="s">
        <v>179</v>
      </c>
      <c r="I12" s="15"/>
      <c r="J12" s="128" t="s">
        <v>180</v>
      </c>
    </row>
    <row r="13" spans="1:10" x14ac:dyDescent="0.35">
      <c r="A13" t="s">
        <v>0</v>
      </c>
      <c r="B13" s="10">
        <v>420000</v>
      </c>
      <c r="C13" t="s">
        <v>183</v>
      </c>
      <c r="F13" s="129" t="s">
        <v>154</v>
      </c>
      <c r="H13" s="122">
        <v>0.01</v>
      </c>
      <c r="I13" s="130"/>
      <c r="J13" s="131">
        <v>0.02</v>
      </c>
    </row>
    <row r="14" spans="1:10" x14ac:dyDescent="0.35">
      <c r="A14" t="s">
        <v>7</v>
      </c>
      <c r="B14" s="10">
        <f>B13/B6</f>
        <v>10</v>
      </c>
      <c r="C14" s="8" t="s">
        <v>156</v>
      </c>
      <c r="F14" s="129" t="s">
        <v>167</v>
      </c>
      <c r="H14" s="122">
        <v>5.0000000000000001E-3</v>
      </c>
      <c r="I14" s="130"/>
      <c r="J14" s="131">
        <v>1.2999999999999999E-2</v>
      </c>
    </row>
    <row r="15" spans="1:10" x14ac:dyDescent="0.35">
      <c r="A15" t="s">
        <v>1</v>
      </c>
      <c r="B15" s="12">
        <f>+D6/100</f>
        <v>2.1135000000000002</v>
      </c>
      <c r="C15"/>
      <c r="F15" s="129" t="s">
        <v>168</v>
      </c>
      <c r="H15" s="122">
        <v>-0.01</v>
      </c>
      <c r="I15" s="130"/>
      <c r="J15" s="131">
        <v>-0.01</v>
      </c>
    </row>
    <row r="16" spans="1:10" x14ac:dyDescent="0.35">
      <c r="A16" t="s">
        <v>3</v>
      </c>
      <c r="B16" s="6" t="s">
        <v>158</v>
      </c>
      <c r="C16"/>
      <c r="F16" s="129" t="s">
        <v>169</v>
      </c>
      <c r="H16" s="122">
        <v>3.5000000000000001E-3</v>
      </c>
      <c r="I16" s="130"/>
      <c r="J16" s="131">
        <v>0.01</v>
      </c>
    </row>
    <row r="17" spans="1:10" x14ac:dyDescent="0.35">
      <c r="A17" t="s">
        <v>4</v>
      </c>
      <c r="B17" s="6" t="s">
        <v>5</v>
      </c>
      <c r="C17"/>
      <c r="F17" s="129" t="s">
        <v>170</v>
      </c>
      <c r="H17" s="122">
        <v>1.7999999999999999E-2</v>
      </c>
      <c r="I17" s="130"/>
      <c r="J17" s="131">
        <v>2.4E-2</v>
      </c>
    </row>
    <row r="18" spans="1:10" x14ac:dyDescent="0.35">
      <c r="A18" t="s">
        <v>187</v>
      </c>
      <c r="B18" s="87">
        <v>1</v>
      </c>
      <c r="C18"/>
      <c r="F18" s="129" t="s">
        <v>171</v>
      </c>
      <c r="H18" s="122">
        <v>-1.2E-2</v>
      </c>
      <c r="I18" s="130"/>
      <c r="J18" s="131">
        <v>-2.3E-2</v>
      </c>
    </row>
    <row r="19" spans="1:10" x14ac:dyDescent="0.35">
      <c r="B19"/>
      <c r="C19"/>
      <c r="F19" s="129" t="s">
        <v>172</v>
      </c>
      <c r="H19" s="122">
        <v>0.03</v>
      </c>
      <c r="I19" s="130"/>
      <c r="J19" s="131">
        <v>3.2000000000000001E-2</v>
      </c>
    </row>
    <row r="20" spans="1:10" ht="15.5" x14ac:dyDescent="0.35">
      <c r="A20" s="119" t="s">
        <v>188</v>
      </c>
      <c r="B20" s="105"/>
      <c r="C20" s="105"/>
      <c r="D20" s="105"/>
      <c r="F20" s="129" t="s">
        <v>173</v>
      </c>
      <c r="H20" s="122">
        <v>0.01</v>
      </c>
      <c r="I20" s="130"/>
      <c r="J20" s="131">
        <v>-0.02</v>
      </c>
    </row>
    <row r="21" spans="1:10" x14ac:dyDescent="0.35">
      <c r="A21" s="14" t="s">
        <v>11</v>
      </c>
      <c r="B21" s="140" t="s">
        <v>159</v>
      </c>
      <c r="C21" s="141"/>
      <c r="D21" s="141"/>
      <c r="F21" s="129" t="s">
        <v>174</v>
      </c>
      <c r="H21" s="122">
        <v>-0.01</v>
      </c>
      <c r="I21" s="130"/>
      <c r="J21" s="131">
        <v>0.02</v>
      </c>
    </row>
    <row r="22" spans="1:10" x14ac:dyDescent="0.35">
      <c r="A22" t="s">
        <v>10</v>
      </c>
      <c r="B22" s="118">
        <v>-0.5</v>
      </c>
      <c r="C22" s="118">
        <v>0</v>
      </c>
      <c r="D22" s="116">
        <f>-B22</f>
        <v>0.5</v>
      </c>
      <c r="F22" s="129" t="s">
        <v>175</v>
      </c>
      <c r="H22" s="122">
        <v>0.02</v>
      </c>
      <c r="I22" s="130"/>
      <c r="J22" s="131">
        <v>0.04</v>
      </c>
    </row>
    <row r="23" spans="1:10" ht="15" thickBot="1" x14ac:dyDescent="0.4">
      <c r="A23" t="s">
        <v>12</v>
      </c>
      <c r="B23" s="117">
        <f>+C23+B22</f>
        <v>1.6135000000000002</v>
      </c>
      <c r="C23" s="117">
        <f>+B15</f>
        <v>2.1135000000000002</v>
      </c>
      <c r="D23" s="117">
        <f>+C23+D22</f>
        <v>2.6135000000000002</v>
      </c>
      <c r="F23" s="129" t="s">
        <v>176</v>
      </c>
      <c r="H23" s="122">
        <v>5.0000000000000001E-3</v>
      </c>
      <c r="I23" s="130"/>
      <c r="J23" s="131">
        <v>0.02</v>
      </c>
    </row>
    <row r="24" spans="1:10" x14ac:dyDescent="0.35">
      <c r="A24" t="s">
        <v>160</v>
      </c>
      <c r="B24" s="107">
        <f>-$B$13*B23</f>
        <v>-677670.00000000012</v>
      </c>
      <c r="C24" s="107">
        <f t="shared" ref="C24:D24" si="0">-$B$13*C23</f>
        <v>-887670.00000000012</v>
      </c>
      <c r="D24" s="107">
        <f t="shared" si="0"/>
        <v>-1097670</v>
      </c>
      <c r="F24" s="129" t="s">
        <v>177</v>
      </c>
      <c r="H24" s="122">
        <v>-5.0000000000000001E-3</v>
      </c>
      <c r="I24" s="130"/>
      <c r="J24" s="131">
        <v>3.5000000000000003E-2</v>
      </c>
    </row>
    <row r="25" spans="1:10" x14ac:dyDescent="0.35">
      <c r="A25" s="8" t="s">
        <v>8</v>
      </c>
      <c r="B25" s="7">
        <f>B22*$B$12*$B$14*$B$18</f>
        <v>-210000</v>
      </c>
      <c r="C25" s="7">
        <f t="shared" ref="C25:D25" si="1">C22*$B$12*$B$14</f>
        <v>0</v>
      </c>
      <c r="D25" s="7">
        <f>D22*$B$12*$B$14*B18</f>
        <v>210000</v>
      </c>
      <c r="F25" s="129" t="s">
        <v>154</v>
      </c>
      <c r="H25" s="122">
        <v>-0.03</v>
      </c>
      <c r="I25" s="130"/>
      <c r="J25" s="131">
        <v>-0.06</v>
      </c>
    </row>
    <row r="26" spans="1:10" ht="15" thickBot="1" x14ac:dyDescent="0.4">
      <c r="A26" t="s">
        <v>9</v>
      </c>
      <c r="B26" s="9">
        <f>+B25+B24</f>
        <v>-887670.00000000012</v>
      </c>
      <c r="C26" s="9">
        <f t="shared" ref="C26:D26" si="2">+C25+C24</f>
        <v>-887670.00000000012</v>
      </c>
      <c r="D26" s="9">
        <f t="shared" si="2"/>
        <v>-887670</v>
      </c>
      <c r="F26" s="129" t="s">
        <v>167</v>
      </c>
      <c r="H26" s="122">
        <v>-5.0000000000000001E-3</v>
      </c>
      <c r="I26" s="130"/>
      <c r="J26" s="131">
        <v>0.01</v>
      </c>
    </row>
    <row r="27" spans="1:10" ht="15" thickTop="1" x14ac:dyDescent="0.35">
      <c r="B27"/>
      <c r="C27"/>
      <c r="F27" s="129" t="s">
        <v>168</v>
      </c>
      <c r="H27" s="122">
        <v>8.0000000000000002E-3</v>
      </c>
      <c r="I27" s="130"/>
      <c r="J27" s="131">
        <v>1.2E-2</v>
      </c>
    </row>
    <row r="28" spans="1:10" x14ac:dyDescent="0.35">
      <c r="B28"/>
      <c r="C28"/>
      <c r="F28" s="129" t="s">
        <v>169</v>
      </c>
      <c r="H28" s="122">
        <v>0.02</v>
      </c>
      <c r="I28" s="130"/>
      <c r="J28" s="131">
        <v>0.03</v>
      </c>
    </row>
    <row r="29" spans="1:10" x14ac:dyDescent="0.35">
      <c r="B29"/>
      <c r="C29"/>
      <c r="F29" s="129" t="s">
        <v>170</v>
      </c>
      <c r="H29" s="122">
        <v>-1.0999999999999999E-2</v>
      </c>
      <c r="I29" s="130"/>
      <c r="J29" s="131">
        <v>-0.01</v>
      </c>
    </row>
    <row r="30" spans="1:10" x14ac:dyDescent="0.35">
      <c r="B30"/>
      <c r="C30" s="15"/>
      <c r="F30" s="129" t="s">
        <v>171</v>
      </c>
      <c r="H30" s="122">
        <v>-2.5999999999999999E-2</v>
      </c>
      <c r="I30" s="130"/>
      <c r="J30" s="131">
        <v>-2.4E-2</v>
      </c>
    </row>
    <row r="31" spans="1:10" ht="15.5" x14ac:dyDescent="0.35">
      <c r="A31" s="119" t="s">
        <v>161</v>
      </c>
      <c r="B31" s="120"/>
      <c r="C31" s="106"/>
      <c r="D31" s="105"/>
      <c r="F31" s="129" t="s">
        <v>172</v>
      </c>
      <c r="H31" s="122">
        <v>1.2E-2</v>
      </c>
      <c r="I31" s="130"/>
      <c r="J31" s="131">
        <v>2.1999999999999999E-2</v>
      </c>
    </row>
    <row r="32" spans="1:10" x14ac:dyDescent="0.35">
      <c r="A32" t="s">
        <v>2</v>
      </c>
      <c r="B32" t="s">
        <v>157</v>
      </c>
      <c r="C32"/>
      <c r="F32" s="129" t="s">
        <v>173</v>
      </c>
      <c r="H32" s="122">
        <v>1.4E-2</v>
      </c>
      <c r="I32" s="130"/>
      <c r="J32" s="131">
        <v>2.1000000000000001E-2</v>
      </c>
    </row>
    <row r="33" spans="1:10" x14ac:dyDescent="0.35">
      <c r="A33" t="s">
        <v>6</v>
      </c>
      <c r="B33" s="10">
        <v>42000</v>
      </c>
      <c r="C33" t="s">
        <v>183</v>
      </c>
      <c r="F33" s="129" t="s">
        <v>174</v>
      </c>
      <c r="H33" s="122">
        <v>-2.5000000000000001E-2</v>
      </c>
      <c r="I33" s="130"/>
      <c r="J33" s="131">
        <v>-0.04</v>
      </c>
    </row>
    <row r="34" spans="1:10" x14ac:dyDescent="0.35">
      <c r="A34" t="s">
        <v>0</v>
      </c>
      <c r="B34" s="10">
        <f>+B13</f>
        <v>420000</v>
      </c>
      <c r="C34" t="s">
        <v>183</v>
      </c>
      <c r="F34" s="129" t="s">
        <v>175</v>
      </c>
      <c r="H34" s="122">
        <v>-8.0000000000000002E-3</v>
      </c>
      <c r="I34" s="130"/>
      <c r="J34" s="131">
        <v>-0.02</v>
      </c>
    </row>
    <row r="35" spans="1:10" x14ac:dyDescent="0.35">
      <c r="A35" t="s">
        <v>7</v>
      </c>
      <c r="B35" s="10">
        <f>ROUND(+B43*B34/B33,0)</f>
        <v>5</v>
      </c>
      <c r="C35" s="8" t="s">
        <v>162</v>
      </c>
      <c r="F35" s="129" t="s">
        <v>176</v>
      </c>
      <c r="H35" s="122">
        <v>-1.0999999999999999E-2</v>
      </c>
      <c r="I35" s="130"/>
      <c r="J35" s="131">
        <v>-0.01</v>
      </c>
    </row>
    <row r="36" spans="1:10" x14ac:dyDescent="0.35">
      <c r="A36" t="s">
        <v>1</v>
      </c>
      <c r="B36" s="12">
        <f>+D6/100</f>
        <v>2.1135000000000002</v>
      </c>
      <c r="C36"/>
      <c r="F36" s="129" t="s">
        <v>177</v>
      </c>
      <c r="H36" s="122">
        <v>0.03</v>
      </c>
      <c r="I36" s="130"/>
      <c r="J36" s="131">
        <v>0.03</v>
      </c>
    </row>
    <row r="37" spans="1:10" x14ac:dyDescent="0.35">
      <c r="A37" t="s">
        <v>3</v>
      </c>
      <c r="B37" s="6" t="s">
        <v>158</v>
      </c>
      <c r="C37"/>
      <c r="F37" s="132"/>
      <c r="H37" s="17"/>
      <c r="I37" s="17"/>
      <c r="J37" s="133"/>
    </row>
    <row r="38" spans="1:10" x14ac:dyDescent="0.35">
      <c r="A38" t="s">
        <v>4</v>
      </c>
      <c r="B38" s="6" t="s">
        <v>5</v>
      </c>
      <c r="C38"/>
      <c r="F38" s="132" t="s">
        <v>182</v>
      </c>
      <c r="H38" s="134">
        <f>STDEV(H13:H37)</f>
        <v>1.6742603277052036E-2</v>
      </c>
      <c r="I38" s="17"/>
      <c r="J38" s="135">
        <f>STDEV(J13:J36)</f>
        <v>2.6083339121173599E-2</v>
      </c>
    </row>
    <row r="39" spans="1:10" x14ac:dyDescent="0.35">
      <c r="F39" s="132" t="s">
        <v>184</v>
      </c>
      <c r="H39" s="136">
        <f>CORREL(H13:H36,J13:J36)</f>
        <v>0.8100014729370002</v>
      </c>
      <c r="I39" s="17"/>
      <c r="J39" s="133"/>
    </row>
    <row r="40" spans="1:10" ht="15" thickBot="1" x14ac:dyDescent="0.4">
      <c r="A40" t="s">
        <v>163</v>
      </c>
      <c r="B40" s="123">
        <f>+H38</f>
        <v>1.6742603277052036E-2</v>
      </c>
      <c r="F40" s="137"/>
      <c r="G40" s="99"/>
      <c r="H40" s="99"/>
      <c r="I40" s="99"/>
      <c r="J40" s="138"/>
    </row>
    <row r="41" spans="1:10" x14ac:dyDescent="0.35">
      <c r="A41" t="s">
        <v>164</v>
      </c>
      <c r="B41" s="123">
        <f>+J38</f>
        <v>2.6083339121173599E-2</v>
      </c>
    </row>
    <row r="42" spans="1:10" x14ac:dyDescent="0.35">
      <c r="A42" t="s">
        <v>165</v>
      </c>
      <c r="B42" s="124">
        <f>+H39</f>
        <v>0.8100014729370002</v>
      </c>
    </row>
    <row r="43" spans="1:10" x14ac:dyDescent="0.35">
      <c r="A43" s="108" t="s">
        <v>185</v>
      </c>
      <c r="B43" s="139">
        <f>+B40/B41*B42</f>
        <v>0.51993087434895124</v>
      </c>
    </row>
  </sheetData>
  <mergeCells count="3">
    <mergeCell ref="B21:D21"/>
    <mergeCell ref="H11:J11"/>
    <mergeCell ref="F10:J10"/>
  </mergeCells>
  <phoneticPr fontId="1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8306-C698-49B1-B7FB-3BDBD2DC22D9}">
  <dimension ref="B1:Q131"/>
  <sheetViews>
    <sheetView topLeftCell="A85" workbookViewId="0">
      <selection activeCell="N113" sqref="N113"/>
    </sheetView>
  </sheetViews>
  <sheetFormatPr defaultRowHeight="14.5" x14ac:dyDescent="0.35"/>
  <cols>
    <col min="2" max="2" width="17.26953125" customWidth="1"/>
    <col min="3" max="3" width="15.26953125" customWidth="1"/>
    <col min="4" max="4" width="11.54296875" customWidth="1"/>
    <col min="5" max="5" width="10.7265625" customWidth="1"/>
    <col min="6" max="6" width="10.08984375" customWidth="1"/>
    <col min="7" max="7" width="12.08984375" customWidth="1"/>
    <col min="10" max="10" width="10.54296875" customWidth="1"/>
    <col min="11" max="11" width="10.90625" customWidth="1"/>
    <col min="12" max="12" width="11.26953125" customWidth="1"/>
    <col min="13" max="13" width="10.7265625" customWidth="1"/>
    <col min="14" max="14" width="10.90625" customWidth="1"/>
    <col min="258" max="258" width="17.26953125" customWidth="1"/>
    <col min="259" max="259" width="12" customWidth="1"/>
    <col min="260" max="260" width="11.54296875" customWidth="1"/>
    <col min="261" max="261" width="10.7265625" customWidth="1"/>
    <col min="262" max="262" width="10.08984375" customWidth="1"/>
    <col min="263" max="263" width="12.08984375" customWidth="1"/>
    <col min="266" max="266" width="10.54296875" customWidth="1"/>
    <col min="267" max="267" width="10.90625" customWidth="1"/>
    <col min="268" max="268" width="11.26953125" customWidth="1"/>
    <col min="269" max="269" width="10.7265625" customWidth="1"/>
    <col min="270" max="270" width="10.90625" customWidth="1"/>
    <col min="514" max="514" width="17.26953125" customWidth="1"/>
    <col min="515" max="515" width="12" customWidth="1"/>
    <col min="516" max="516" width="11.54296875" customWidth="1"/>
    <col min="517" max="517" width="10.7265625" customWidth="1"/>
    <col min="518" max="518" width="10.08984375" customWidth="1"/>
    <col min="519" max="519" width="12.08984375" customWidth="1"/>
    <col min="522" max="522" width="10.54296875" customWidth="1"/>
    <col min="523" max="523" width="10.90625" customWidth="1"/>
    <col min="524" max="524" width="11.26953125" customWidth="1"/>
    <col min="525" max="525" width="10.7265625" customWidth="1"/>
    <col min="526" max="526" width="10.90625" customWidth="1"/>
    <col min="770" max="770" width="17.26953125" customWidth="1"/>
    <col min="771" max="771" width="12" customWidth="1"/>
    <col min="772" max="772" width="11.54296875" customWidth="1"/>
    <col min="773" max="773" width="10.7265625" customWidth="1"/>
    <col min="774" max="774" width="10.08984375" customWidth="1"/>
    <col min="775" max="775" width="12.08984375" customWidth="1"/>
    <col min="778" max="778" width="10.54296875" customWidth="1"/>
    <col min="779" max="779" width="10.90625" customWidth="1"/>
    <col min="780" max="780" width="11.26953125" customWidth="1"/>
    <col min="781" max="781" width="10.7265625" customWidth="1"/>
    <col min="782" max="782" width="10.90625" customWidth="1"/>
    <col min="1026" max="1026" width="17.26953125" customWidth="1"/>
    <col min="1027" max="1027" width="12" customWidth="1"/>
    <col min="1028" max="1028" width="11.54296875" customWidth="1"/>
    <col min="1029" max="1029" width="10.7265625" customWidth="1"/>
    <col min="1030" max="1030" width="10.08984375" customWidth="1"/>
    <col min="1031" max="1031" width="12.08984375" customWidth="1"/>
    <col min="1034" max="1034" width="10.54296875" customWidth="1"/>
    <col min="1035" max="1035" width="10.90625" customWidth="1"/>
    <col min="1036" max="1036" width="11.26953125" customWidth="1"/>
    <col min="1037" max="1037" width="10.7265625" customWidth="1"/>
    <col min="1038" max="1038" width="10.90625" customWidth="1"/>
    <col min="1282" max="1282" width="17.26953125" customWidth="1"/>
    <col min="1283" max="1283" width="12" customWidth="1"/>
    <col min="1284" max="1284" width="11.54296875" customWidth="1"/>
    <col min="1285" max="1285" width="10.7265625" customWidth="1"/>
    <col min="1286" max="1286" width="10.08984375" customWidth="1"/>
    <col min="1287" max="1287" width="12.08984375" customWidth="1"/>
    <col min="1290" max="1290" width="10.54296875" customWidth="1"/>
    <col min="1291" max="1291" width="10.90625" customWidth="1"/>
    <col min="1292" max="1292" width="11.26953125" customWidth="1"/>
    <col min="1293" max="1293" width="10.7265625" customWidth="1"/>
    <col min="1294" max="1294" width="10.90625" customWidth="1"/>
    <col min="1538" max="1538" width="17.26953125" customWidth="1"/>
    <col min="1539" max="1539" width="12" customWidth="1"/>
    <col min="1540" max="1540" width="11.54296875" customWidth="1"/>
    <col min="1541" max="1541" width="10.7265625" customWidth="1"/>
    <col min="1542" max="1542" width="10.08984375" customWidth="1"/>
    <col min="1543" max="1543" width="12.08984375" customWidth="1"/>
    <col min="1546" max="1546" width="10.54296875" customWidth="1"/>
    <col min="1547" max="1547" width="10.90625" customWidth="1"/>
    <col min="1548" max="1548" width="11.26953125" customWidth="1"/>
    <col min="1549" max="1549" width="10.7265625" customWidth="1"/>
    <col min="1550" max="1550" width="10.90625" customWidth="1"/>
    <col min="1794" max="1794" width="17.26953125" customWidth="1"/>
    <col min="1795" max="1795" width="12" customWidth="1"/>
    <col min="1796" max="1796" width="11.54296875" customWidth="1"/>
    <col min="1797" max="1797" width="10.7265625" customWidth="1"/>
    <col min="1798" max="1798" width="10.08984375" customWidth="1"/>
    <col min="1799" max="1799" width="12.08984375" customWidth="1"/>
    <col min="1802" max="1802" width="10.54296875" customWidth="1"/>
    <col min="1803" max="1803" width="10.90625" customWidth="1"/>
    <col min="1804" max="1804" width="11.26953125" customWidth="1"/>
    <col min="1805" max="1805" width="10.7265625" customWidth="1"/>
    <col min="1806" max="1806" width="10.90625" customWidth="1"/>
    <col min="2050" max="2050" width="17.26953125" customWidth="1"/>
    <col min="2051" max="2051" width="12" customWidth="1"/>
    <col min="2052" max="2052" width="11.54296875" customWidth="1"/>
    <col min="2053" max="2053" width="10.7265625" customWidth="1"/>
    <col min="2054" max="2054" width="10.08984375" customWidth="1"/>
    <col min="2055" max="2055" width="12.08984375" customWidth="1"/>
    <col min="2058" max="2058" width="10.54296875" customWidth="1"/>
    <col min="2059" max="2059" width="10.90625" customWidth="1"/>
    <col min="2060" max="2060" width="11.26953125" customWidth="1"/>
    <col min="2061" max="2061" width="10.7265625" customWidth="1"/>
    <col min="2062" max="2062" width="10.90625" customWidth="1"/>
    <col min="2306" max="2306" width="17.26953125" customWidth="1"/>
    <col min="2307" max="2307" width="12" customWidth="1"/>
    <col min="2308" max="2308" width="11.54296875" customWidth="1"/>
    <col min="2309" max="2309" width="10.7265625" customWidth="1"/>
    <col min="2310" max="2310" width="10.08984375" customWidth="1"/>
    <col min="2311" max="2311" width="12.08984375" customWidth="1"/>
    <col min="2314" max="2314" width="10.54296875" customWidth="1"/>
    <col min="2315" max="2315" width="10.90625" customWidth="1"/>
    <col min="2316" max="2316" width="11.26953125" customWidth="1"/>
    <col min="2317" max="2317" width="10.7265625" customWidth="1"/>
    <col min="2318" max="2318" width="10.90625" customWidth="1"/>
    <col min="2562" max="2562" width="17.26953125" customWidth="1"/>
    <col min="2563" max="2563" width="12" customWidth="1"/>
    <col min="2564" max="2564" width="11.54296875" customWidth="1"/>
    <col min="2565" max="2565" width="10.7265625" customWidth="1"/>
    <col min="2566" max="2566" width="10.08984375" customWidth="1"/>
    <col min="2567" max="2567" width="12.08984375" customWidth="1"/>
    <col min="2570" max="2570" width="10.54296875" customWidth="1"/>
    <col min="2571" max="2571" width="10.90625" customWidth="1"/>
    <col min="2572" max="2572" width="11.26953125" customWidth="1"/>
    <col min="2573" max="2573" width="10.7265625" customWidth="1"/>
    <col min="2574" max="2574" width="10.90625" customWidth="1"/>
    <col min="2818" max="2818" width="17.26953125" customWidth="1"/>
    <col min="2819" max="2819" width="12" customWidth="1"/>
    <col min="2820" max="2820" width="11.54296875" customWidth="1"/>
    <col min="2821" max="2821" width="10.7265625" customWidth="1"/>
    <col min="2822" max="2822" width="10.08984375" customWidth="1"/>
    <col min="2823" max="2823" width="12.08984375" customWidth="1"/>
    <col min="2826" max="2826" width="10.54296875" customWidth="1"/>
    <col min="2827" max="2827" width="10.90625" customWidth="1"/>
    <col min="2828" max="2828" width="11.26953125" customWidth="1"/>
    <col min="2829" max="2829" width="10.7265625" customWidth="1"/>
    <col min="2830" max="2830" width="10.90625" customWidth="1"/>
    <col min="3074" max="3074" width="17.26953125" customWidth="1"/>
    <col min="3075" max="3075" width="12" customWidth="1"/>
    <col min="3076" max="3076" width="11.54296875" customWidth="1"/>
    <col min="3077" max="3077" width="10.7265625" customWidth="1"/>
    <col min="3078" max="3078" width="10.08984375" customWidth="1"/>
    <col min="3079" max="3079" width="12.08984375" customWidth="1"/>
    <col min="3082" max="3082" width="10.54296875" customWidth="1"/>
    <col min="3083" max="3083" width="10.90625" customWidth="1"/>
    <col min="3084" max="3084" width="11.26953125" customWidth="1"/>
    <col min="3085" max="3085" width="10.7265625" customWidth="1"/>
    <col min="3086" max="3086" width="10.90625" customWidth="1"/>
    <col min="3330" max="3330" width="17.26953125" customWidth="1"/>
    <col min="3331" max="3331" width="12" customWidth="1"/>
    <col min="3332" max="3332" width="11.54296875" customWidth="1"/>
    <col min="3333" max="3333" width="10.7265625" customWidth="1"/>
    <col min="3334" max="3334" width="10.08984375" customWidth="1"/>
    <col min="3335" max="3335" width="12.08984375" customWidth="1"/>
    <col min="3338" max="3338" width="10.54296875" customWidth="1"/>
    <col min="3339" max="3339" width="10.90625" customWidth="1"/>
    <col min="3340" max="3340" width="11.26953125" customWidth="1"/>
    <col min="3341" max="3341" width="10.7265625" customWidth="1"/>
    <col min="3342" max="3342" width="10.90625" customWidth="1"/>
    <col min="3586" max="3586" width="17.26953125" customWidth="1"/>
    <col min="3587" max="3587" width="12" customWidth="1"/>
    <col min="3588" max="3588" width="11.54296875" customWidth="1"/>
    <col min="3589" max="3589" width="10.7265625" customWidth="1"/>
    <col min="3590" max="3590" width="10.08984375" customWidth="1"/>
    <col min="3591" max="3591" width="12.08984375" customWidth="1"/>
    <col min="3594" max="3594" width="10.54296875" customWidth="1"/>
    <col min="3595" max="3595" width="10.90625" customWidth="1"/>
    <col min="3596" max="3596" width="11.26953125" customWidth="1"/>
    <col min="3597" max="3597" width="10.7265625" customWidth="1"/>
    <col min="3598" max="3598" width="10.90625" customWidth="1"/>
    <col min="3842" max="3842" width="17.26953125" customWidth="1"/>
    <col min="3843" max="3843" width="12" customWidth="1"/>
    <col min="3844" max="3844" width="11.54296875" customWidth="1"/>
    <col min="3845" max="3845" width="10.7265625" customWidth="1"/>
    <col min="3846" max="3846" width="10.08984375" customWidth="1"/>
    <col min="3847" max="3847" width="12.08984375" customWidth="1"/>
    <col min="3850" max="3850" width="10.54296875" customWidth="1"/>
    <col min="3851" max="3851" width="10.90625" customWidth="1"/>
    <col min="3852" max="3852" width="11.26953125" customWidth="1"/>
    <col min="3853" max="3853" width="10.7265625" customWidth="1"/>
    <col min="3854" max="3854" width="10.90625" customWidth="1"/>
    <col min="4098" max="4098" width="17.26953125" customWidth="1"/>
    <col min="4099" max="4099" width="12" customWidth="1"/>
    <col min="4100" max="4100" width="11.54296875" customWidth="1"/>
    <col min="4101" max="4101" width="10.7265625" customWidth="1"/>
    <col min="4102" max="4102" width="10.08984375" customWidth="1"/>
    <col min="4103" max="4103" width="12.08984375" customWidth="1"/>
    <col min="4106" max="4106" width="10.54296875" customWidth="1"/>
    <col min="4107" max="4107" width="10.90625" customWidth="1"/>
    <col min="4108" max="4108" width="11.26953125" customWidth="1"/>
    <col min="4109" max="4109" width="10.7265625" customWidth="1"/>
    <col min="4110" max="4110" width="10.90625" customWidth="1"/>
    <col min="4354" max="4354" width="17.26953125" customWidth="1"/>
    <col min="4355" max="4355" width="12" customWidth="1"/>
    <col min="4356" max="4356" width="11.54296875" customWidth="1"/>
    <col min="4357" max="4357" width="10.7265625" customWidth="1"/>
    <col min="4358" max="4358" width="10.08984375" customWidth="1"/>
    <col min="4359" max="4359" width="12.08984375" customWidth="1"/>
    <col min="4362" max="4362" width="10.54296875" customWidth="1"/>
    <col min="4363" max="4363" width="10.90625" customWidth="1"/>
    <col min="4364" max="4364" width="11.26953125" customWidth="1"/>
    <col min="4365" max="4365" width="10.7265625" customWidth="1"/>
    <col min="4366" max="4366" width="10.90625" customWidth="1"/>
    <col min="4610" max="4610" width="17.26953125" customWidth="1"/>
    <col min="4611" max="4611" width="12" customWidth="1"/>
    <col min="4612" max="4612" width="11.54296875" customWidth="1"/>
    <col min="4613" max="4613" width="10.7265625" customWidth="1"/>
    <col min="4614" max="4614" width="10.08984375" customWidth="1"/>
    <col min="4615" max="4615" width="12.08984375" customWidth="1"/>
    <col min="4618" max="4618" width="10.54296875" customWidth="1"/>
    <col min="4619" max="4619" width="10.90625" customWidth="1"/>
    <col min="4620" max="4620" width="11.26953125" customWidth="1"/>
    <col min="4621" max="4621" width="10.7265625" customWidth="1"/>
    <col min="4622" max="4622" width="10.90625" customWidth="1"/>
    <col min="4866" max="4866" width="17.26953125" customWidth="1"/>
    <col min="4867" max="4867" width="12" customWidth="1"/>
    <col min="4868" max="4868" width="11.54296875" customWidth="1"/>
    <col min="4869" max="4869" width="10.7265625" customWidth="1"/>
    <col min="4870" max="4870" width="10.08984375" customWidth="1"/>
    <col min="4871" max="4871" width="12.08984375" customWidth="1"/>
    <col min="4874" max="4874" width="10.54296875" customWidth="1"/>
    <col min="4875" max="4875" width="10.90625" customWidth="1"/>
    <col min="4876" max="4876" width="11.26953125" customWidth="1"/>
    <col min="4877" max="4877" width="10.7265625" customWidth="1"/>
    <col min="4878" max="4878" width="10.90625" customWidth="1"/>
    <col min="5122" max="5122" width="17.26953125" customWidth="1"/>
    <col min="5123" max="5123" width="12" customWidth="1"/>
    <col min="5124" max="5124" width="11.54296875" customWidth="1"/>
    <col min="5125" max="5125" width="10.7265625" customWidth="1"/>
    <col min="5126" max="5126" width="10.08984375" customWidth="1"/>
    <col min="5127" max="5127" width="12.08984375" customWidth="1"/>
    <col min="5130" max="5130" width="10.54296875" customWidth="1"/>
    <col min="5131" max="5131" width="10.90625" customWidth="1"/>
    <col min="5132" max="5132" width="11.26953125" customWidth="1"/>
    <col min="5133" max="5133" width="10.7265625" customWidth="1"/>
    <col min="5134" max="5134" width="10.90625" customWidth="1"/>
    <col min="5378" max="5378" width="17.26953125" customWidth="1"/>
    <col min="5379" max="5379" width="12" customWidth="1"/>
    <col min="5380" max="5380" width="11.54296875" customWidth="1"/>
    <col min="5381" max="5381" width="10.7265625" customWidth="1"/>
    <col min="5382" max="5382" width="10.08984375" customWidth="1"/>
    <col min="5383" max="5383" width="12.08984375" customWidth="1"/>
    <col min="5386" max="5386" width="10.54296875" customWidth="1"/>
    <col min="5387" max="5387" width="10.90625" customWidth="1"/>
    <col min="5388" max="5388" width="11.26953125" customWidth="1"/>
    <col min="5389" max="5389" width="10.7265625" customWidth="1"/>
    <col min="5390" max="5390" width="10.90625" customWidth="1"/>
    <col min="5634" max="5634" width="17.26953125" customWidth="1"/>
    <col min="5635" max="5635" width="12" customWidth="1"/>
    <col min="5636" max="5636" width="11.54296875" customWidth="1"/>
    <col min="5637" max="5637" width="10.7265625" customWidth="1"/>
    <col min="5638" max="5638" width="10.08984375" customWidth="1"/>
    <col min="5639" max="5639" width="12.08984375" customWidth="1"/>
    <col min="5642" max="5642" width="10.54296875" customWidth="1"/>
    <col min="5643" max="5643" width="10.90625" customWidth="1"/>
    <col min="5644" max="5644" width="11.26953125" customWidth="1"/>
    <col min="5645" max="5645" width="10.7265625" customWidth="1"/>
    <col min="5646" max="5646" width="10.90625" customWidth="1"/>
    <col min="5890" max="5890" width="17.26953125" customWidth="1"/>
    <col min="5891" max="5891" width="12" customWidth="1"/>
    <col min="5892" max="5892" width="11.54296875" customWidth="1"/>
    <col min="5893" max="5893" width="10.7265625" customWidth="1"/>
    <col min="5894" max="5894" width="10.08984375" customWidth="1"/>
    <col min="5895" max="5895" width="12.08984375" customWidth="1"/>
    <col min="5898" max="5898" width="10.54296875" customWidth="1"/>
    <col min="5899" max="5899" width="10.90625" customWidth="1"/>
    <col min="5900" max="5900" width="11.26953125" customWidth="1"/>
    <col min="5901" max="5901" width="10.7265625" customWidth="1"/>
    <col min="5902" max="5902" width="10.90625" customWidth="1"/>
    <col min="6146" max="6146" width="17.26953125" customWidth="1"/>
    <col min="6147" max="6147" width="12" customWidth="1"/>
    <col min="6148" max="6148" width="11.54296875" customWidth="1"/>
    <col min="6149" max="6149" width="10.7265625" customWidth="1"/>
    <col min="6150" max="6150" width="10.08984375" customWidth="1"/>
    <col min="6151" max="6151" width="12.08984375" customWidth="1"/>
    <col min="6154" max="6154" width="10.54296875" customWidth="1"/>
    <col min="6155" max="6155" width="10.90625" customWidth="1"/>
    <col min="6156" max="6156" width="11.26953125" customWidth="1"/>
    <col min="6157" max="6157" width="10.7265625" customWidth="1"/>
    <col min="6158" max="6158" width="10.90625" customWidth="1"/>
    <col min="6402" max="6402" width="17.26953125" customWidth="1"/>
    <col min="6403" max="6403" width="12" customWidth="1"/>
    <col min="6404" max="6404" width="11.54296875" customWidth="1"/>
    <col min="6405" max="6405" width="10.7265625" customWidth="1"/>
    <col min="6406" max="6406" width="10.08984375" customWidth="1"/>
    <col min="6407" max="6407" width="12.08984375" customWidth="1"/>
    <col min="6410" max="6410" width="10.54296875" customWidth="1"/>
    <col min="6411" max="6411" width="10.90625" customWidth="1"/>
    <col min="6412" max="6412" width="11.26953125" customWidth="1"/>
    <col min="6413" max="6413" width="10.7265625" customWidth="1"/>
    <col min="6414" max="6414" width="10.90625" customWidth="1"/>
    <col min="6658" max="6658" width="17.26953125" customWidth="1"/>
    <col min="6659" max="6659" width="12" customWidth="1"/>
    <col min="6660" max="6660" width="11.54296875" customWidth="1"/>
    <col min="6661" max="6661" width="10.7265625" customWidth="1"/>
    <col min="6662" max="6662" width="10.08984375" customWidth="1"/>
    <col min="6663" max="6663" width="12.08984375" customWidth="1"/>
    <col min="6666" max="6666" width="10.54296875" customWidth="1"/>
    <col min="6667" max="6667" width="10.90625" customWidth="1"/>
    <col min="6668" max="6668" width="11.26953125" customWidth="1"/>
    <col min="6669" max="6669" width="10.7265625" customWidth="1"/>
    <col min="6670" max="6670" width="10.90625" customWidth="1"/>
    <col min="6914" max="6914" width="17.26953125" customWidth="1"/>
    <col min="6915" max="6915" width="12" customWidth="1"/>
    <col min="6916" max="6916" width="11.54296875" customWidth="1"/>
    <col min="6917" max="6917" width="10.7265625" customWidth="1"/>
    <col min="6918" max="6918" width="10.08984375" customWidth="1"/>
    <col min="6919" max="6919" width="12.08984375" customWidth="1"/>
    <col min="6922" max="6922" width="10.54296875" customWidth="1"/>
    <col min="6923" max="6923" width="10.90625" customWidth="1"/>
    <col min="6924" max="6924" width="11.26953125" customWidth="1"/>
    <col min="6925" max="6925" width="10.7265625" customWidth="1"/>
    <col min="6926" max="6926" width="10.90625" customWidth="1"/>
    <col min="7170" max="7170" width="17.26953125" customWidth="1"/>
    <col min="7171" max="7171" width="12" customWidth="1"/>
    <col min="7172" max="7172" width="11.54296875" customWidth="1"/>
    <col min="7173" max="7173" width="10.7265625" customWidth="1"/>
    <col min="7174" max="7174" width="10.08984375" customWidth="1"/>
    <col min="7175" max="7175" width="12.08984375" customWidth="1"/>
    <col min="7178" max="7178" width="10.54296875" customWidth="1"/>
    <col min="7179" max="7179" width="10.90625" customWidth="1"/>
    <col min="7180" max="7180" width="11.26953125" customWidth="1"/>
    <col min="7181" max="7181" width="10.7265625" customWidth="1"/>
    <col min="7182" max="7182" width="10.90625" customWidth="1"/>
    <col min="7426" max="7426" width="17.26953125" customWidth="1"/>
    <col min="7427" max="7427" width="12" customWidth="1"/>
    <col min="7428" max="7428" width="11.54296875" customWidth="1"/>
    <col min="7429" max="7429" width="10.7265625" customWidth="1"/>
    <col min="7430" max="7430" width="10.08984375" customWidth="1"/>
    <col min="7431" max="7431" width="12.08984375" customWidth="1"/>
    <col min="7434" max="7434" width="10.54296875" customWidth="1"/>
    <col min="7435" max="7435" width="10.90625" customWidth="1"/>
    <col min="7436" max="7436" width="11.26953125" customWidth="1"/>
    <col min="7437" max="7437" width="10.7265625" customWidth="1"/>
    <col min="7438" max="7438" width="10.90625" customWidth="1"/>
    <col min="7682" max="7682" width="17.26953125" customWidth="1"/>
    <col min="7683" max="7683" width="12" customWidth="1"/>
    <col min="7684" max="7684" width="11.54296875" customWidth="1"/>
    <col min="7685" max="7685" width="10.7265625" customWidth="1"/>
    <col min="7686" max="7686" width="10.08984375" customWidth="1"/>
    <col min="7687" max="7687" width="12.08984375" customWidth="1"/>
    <col min="7690" max="7690" width="10.54296875" customWidth="1"/>
    <col min="7691" max="7691" width="10.90625" customWidth="1"/>
    <col min="7692" max="7692" width="11.26953125" customWidth="1"/>
    <col min="7693" max="7693" width="10.7265625" customWidth="1"/>
    <col min="7694" max="7694" width="10.90625" customWidth="1"/>
    <col min="7938" max="7938" width="17.26953125" customWidth="1"/>
    <col min="7939" max="7939" width="12" customWidth="1"/>
    <col min="7940" max="7940" width="11.54296875" customWidth="1"/>
    <col min="7941" max="7941" width="10.7265625" customWidth="1"/>
    <col min="7942" max="7942" width="10.08984375" customWidth="1"/>
    <col min="7943" max="7943" width="12.08984375" customWidth="1"/>
    <col min="7946" max="7946" width="10.54296875" customWidth="1"/>
    <col min="7947" max="7947" width="10.90625" customWidth="1"/>
    <col min="7948" max="7948" width="11.26953125" customWidth="1"/>
    <col min="7949" max="7949" width="10.7265625" customWidth="1"/>
    <col min="7950" max="7950" width="10.90625" customWidth="1"/>
    <col min="8194" max="8194" width="17.26953125" customWidth="1"/>
    <col min="8195" max="8195" width="12" customWidth="1"/>
    <col min="8196" max="8196" width="11.54296875" customWidth="1"/>
    <col min="8197" max="8197" width="10.7265625" customWidth="1"/>
    <col min="8198" max="8198" width="10.08984375" customWidth="1"/>
    <col min="8199" max="8199" width="12.08984375" customWidth="1"/>
    <col min="8202" max="8202" width="10.54296875" customWidth="1"/>
    <col min="8203" max="8203" width="10.90625" customWidth="1"/>
    <col min="8204" max="8204" width="11.26953125" customWidth="1"/>
    <col min="8205" max="8205" width="10.7265625" customWidth="1"/>
    <col min="8206" max="8206" width="10.90625" customWidth="1"/>
    <col min="8450" max="8450" width="17.26953125" customWidth="1"/>
    <col min="8451" max="8451" width="12" customWidth="1"/>
    <col min="8452" max="8452" width="11.54296875" customWidth="1"/>
    <col min="8453" max="8453" width="10.7265625" customWidth="1"/>
    <col min="8454" max="8454" width="10.08984375" customWidth="1"/>
    <col min="8455" max="8455" width="12.08984375" customWidth="1"/>
    <col min="8458" max="8458" width="10.54296875" customWidth="1"/>
    <col min="8459" max="8459" width="10.90625" customWidth="1"/>
    <col min="8460" max="8460" width="11.26953125" customWidth="1"/>
    <col min="8461" max="8461" width="10.7265625" customWidth="1"/>
    <col min="8462" max="8462" width="10.90625" customWidth="1"/>
    <col min="8706" max="8706" width="17.26953125" customWidth="1"/>
    <col min="8707" max="8707" width="12" customWidth="1"/>
    <col min="8708" max="8708" width="11.54296875" customWidth="1"/>
    <col min="8709" max="8709" width="10.7265625" customWidth="1"/>
    <col min="8710" max="8710" width="10.08984375" customWidth="1"/>
    <col min="8711" max="8711" width="12.08984375" customWidth="1"/>
    <col min="8714" max="8714" width="10.54296875" customWidth="1"/>
    <col min="8715" max="8715" width="10.90625" customWidth="1"/>
    <col min="8716" max="8716" width="11.26953125" customWidth="1"/>
    <col min="8717" max="8717" width="10.7265625" customWidth="1"/>
    <col min="8718" max="8718" width="10.90625" customWidth="1"/>
    <col min="8962" max="8962" width="17.26953125" customWidth="1"/>
    <col min="8963" max="8963" width="12" customWidth="1"/>
    <col min="8964" max="8964" width="11.54296875" customWidth="1"/>
    <col min="8965" max="8965" width="10.7265625" customWidth="1"/>
    <col min="8966" max="8966" width="10.08984375" customWidth="1"/>
    <col min="8967" max="8967" width="12.08984375" customWidth="1"/>
    <col min="8970" max="8970" width="10.54296875" customWidth="1"/>
    <col min="8971" max="8971" width="10.90625" customWidth="1"/>
    <col min="8972" max="8972" width="11.26953125" customWidth="1"/>
    <col min="8973" max="8973" width="10.7265625" customWidth="1"/>
    <col min="8974" max="8974" width="10.90625" customWidth="1"/>
    <col min="9218" max="9218" width="17.26953125" customWidth="1"/>
    <col min="9219" max="9219" width="12" customWidth="1"/>
    <col min="9220" max="9220" width="11.54296875" customWidth="1"/>
    <col min="9221" max="9221" width="10.7265625" customWidth="1"/>
    <col min="9222" max="9222" width="10.08984375" customWidth="1"/>
    <col min="9223" max="9223" width="12.08984375" customWidth="1"/>
    <col min="9226" max="9226" width="10.54296875" customWidth="1"/>
    <col min="9227" max="9227" width="10.90625" customWidth="1"/>
    <col min="9228" max="9228" width="11.26953125" customWidth="1"/>
    <col min="9229" max="9229" width="10.7265625" customWidth="1"/>
    <col min="9230" max="9230" width="10.90625" customWidth="1"/>
    <col min="9474" max="9474" width="17.26953125" customWidth="1"/>
    <col min="9475" max="9475" width="12" customWidth="1"/>
    <col min="9476" max="9476" width="11.54296875" customWidth="1"/>
    <col min="9477" max="9477" width="10.7265625" customWidth="1"/>
    <col min="9478" max="9478" width="10.08984375" customWidth="1"/>
    <col min="9479" max="9479" width="12.08984375" customWidth="1"/>
    <col min="9482" max="9482" width="10.54296875" customWidth="1"/>
    <col min="9483" max="9483" width="10.90625" customWidth="1"/>
    <col min="9484" max="9484" width="11.26953125" customWidth="1"/>
    <col min="9485" max="9485" width="10.7265625" customWidth="1"/>
    <col min="9486" max="9486" width="10.90625" customWidth="1"/>
    <col min="9730" max="9730" width="17.26953125" customWidth="1"/>
    <col min="9731" max="9731" width="12" customWidth="1"/>
    <col min="9732" max="9732" width="11.54296875" customWidth="1"/>
    <col min="9733" max="9733" width="10.7265625" customWidth="1"/>
    <col min="9734" max="9734" width="10.08984375" customWidth="1"/>
    <col min="9735" max="9735" width="12.08984375" customWidth="1"/>
    <col min="9738" max="9738" width="10.54296875" customWidth="1"/>
    <col min="9739" max="9739" width="10.90625" customWidth="1"/>
    <col min="9740" max="9740" width="11.26953125" customWidth="1"/>
    <col min="9741" max="9741" width="10.7265625" customWidth="1"/>
    <col min="9742" max="9742" width="10.90625" customWidth="1"/>
    <col min="9986" max="9986" width="17.26953125" customWidth="1"/>
    <col min="9987" max="9987" width="12" customWidth="1"/>
    <col min="9988" max="9988" width="11.54296875" customWidth="1"/>
    <col min="9989" max="9989" width="10.7265625" customWidth="1"/>
    <col min="9990" max="9990" width="10.08984375" customWidth="1"/>
    <col min="9991" max="9991" width="12.08984375" customWidth="1"/>
    <col min="9994" max="9994" width="10.54296875" customWidth="1"/>
    <col min="9995" max="9995" width="10.90625" customWidth="1"/>
    <col min="9996" max="9996" width="11.26953125" customWidth="1"/>
    <col min="9997" max="9997" width="10.7265625" customWidth="1"/>
    <col min="9998" max="9998" width="10.90625" customWidth="1"/>
    <col min="10242" max="10242" width="17.26953125" customWidth="1"/>
    <col min="10243" max="10243" width="12" customWidth="1"/>
    <col min="10244" max="10244" width="11.54296875" customWidth="1"/>
    <col min="10245" max="10245" width="10.7265625" customWidth="1"/>
    <col min="10246" max="10246" width="10.08984375" customWidth="1"/>
    <col min="10247" max="10247" width="12.08984375" customWidth="1"/>
    <col min="10250" max="10250" width="10.54296875" customWidth="1"/>
    <col min="10251" max="10251" width="10.90625" customWidth="1"/>
    <col min="10252" max="10252" width="11.26953125" customWidth="1"/>
    <col min="10253" max="10253" width="10.7265625" customWidth="1"/>
    <col min="10254" max="10254" width="10.90625" customWidth="1"/>
    <col min="10498" max="10498" width="17.26953125" customWidth="1"/>
    <col min="10499" max="10499" width="12" customWidth="1"/>
    <col min="10500" max="10500" width="11.54296875" customWidth="1"/>
    <col min="10501" max="10501" width="10.7265625" customWidth="1"/>
    <col min="10502" max="10502" width="10.08984375" customWidth="1"/>
    <col min="10503" max="10503" width="12.08984375" customWidth="1"/>
    <col min="10506" max="10506" width="10.54296875" customWidth="1"/>
    <col min="10507" max="10507" width="10.90625" customWidth="1"/>
    <col min="10508" max="10508" width="11.26953125" customWidth="1"/>
    <col min="10509" max="10509" width="10.7265625" customWidth="1"/>
    <col min="10510" max="10510" width="10.90625" customWidth="1"/>
    <col min="10754" max="10754" width="17.26953125" customWidth="1"/>
    <col min="10755" max="10755" width="12" customWidth="1"/>
    <col min="10756" max="10756" width="11.54296875" customWidth="1"/>
    <col min="10757" max="10757" width="10.7265625" customWidth="1"/>
    <col min="10758" max="10758" width="10.08984375" customWidth="1"/>
    <col min="10759" max="10759" width="12.08984375" customWidth="1"/>
    <col min="10762" max="10762" width="10.54296875" customWidth="1"/>
    <col min="10763" max="10763" width="10.90625" customWidth="1"/>
    <col min="10764" max="10764" width="11.26953125" customWidth="1"/>
    <col min="10765" max="10765" width="10.7265625" customWidth="1"/>
    <col min="10766" max="10766" width="10.90625" customWidth="1"/>
    <col min="11010" max="11010" width="17.26953125" customWidth="1"/>
    <col min="11011" max="11011" width="12" customWidth="1"/>
    <col min="11012" max="11012" width="11.54296875" customWidth="1"/>
    <col min="11013" max="11013" width="10.7265625" customWidth="1"/>
    <col min="11014" max="11014" width="10.08984375" customWidth="1"/>
    <col min="11015" max="11015" width="12.08984375" customWidth="1"/>
    <col min="11018" max="11018" width="10.54296875" customWidth="1"/>
    <col min="11019" max="11019" width="10.90625" customWidth="1"/>
    <col min="11020" max="11020" width="11.26953125" customWidth="1"/>
    <col min="11021" max="11021" width="10.7265625" customWidth="1"/>
    <col min="11022" max="11022" width="10.90625" customWidth="1"/>
    <col min="11266" max="11266" width="17.26953125" customWidth="1"/>
    <col min="11267" max="11267" width="12" customWidth="1"/>
    <col min="11268" max="11268" width="11.54296875" customWidth="1"/>
    <col min="11269" max="11269" width="10.7265625" customWidth="1"/>
    <col min="11270" max="11270" width="10.08984375" customWidth="1"/>
    <col min="11271" max="11271" width="12.08984375" customWidth="1"/>
    <col min="11274" max="11274" width="10.54296875" customWidth="1"/>
    <col min="11275" max="11275" width="10.90625" customWidth="1"/>
    <col min="11276" max="11276" width="11.26953125" customWidth="1"/>
    <col min="11277" max="11277" width="10.7265625" customWidth="1"/>
    <col min="11278" max="11278" width="10.90625" customWidth="1"/>
    <col min="11522" max="11522" width="17.26953125" customWidth="1"/>
    <col min="11523" max="11523" width="12" customWidth="1"/>
    <col min="11524" max="11524" width="11.54296875" customWidth="1"/>
    <col min="11525" max="11525" width="10.7265625" customWidth="1"/>
    <col min="11526" max="11526" width="10.08984375" customWidth="1"/>
    <col min="11527" max="11527" width="12.08984375" customWidth="1"/>
    <col min="11530" max="11530" width="10.54296875" customWidth="1"/>
    <col min="11531" max="11531" width="10.90625" customWidth="1"/>
    <col min="11532" max="11532" width="11.26953125" customWidth="1"/>
    <col min="11533" max="11533" width="10.7265625" customWidth="1"/>
    <col min="11534" max="11534" width="10.90625" customWidth="1"/>
    <col min="11778" max="11778" width="17.26953125" customWidth="1"/>
    <col min="11779" max="11779" width="12" customWidth="1"/>
    <col min="11780" max="11780" width="11.54296875" customWidth="1"/>
    <col min="11781" max="11781" width="10.7265625" customWidth="1"/>
    <col min="11782" max="11782" width="10.08984375" customWidth="1"/>
    <col min="11783" max="11783" width="12.08984375" customWidth="1"/>
    <col min="11786" max="11786" width="10.54296875" customWidth="1"/>
    <col min="11787" max="11787" width="10.90625" customWidth="1"/>
    <col min="11788" max="11788" width="11.26953125" customWidth="1"/>
    <col min="11789" max="11789" width="10.7265625" customWidth="1"/>
    <col min="11790" max="11790" width="10.90625" customWidth="1"/>
    <col min="12034" max="12034" width="17.26953125" customWidth="1"/>
    <col min="12035" max="12035" width="12" customWidth="1"/>
    <col min="12036" max="12036" width="11.54296875" customWidth="1"/>
    <col min="12037" max="12037" width="10.7265625" customWidth="1"/>
    <col min="12038" max="12038" width="10.08984375" customWidth="1"/>
    <col min="12039" max="12039" width="12.08984375" customWidth="1"/>
    <col min="12042" max="12042" width="10.54296875" customWidth="1"/>
    <col min="12043" max="12043" width="10.90625" customWidth="1"/>
    <col min="12044" max="12044" width="11.26953125" customWidth="1"/>
    <col min="12045" max="12045" width="10.7265625" customWidth="1"/>
    <col min="12046" max="12046" width="10.90625" customWidth="1"/>
    <col min="12290" max="12290" width="17.26953125" customWidth="1"/>
    <col min="12291" max="12291" width="12" customWidth="1"/>
    <col min="12292" max="12292" width="11.54296875" customWidth="1"/>
    <col min="12293" max="12293" width="10.7265625" customWidth="1"/>
    <col min="12294" max="12294" width="10.08984375" customWidth="1"/>
    <col min="12295" max="12295" width="12.08984375" customWidth="1"/>
    <col min="12298" max="12298" width="10.54296875" customWidth="1"/>
    <col min="12299" max="12299" width="10.90625" customWidth="1"/>
    <col min="12300" max="12300" width="11.26953125" customWidth="1"/>
    <col min="12301" max="12301" width="10.7265625" customWidth="1"/>
    <col min="12302" max="12302" width="10.90625" customWidth="1"/>
    <col min="12546" max="12546" width="17.26953125" customWidth="1"/>
    <col min="12547" max="12547" width="12" customWidth="1"/>
    <col min="12548" max="12548" width="11.54296875" customWidth="1"/>
    <col min="12549" max="12549" width="10.7265625" customWidth="1"/>
    <col min="12550" max="12550" width="10.08984375" customWidth="1"/>
    <col min="12551" max="12551" width="12.08984375" customWidth="1"/>
    <col min="12554" max="12554" width="10.54296875" customWidth="1"/>
    <col min="12555" max="12555" width="10.90625" customWidth="1"/>
    <col min="12556" max="12556" width="11.26953125" customWidth="1"/>
    <col min="12557" max="12557" width="10.7265625" customWidth="1"/>
    <col min="12558" max="12558" width="10.90625" customWidth="1"/>
    <col min="12802" max="12802" width="17.26953125" customWidth="1"/>
    <col min="12803" max="12803" width="12" customWidth="1"/>
    <col min="12804" max="12804" width="11.54296875" customWidth="1"/>
    <col min="12805" max="12805" width="10.7265625" customWidth="1"/>
    <col min="12806" max="12806" width="10.08984375" customWidth="1"/>
    <col min="12807" max="12807" width="12.08984375" customWidth="1"/>
    <col min="12810" max="12810" width="10.54296875" customWidth="1"/>
    <col min="12811" max="12811" width="10.90625" customWidth="1"/>
    <col min="12812" max="12812" width="11.26953125" customWidth="1"/>
    <col min="12813" max="12813" width="10.7265625" customWidth="1"/>
    <col min="12814" max="12814" width="10.90625" customWidth="1"/>
    <col min="13058" max="13058" width="17.26953125" customWidth="1"/>
    <col min="13059" max="13059" width="12" customWidth="1"/>
    <col min="13060" max="13060" width="11.54296875" customWidth="1"/>
    <col min="13061" max="13061" width="10.7265625" customWidth="1"/>
    <col min="13062" max="13062" width="10.08984375" customWidth="1"/>
    <col min="13063" max="13063" width="12.08984375" customWidth="1"/>
    <col min="13066" max="13066" width="10.54296875" customWidth="1"/>
    <col min="13067" max="13067" width="10.90625" customWidth="1"/>
    <col min="13068" max="13068" width="11.26953125" customWidth="1"/>
    <col min="13069" max="13069" width="10.7265625" customWidth="1"/>
    <col min="13070" max="13070" width="10.90625" customWidth="1"/>
    <col min="13314" max="13314" width="17.26953125" customWidth="1"/>
    <col min="13315" max="13315" width="12" customWidth="1"/>
    <col min="13316" max="13316" width="11.54296875" customWidth="1"/>
    <col min="13317" max="13317" width="10.7265625" customWidth="1"/>
    <col min="13318" max="13318" width="10.08984375" customWidth="1"/>
    <col min="13319" max="13319" width="12.08984375" customWidth="1"/>
    <col min="13322" max="13322" width="10.54296875" customWidth="1"/>
    <col min="13323" max="13323" width="10.90625" customWidth="1"/>
    <col min="13324" max="13324" width="11.26953125" customWidth="1"/>
    <col min="13325" max="13325" width="10.7265625" customWidth="1"/>
    <col min="13326" max="13326" width="10.90625" customWidth="1"/>
    <col min="13570" max="13570" width="17.26953125" customWidth="1"/>
    <col min="13571" max="13571" width="12" customWidth="1"/>
    <col min="13572" max="13572" width="11.54296875" customWidth="1"/>
    <col min="13573" max="13573" width="10.7265625" customWidth="1"/>
    <col min="13574" max="13574" width="10.08984375" customWidth="1"/>
    <col min="13575" max="13575" width="12.08984375" customWidth="1"/>
    <col min="13578" max="13578" width="10.54296875" customWidth="1"/>
    <col min="13579" max="13579" width="10.90625" customWidth="1"/>
    <col min="13580" max="13580" width="11.26953125" customWidth="1"/>
    <col min="13581" max="13581" width="10.7265625" customWidth="1"/>
    <col min="13582" max="13582" width="10.90625" customWidth="1"/>
    <col min="13826" max="13826" width="17.26953125" customWidth="1"/>
    <col min="13827" max="13827" width="12" customWidth="1"/>
    <col min="13828" max="13828" width="11.54296875" customWidth="1"/>
    <col min="13829" max="13829" width="10.7265625" customWidth="1"/>
    <col min="13830" max="13830" width="10.08984375" customWidth="1"/>
    <col min="13831" max="13831" width="12.08984375" customWidth="1"/>
    <col min="13834" max="13834" width="10.54296875" customWidth="1"/>
    <col min="13835" max="13835" width="10.90625" customWidth="1"/>
    <col min="13836" max="13836" width="11.26953125" customWidth="1"/>
    <col min="13837" max="13837" width="10.7265625" customWidth="1"/>
    <col min="13838" max="13838" width="10.90625" customWidth="1"/>
    <col min="14082" max="14082" width="17.26953125" customWidth="1"/>
    <col min="14083" max="14083" width="12" customWidth="1"/>
    <col min="14084" max="14084" width="11.54296875" customWidth="1"/>
    <col min="14085" max="14085" width="10.7265625" customWidth="1"/>
    <col min="14086" max="14086" width="10.08984375" customWidth="1"/>
    <col min="14087" max="14087" width="12.08984375" customWidth="1"/>
    <col min="14090" max="14090" width="10.54296875" customWidth="1"/>
    <col min="14091" max="14091" width="10.90625" customWidth="1"/>
    <col min="14092" max="14092" width="11.26953125" customWidth="1"/>
    <col min="14093" max="14093" width="10.7265625" customWidth="1"/>
    <col min="14094" max="14094" width="10.90625" customWidth="1"/>
    <col min="14338" max="14338" width="17.26953125" customWidth="1"/>
    <col min="14339" max="14339" width="12" customWidth="1"/>
    <col min="14340" max="14340" width="11.54296875" customWidth="1"/>
    <col min="14341" max="14341" width="10.7265625" customWidth="1"/>
    <col min="14342" max="14342" width="10.08984375" customWidth="1"/>
    <col min="14343" max="14343" width="12.08984375" customWidth="1"/>
    <col min="14346" max="14346" width="10.54296875" customWidth="1"/>
    <col min="14347" max="14347" width="10.90625" customWidth="1"/>
    <col min="14348" max="14348" width="11.26953125" customWidth="1"/>
    <col min="14349" max="14349" width="10.7265625" customWidth="1"/>
    <col min="14350" max="14350" width="10.90625" customWidth="1"/>
    <col min="14594" max="14594" width="17.26953125" customWidth="1"/>
    <col min="14595" max="14595" width="12" customWidth="1"/>
    <col min="14596" max="14596" width="11.54296875" customWidth="1"/>
    <col min="14597" max="14597" width="10.7265625" customWidth="1"/>
    <col min="14598" max="14598" width="10.08984375" customWidth="1"/>
    <col min="14599" max="14599" width="12.08984375" customWidth="1"/>
    <col min="14602" max="14602" width="10.54296875" customWidth="1"/>
    <col min="14603" max="14603" width="10.90625" customWidth="1"/>
    <col min="14604" max="14604" width="11.26953125" customWidth="1"/>
    <col min="14605" max="14605" width="10.7265625" customWidth="1"/>
    <col min="14606" max="14606" width="10.90625" customWidth="1"/>
    <col min="14850" max="14850" width="17.26953125" customWidth="1"/>
    <col min="14851" max="14851" width="12" customWidth="1"/>
    <col min="14852" max="14852" width="11.54296875" customWidth="1"/>
    <col min="14853" max="14853" width="10.7265625" customWidth="1"/>
    <col min="14854" max="14854" width="10.08984375" customWidth="1"/>
    <col min="14855" max="14855" width="12.08984375" customWidth="1"/>
    <col min="14858" max="14858" width="10.54296875" customWidth="1"/>
    <col min="14859" max="14859" width="10.90625" customWidth="1"/>
    <col min="14860" max="14860" width="11.26953125" customWidth="1"/>
    <col min="14861" max="14861" width="10.7265625" customWidth="1"/>
    <col min="14862" max="14862" width="10.90625" customWidth="1"/>
    <col min="15106" max="15106" width="17.26953125" customWidth="1"/>
    <col min="15107" max="15107" width="12" customWidth="1"/>
    <col min="15108" max="15108" width="11.54296875" customWidth="1"/>
    <col min="15109" max="15109" width="10.7265625" customWidth="1"/>
    <col min="15110" max="15110" width="10.08984375" customWidth="1"/>
    <col min="15111" max="15111" width="12.08984375" customWidth="1"/>
    <col min="15114" max="15114" width="10.54296875" customWidth="1"/>
    <col min="15115" max="15115" width="10.90625" customWidth="1"/>
    <col min="15116" max="15116" width="11.26953125" customWidth="1"/>
    <col min="15117" max="15117" width="10.7265625" customWidth="1"/>
    <col min="15118" max="15118" width="10.90625" customWidth="1"/>
    <col min="15362" max="15362" width="17.26953125" customWidth="1"/>
    <col min="15363" max="15363" width="12" customWidth="1"/>
    <col min="15364" max="15364" width="11.54296875" customWidth="1"/>
    <col min="15365" max="15365" width="10.7265625" customWidth="1"/>
    <col min="15366" max="15366" width="10.08984375" customWidth="1"/>
    <col min="15367" max="15367" width="12.08984375" customWidth="1"/>
    <col min="15370" max="15370" width="10.54296875" customWidth="1"/>
    <col min="15371" max="15371" width="10.90625" customWidth="1"/>
    <col min="15372" max="15372" width="11.26953125" customWidth="1"/>
    <col min="15373" max="15373" width="10.7265625" customWidth="1"/>
    <col min="15374" max="15374" width="10.90625" customWidth="1"/>
    <col min="15618" max="15618" width="17.26953125" customWidth="1"/>
    <col min="15619" max="15619" width="12" customWidth="1"/>
    <col min="15620" max="15620" width="11.54296875" customWidth="1"/>
    <col min="15621" max="15621" width="10.7265625" customWidth="1"/>
    <col min="15622" max="15622" width="10.08984375" customWidth="1"/>
    <col min="15623" max="15623" width="12.08984375" customWidth="1"/>
    <col min="15626" max="15626" width="10.54296875" customWidth="1"/>
    <col min="15627" max="15627" width="10.90625" customWidth="1"/>
    <col min="15628" max="15628" width="11.26953125" customWidth="1"/>
    <col min="15629" max="15629" width="10.7265625" customWidth="1"/>
    <col min="15630" max="15630" width="10.90625" customWidth="1"/>
    <col min="15874" max="15874" width="17.26953125" customWidth="1"/>
    <col min="15875" max="15875" width="12" customWidth="1"/>
    <col min="15876" max="15876" width="11.54296875" customWidth="1"/>
    <col min="15877" max="15877" width="10.7265625" customWidth="1"/>
    <col min="15878" max="15878" width="10.08984375" customWidth="1"/>
    <col min="15879" max="15879" width="12.08984375" customWidth="1"/>
    <col min="15882" max="15882" width="10.54296875" customWidth="1"/>
    <col min="15883" max="15883" width="10.90625" customWidth="1"/>
    <col min="15884" max="15884" width="11.26953125" customWidth="1"/>
    <col min="15885" max="15885" width="10.7265625" customWidth="1"/>
    <col min="15886" max="15886" width="10.90625" customWidth="1"/>
    <col min="16130" max="16130" width="17.26953125" customWidth="1"/>
    <col min="16131" max="16131" width="12" customWidth="1"/>
    <col min="16132" max="16132" width="11.54296875" customWidth="1"/>
    <col min="16133" max="16133" width="10.7265625" customWidth="1"/>
    <col min="16134" max="16134" width="10.08984375" customWidth="1"/>
    <col min="16135" max="16135" width="12.08984375" customWidth="1"/>
    <col min="16138" max="16138" width="10.54296875" customWidth="1"/>
    <col min="16139" max="16139" width="10.90625" customWidth="1"/>
    <col min="16140" max="16140" width="11.26953125" customWidth="1"/>
    <col min="16141" max="16141" width="10.7265625" customWidth="1"/>
    <col min="16142" max="16142" width="10.90625" customWidth="1"/>
  </cols>
  <sheetData>
    <row r="1" spans="2:14" ht="20" x14ac:dyDescent="0.4">
      <c r="B1" s="1" t="s">
        <v>25</v>
      </c>
      <c r="J1" s="1" t="s">
        <v>26</v>
      </c>
    </row>
    <row r="3" spans="2:14" ht="15" thickBot="1" x14ac:dyDescent="0.4">
      <c r="B3" s="2" t="s">
        <v>27</v>
      </c>
      <c r="C3" s="2"/>
      <c r="D3" s="2"/>
      <c r="E3" s="43">
        <v>100</v>
      </c>
      <c r="F3" s="44" t="s">
        <v>28</v>
      </c>
    </row>
    <row r="4" spans="2:14" ht="15" thickBot="1" x14ac:dyDescent="0.4">
      <c r="B4" s="2" t="s">
        <v>29</v>
      </c>
      <c r="C4" s="2"/>
      <c r="D4" s="2"/>
      <c r="E4" s="45">
        <v>0.05</v>
      </c>
      <c r="F4" s="44"/>
      <c r="G4" s="46"/>
      <c r="H4" s="46"/>
      <c r="I4" s="46"/>
      <c r="L4" s="47" t="s">
        <v>30</v>
      </c>
    </row>
    <row r="5" spans="2:14" ht="15" thickBot="1" x14ac:dyDescent="0.4">
      <c r="G5" s="46"/>
      <c r="H5" s="46"/>
      <c r="I5" s="46"/>
      <c r="L5" s="48">
        <v>9.9500000000000005E-2</v>
      </c>
    </row>
    <row r="6" spans="2:14" x14ac:dyDescent="0.35">
      <c r="E6" s="46"/>
      <c r="F6" s="46"/>
      <c r="G6" s="46"/>
      <c r="H6" s="46"/>
      <c r="I6" s="46"/>
    </row>
    <row r="7" spans="2:14" ht="81" customHeight="1" thickBot="1" x14ac:dyDescent="0.4">
      <c r="B7" s="49" t="s">
        <v>31</v>
      </c>
      <c r="C7" s="50" t="s">
        <v>32</v>
      </c>
      <c r="D7" s="50" t="s">
        <v>33</v>
      </c>
      <c r="E7" s="49" t="s">
        <v>34</v>
      </c>
      <c r="F7" s="49" t="s">
        <v>35</v>
      </c>
      <c r="G7" s="49" t="s">
        <v>36</v>
      </c>
      <c r="H7" s="49" t="s">
        <v>37</v>
      </c>
      <c r="I7" s="46"/>
      <c r="J7" s="147" t="s">
        <v>38</v>
      </c>
      <c r="K7" s="147"/>
      <c r="L7" s="2"/>
      <c r="M7" s="147" t="s">
        <v>39</v>
      </c>
      <c r="N7" s="147"/>
    </row>
    <row r="8" spans="2:14" x14ac:dyDescent="0.35">
      <c r="B8" s="17">
        <v>0</v>
      </c>
      <c r="C8" s="51">
        <v>0.01</v>
      </c>
      <c r="D8" s="51"/>
      <c r="J8" s="52" t="s">
        <v>40</v>
      </c>
      <c r="K8" s="52">
        <v>0.1</v>
      </c>
      <c r="L8" s="52"/>
      <c r="M8" s="52" t="s">
        <v>40</v>
      </c>
      <c r="N8" s="52">
        <v>0.112</v>
      </c>
    </row>
    <row r="9" spans="2:14" x14ac:dyDescent="0.35">
      <c r="B9" s="17">
        <v>1</v>
      </c>
      <c r="C9" s="51">
        <f>+C8+0.0025</f>
        <v>1.2500000000000001E-2</v>
      </c>
      <c r="D9" s="51">
        <v>0.03</v>
      </c>
      <c r="E9" s="53">
        <f t="shared" ref="E9:E14" si="0">(C8+D9)*$E$3/2</f>
        <v>2</v>
      </c>
      <c r="F9" s="54">
        <f t="shared" ref="F9:F14" si="1">$E$4*$E$3/2</f>
        <v>2.5</v>
      </c>
      <c r="G9" s="54">
        <f t="shared" ref="G9:G14" si="2">-F9</f>
        <v>-2.5</v>
      </c>
      <c r="H9" s="54">
        <f t="shared" ref="H9:H14" si="3">+F9-E9</f>
        <v>0.5</v>
      </c>
      <c r="J9" s="52" t="s">
        <v>41</v>
      </c>
      <c r="K9" s="52">
        <v>3.0000000000000001E-3</v>
      </c>
      <c r="L9" s="52"/>
      <c r="M9" s="52" t="s">
        <v>41</v>
      </c>
      <c r="N9" s="52">
        <v>0.01</v>
      </c>
    </row>
    <row r="10" spans="2:14" x14ac:dyDescent="0.35">
      <c r="B10" s="17">
        <v>2</v>
      </c>
      <c r="C10" s="51">
        <f>+C9+0.0025</f>
        <v>1.5000000000000001E-2</v>
      </c>
      <c r="D10" s="51">
        <v>0.03</v>
      </c>
      <c r="E10" s="53">
        <f t="shared" si="0"/>
        <v>2.125</v>
      </c>
      <c r="F10" s="54">
        <f t="shared" si="1"/>
        <v>2.5</v>
      </c>
      <c r="G10" s="54">
        <f t="shared" si="2"/>
        <v>-2.5</v>
      </c>
      <c r="H10" s="54">
        <f t="shared" si="3"/>
        <v>0.375</v>
      </c>
      <c r="J10" t="s">
        <v>42</v>
      </c>
      <c r="K10" s="6" t="s">
        <v>43</v>
      </c>
      <c r="M10" t="s">
        <v>44</v>
      </c>
      <c r="N10" s="6" t="s">
        <v>45</v>
      </c>
    </row>
    <row r="11" spans="2:14" x14ac:dyDescent="0.35">
      <c r="B11" s="17">
        <v>3</v>
      </c>
      <c r="C11" s="51">
        <f>+C10+0.0025</f>
        <v>1.7500000000000002E-2</v>
      </c>
      <c r="D11" s="51">
        <v>0.03</v>
      </c>
      <c r="E11" s="53">
        <f t="shared" si="0"/>
        <v>2.25</v>
      </c>
      <c r="F11" s="54">
        <f t="shared" si="1"/>
        <v>2.5</v>
      </c>
      <c r="G11" s="54">
        <f t="shared" si="2"/>
        <v>-2.5</v>
      </c>
      <c r="H11" s="54">
        <f t="shared" si="3"/>
        <v>0.25</v>
      </c>
      <c r="J11" t="s">
        <v>46</v>
      </c>
      <c r="K11" s="6" t="s">
        <v>47</v>
      </c>
      <c r="M11" t="s">
        <v>46</v>
      </c>
      <c r="N11" s="6" t="s">
        <v>48</v>
      </c>
    </row>
    <row r="12" spans="2:14" x14ac:dyDescent="0.35">
      <c r="B12" s="17">
        <v>4</v>
      </c>
      <c r="C12" s="51">
        <f>+C11+0.005</f>
        <v>2.2500000000000003E-2</v>
      </c>
      <c r="D12" s="51">
        <v>0.03</v>
      </c>
      <c r="E12" s="53">
        <f t="shared" si="0"/>
        <v>2.375</v>
      </c>
      <c r="F12" s="54">
        <f t="shared" si="1"/>
        <v>2.5</v>
      </c>
      <c r="G12" s="54">
        <f t="shared" si="2"/>
        <v>-2.5</v>
      </c>
      <c r="H12" s="54">
        <f t="shared" si="3"/>
        <v>0.125</v>
      </c>
    </row>
    <row r="13" spans="2:14" x14ac:dyDescent="0.35">
      <c r="B13" s="17">
        <v>5</v>
      </c>
      <c r="C13" s="51">
        <f>+C12+0.005</f>
        <v>2.7500000000000004E-2</v>
      </c>
      <c r="D13" s="51">
        <v>0.03</v>
      </c>
      <c r="E13" s="53">
        <f t="shared" si="0"/>
        <v>2.6250000000000004</v>
      </c>
      <c r="F13" s="54">
        <f t="shared" si="1"/>
        <v>2.5</v>
      </c>
      <c r="G13" s="54">
        <f t="shared" si="2"/>
        <v>-2.5</v>
      </c>
      <c r="H13" s="54">
        <f t="shared" si="3"/>
        <v>-0.12500000000000044</v>
      </c>
      <c r="J13" s="55" t="s">
        <v>49</v>
      </c>
      <c r="K13" s="55"/>
      <c r="L13" s="55"/>
      <c r="M13" s="55" t="s">
        <v>49</v>
      </c>
    </row>
    <row r="14" spans="2:14" x14ac:dyDescent="0.35">
      <c r="B14" s="17">
        <v>6</v>
      </c>
      <c r="C14" s="51">
        <f>+C13+0.005</f>
        <v>3.2500000000000001E-2</v>
      </c>
      <c r="D14" s="51">
        <v>0.03</v>
      </c>
      <c r="E14" s="53">
        <f t="shared" si="0"/>
        <v>2.875</v>
      </c>
      <c r="F14" s="54">
        <f t="shared" si="1"/>
        <v>2.5</v>
      </c>
      <c r="G14" s="54">
        <f t="shared" si="2"/>
        <v>-2.5</v>
      </c>
      <c r="H14" s="54">
        <f t="shared" si="3"/>
        <v>-0.375</v>
      </c>
      <c r="J14" t="s">
        <v>50</v>
      </c>
      <c r="K14" s="56">
        <f>-K8</f>
        <v>-0.1</v>
      </c>
      <c r="M14" t="s">
        <v>50</v>
      </c>
      <c r="N14" s="57" t="s">
        <v>51</v>
      </c>
    </row>
    <row r="15" spans="2:14" x14ac:dyDescent="0.35">
      <c r="B15" s="42"/>
      <c r="C15" s="58"/>
      <c r="D15" s="58"/>
      <c r="E15" s="58"/>
      <c r="F15" s="58"/>
      <c r="G15" s="58"/>
      <c r="H15" s="58"/>
      <c r="J15" t="s">
        <v>50</v>
      </c>
      <c r="K15" s="59" t="s">
        <v>52</v>
      </c>
      <c r="M15" t="s">
        <v>50</v>
      </c>
      <c r="N15" s="60">
        <f>-L5</f>
        <v>-9.9500000000000005E-2</v>
      </c>
    </row>
    <row r="16" spans="2:14" x14ac:dyDescent="0.35">
      <c r="B16" t="s">
        <v>53</v>
      </c>
      <c r="J16" t="s">
        <v>54</v>
      </c>
      <c r="K16" s="56">
        <f>+L5</f>
        <v>9.9500000000000005E-2</v>
      </c>
      <c r="M16" t="s">
        <v>54</v>
      </c>
      <c r="N16" s="60" t="s">
        <v>55</v>
      </c>
    </row>
    <row r="17" spans="2:14" x14ac:dyDescent="0.35">
      <c r="J17" t="s">
        <v>56</v>
      </c>
      <c r="K17" s="8" t="s">
        <v>57</v>
      </c>
      <c r="M17" t="s">
        <v>56</v>
      </c>
      <c r="N17" s="61">
        <f>-N9+N15</f>
        <v>-0.1095</v>
      </c>
    </row>
    <row r="18" spans="2:14" ht="15" thickBot="1" x14ac:dyDescent="0.4">
      <c r="B18" s="17"/>
      <c r="J18" t="s">
        <v>58</v>
      </c>
      <c r="K18" s="62">
        <f>+K9+K16+K14</f>
        <v>2.5000000000000022E-3</v>
      </c>
      <c r="M18" t="s">
        <v>58</v>
      </c>
      <c r="N18" s="62">
        <f>+N8+N17</f>
        <v>2.5000000000000022E-3</v>
      </c>
    </row>
    <row r="19" spans="2:14" ht="20.5" thickTop="1" x14ac:dyDescent="0.4">
      <c r="B19" s="1" t="s">
        <v>59</v>
      </c>
    </row>
    <row r="20" spans="2:14" ht="8.25" customHeight="1" thickBot="1" x14ac:dyDescent="0.45">
      <c r="B20" s="1"/>
    </row>
    <row r="21" spans="2:14" ht="15" thickBot="1" x14ac:dyDescent="0.4">
      <c r="C21" s="63"/>
      <c r="E21" s="47" t="s">
        <v>60</v>
      </c>
    </row>
    <row r="22" spans="2:14" x14ac:dyDescent="0.35">
      <c r="E22" s="64">
        <v>0</v>
      </c>
      <c r="F22" s="64">
        <v>1</v>
      </c>
      <c r="G22" s="64">
        <v>2</v>
      </c>
      <c r="H22" s="64">
        <v>3</v>
      </c>
      <c r="I22" s="64">
        <v>4</v>
      </c>
      <c r="J22" s="64">
        <v>5</v>
      </c>
      <c r="K22" s="64">
        <v>6</v>
      </c>
    </row>
    <row r="23" spans="2:14" x14ac:dyDescent="0.35">
      <c r="B23" t="s">
        <v>61</v>
      </c>
      <c r="E23" s="53">
        <f>+E3</f>
        <v>100</v>
      </c>
      <c r="F23" s="53">
        <f t="shared" ref="F23:K23" si="4">+E23-F24</f>
        <v>100</v>
      </c>
      <c r="G23" s="53">
        <f t="shared" si="4"/>
        <v>100</v>
      </c>
      <c r="H23" s="53">
        <f t="shared" si="4"/>
        <v>100</v>
      </c>
      <c r="I23" s="53">
        <f t="shared" si="4"/>
        <v>100</v>
      </c>
      <c r="J23" s="53">
        <f t="shared" si="4"/>
        <v>100</v>
      </c>
      <c r="K23" s="53">
        <f t="shared" si="4"/>
        <v>0</v>
      </c>
    </row>
    <row r="24" spans="2:14" x14ac:dyDescent="0.35">
      <c r="B24" t="s">
        <v>62</v>
      </c>
      <c r="E24" s="53"/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f>+J23</f>
        <v>100</v>
      </c>
    </row>
    <row r="25" spans="2:14" x14ac:dyDescent="0.35">
      <c r="B25" t="s">
        <v>63</v>
      </c>
      <c r="E25" s="53"/>
      <c r="F25" s="53">
        <f t="shared" ref="F25:K25" si="5">+E23*F29/2</f>
        <v>2</v>
      </c>
      <c r="G25" s="53">
        <f t="shared" si="5"/>
        <v>2.125</v>
      </c>
      <c r="H25" s="53">
        <f t="shared" si="5"/>
        <v>2.25</v>
      </c>
      <c r="I25" s="53">
        <f t="shared" si="5"/>
        <v>2.375</v>
      </c>
      <c r="J25" s="53">
        <f t="shared" si="5"/>
        <v>2.6250000000000004</v>
      </c>
      <c r="K25" s="53">
        <f t="shared" si="5"/>
        <v>2.875</v>
      </c>
    </row>
    <row r="26" spans="2:14" x14ac:dyDescent="0.35">
      <c r="B26" t="s">
        <v>64</v>
      </c>
      <c r="C26" s="65"/>
      <c r="E26" s="53">
        <f>-E23</f>
        <v>-100</v>
      </c>
      <c r="F26" s="53">
        <f t="shared" ref="F26:K26" si="6">+F25+F24</f>
        <v>2</v>
      </c>
      <c r="G26" s="53">
        <f t="shared" si="6"/>
        <v>2.125</v>
      </c>
      <c r="H26" s="53">
        <f t="shared" si="6"/>
        <v>2.25</v>
      </c>
      <c r="I26" s="53">
        <f t="shared" si="6"/>
        <v>2.375</v>
      </c>
      <c r="J26" s="53">
        <f t="shared" si="6"/>
        <v>2.6250000000000004</v>
      </c>
      <c r="K26" s="53">
        <f t="shared" si="6"/>
        <v>102.875</v>
      </c>
    </row>
    <row r="27" spans="2:14" x14ac:dyDescent="0.35">
      <c r="B27" t="s">
        <v>65</v>
      </c>
      <c r="E27" s="66">
        <v>0.01</v>
      </c>
      <c r="F27" s="66">
        <f>+C9</f>
        <v>1.2500000000000001E-2</v>
      </c>
      <c r="G27" s="66">
        <f>+C10</f>
        <v>1.5000000000000001E-2</v>
      </c>
      <c r="H27" s="66">
        <f>+C11</f>
        <v>1.7500000000000002E-2</v>
      </c>
      <c r="I27" s="66">
        <f>+C12</f>
        <v>2.2500000000000003E-2</v>
      </c>
      <c r="J27" s="66">
        <f>+C13</f>
        <v>2.7500000000000004E-2</v>
      </c>
      <c r="K27" s="66"/>
    </row>
    <row r="28" spans="2:14" x14ac:dyDescent="0.35">
      <c r="B28" t="s">
        <v>66</v>
      </c>
      <c r="E28" s="67"/>
      <c r="F28" s="66">
        <v>0.03</v>
      </c>
      <c r="G28" s="67">
        <f>+F28</f>
        <v>0.03</v>
      </c>
      <c r="H28" s="67">
        <f>+G28</f>
        <v>0.03</v>
      </c>
      <c r="I28" s="67">
        <f>+H28</f>
        <v>0.03</v>
      </c>
      <c r="J28" s="67">
        <f>+I28</f>
        <v>0.03</v>
      </c>
      <c r="K28" s="67">
        <f>+J28</f>
        <v>0.03</v>
      </c>
    </row>
    <row r="29" spans="2:14" x14ac:dyDescent="0.35">
      <c r="B29" t="s">
        <v>67</v>
      </c>
      <c r="E29" s="67"/>
      <c r="F29" s="67">
        <f t="shared" ref="F29:K29" si="7">+F28+E27</f>
        <v>0.04</v>
      </c>
      <c r="G29" s="67">
        <f t="shared" si="7"/>
        <v>4.2499999999999996E-2</v>
      </c>
      <c r="H29" s="67">
        <f t="shared" si="7"/>
        <v>4.4999999999999998E-2</v>
      </c>
      <c r="I29" s="67">
        <f t="shared" si="7"/>
        <v>4.7500000000000001E-2</v>
      </c>
      <c r="J29" s="67">
        <f t="shared" si="7"/>
        <v>5.2500000000000005E-2</v>
      </c>
      <c r="K29" s="67">
        <f t="shared" si="7"/>
        <v>5.7500000000000002E-2</v>
      </c>
    </row>
    <row r="30" spans="2:14" ht="15" thickBot="1" x14ac:dyDescent="0.4">
      <c r="B30" s="17"/>
    </row>
    <row r="31" spans="2:14" ht="15" thickBot="1" x14ac:dyDescent="0.4">
      <c r="B31" s="17"/>
      <c r="E31" s="47" t="s">
        <v>68</v>
      </c>
    </row>
    <row r="32" spans="2:14" x14ac:dyDescent="0.35">
      <c r="B32" s="2" t="s">
        <v>69</v>
      </c>
    </row>
    <row r="33" spans="2:11" x14ac:dyDescent="0.35">
      <c r="B33" t="s">
        <v>61</v>
      </c>
      <c r="E33" s="53">
        <f>+E23</f>
        <v>100</v>
      </c>
      <c r="F33" s="53">
        <f t="shared" ref="F33:K33" si="8">+E33-F34</f>
        <v>100</v>
      </c>
      <c r="G33" s="53">
        <f t="shared" si="8"/>
        <v>100</v>
      </c>
      <c r="H33" s="53">
        <f t="shared" si="8"/>
        <v>100</v>
      </c>
      <c r="I33" s="53">
        <f t="shared" si="8"/>
        <v>100</v>
      </c>
      <c r="J33" s="53">
        <f t="shared" si="8"/>
        <v>100</v>
      </c>
      <c r="K33" s="53">
        <f t="shared" si="8"/>
        <v>0</v>
      </c>
    </row>
    <row r="34" spans="2:11" x14ac:dyDescent="0.35">
      <c r="B34" t="s">
        <v>62</v>
      </c>
      <c r="E34" s="53"/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f>+J33</f>
        <v>100</v>
      </c>
    </row>
    <row r="35" spans="2:11" x14ac:dyDescent="0.35">
      <c r="B35" t="s">
        <v>63</v>
      </c>
      <c r="E35" s="53"/>
      <c r="F35" s="53">
        <f t="shared" ref="F35:K35" si="9">+E33*F37/2</f>
        <v>2.5</v>
      </c>
      <c r="G35" s="53">
        <f t="shared" si="9"/>
        <v>2.5</v>
      </c>
      <c r="H35" s="53">
        <f t="shared" si="9"/>
        <v>2.5</v>
      </c>
      <c r="I35" s="53">
        <f t="shared" si="9"/>
        <v>2.5</v>
      </c>
      <c r="J35" s="53">
        <f t="shared" si="9"/>
        <v>2.5</v>
      </c>
      <c r="K35" s="53">
        <f t="shared" si="9"/>
        <v>2.5</v>
      </c>
    </row>
    <row r="36" spans="2:11" x14ac:dyDescent="0.35">
      <c r="B36" t="s">
        <v>64</v>
      </c>
      <c r="C36" s="65"/>
      <c r="E36" s="53">
        <f>-E33</f>
        <v>-100</v>
      </c>
      <c r="F36" s="53">
        <f t="shared" ref="F36:K36" si="10">+F35+F34</f>
        <v>2.5</v>
      </c>
      <c r="G36" s="53">
        <f t="shared" si="10"/>
        <v>2.5</v>
      </c>
      <c r="H36" s="53">
        <f t="shared" si="10"/>
        <v>2.5</v>
      </c>
      <c r="I36" s="53">
        <f t="shared" si="10"/>
        <v>2.5</v>
      </c>
      <c r="J36" s="53">
        <f t="shared" si="10"/>
        <v>2.5</v>
      </c>
      <c r="K36" s="53">
        <f t="shared" si="10"/>
        <v>102.5</v>
      </c>
    </row>
    <row r="37" spans="2:11" x14ac:dyDescent="0.35">
      <c r="B37" t="s">
        <v>67</v>
      </c>
      <c r="E37" s="67"/>
      <c r="F37" s="66">
        <f>+E4</f>
        <v>0.05</v>
      </c>
      <c r="G37" s="67">
        <f>+F37</f>
        <v>0.05</v>
      </c>
      <c r="H37" s="67">
        <f>+G37</f>
        <v>0.05</v>
      </c>
      <c r="I37" s="67">
        <f>+H37</f>
        <v>0.05</v>
      </c>
      <c r="J37" s="67">
        <f>+I37</f>
        <v>0.05</v>
      </c>
      <c r="K37" s="67">
        <f>+J37</f>
        <v>0.05</v>
      </c>
    </row>
    <row r="38" spans="2:11" x14ac:dyDescent="0.35">
      <c r="B38" s="17"/>
    </row>
    <row r="39" spans="2:11" ht="39.5" x14ac:dyDescent="0.35">
      <c r="B39" s="17"/>
      <c r="D39" s="68" t="s">
        <v>70</v>
      </c>
      <c r="E39" s="64">
        <v>0</v>
      </c>
      <c r="F39" s="64">
        <v>1</v>
      </c>
      <c r="G39" s="64">
        <v>2</v>
      </c>
      <c r="H39" s="64">
        <v>3</v>
      </c>
    </row>
    <row r="40" spans="2:11" x14ac:dyDescent="0.35">
      <c r="B40" s="16" t="s">
        <v>71</v>
      </c>
      <c r="D40" s="69">
        <f>IRR(E40:H40)</f>
        <v>4.7288748392483315E-2</v>
      </c>
      <c r="E40" s="5">
        <f>-E23</f>
        <v>-100</v>
      </c>
      <c r="F40" s="5">
        <f>+F26+G26</f>
        <v>4.125</v>
      </c>
      <c r="G40" s="5">
        <f>+H26+I26</f>
        <v>4.625</v>
      </c>
      <c r="H40" s="5">
        <f>+J26+K26</f>
        <v>105.5</v>
      </c>
    </row>
    <row r="41" spans="2:11" x14ac:dyDescent="0.35">
      <c r="B41" s="16" t="s">
        <v>72</v>
      </c>
      <c r="D41" s="70">
        <f>IRR(E41:H41)</f>
        <v>5.0000000000000044E-2</v>
      </c>
      <c r="E41" s="71">
        <f>+E40</f>
        <v>-100</v>
      </c>
      <c r="F41" s="71">
        <f>+F36+G36</f>
        <v>5</v>
      </c>
      <c r="G41" s="71">
        <f>+H36+I36</f>
        <v>5</v>
      </c>
      <c r="H41" s="71">
        <f>+J36+K36</f>
        <v>105</v>
      </c>
    </row>
    <row r="42" spans="2:11" x14ac:dyDescent="0.35">
      <c r="B42" s="16" t="s">
        <v>73</v>
      </c>
      <c r="E42" s="5"/>
      <c r="F42" s="5">
        <f>+F40-F41</f>
        <v>-0.875</v>
      </c>
      <c r="G42" s="5">
        <f>+G40-G41</f>
        <v>-0.375</v>
      </c>
      <c r="H42" s="5">
        <f>+H40-H41</f>
        <v>0.5</v>
      </c>
    </row>
    <row r="43" spans="2:11" x14ac:dyDescent="0.35">
      <c r="B43" s="17"/>
    </row>
    <row r="44" spans="2:11" ht="20" x14ac:dyDescent="0.4">
      <c r="B44" s="1" t="s">
        <v>74</v>
      </c>
    </row>
    <row r="46" spans="2:11" ht="15.5" x14ac:dyDescent="0.35">
      <c r="B46" s="72" t="s">
        <v>75</v>
      </c>
    </row>
    <row r="47" spans="2:11" x14ac:dyDescent="0.35">
      <c r="B47" s="2" t="s">
        <v>76</v>
      </c>
      <c r="C47" s="2"/>
      <c r="D47" s="2">
        <v>100</v>
      </c>
      <c r="E47" s="2" t="s">
        <v>77</v>
      </c>
    </row>
    <row r="48" spans="2:11" x14ac:dyDescent="0.35">
      <c r="B48" t="s">
        <v>78</v>
      </c>
      <c r="D48" s="56">
        <v>0.06</v>
      </c>
    </row>
    <row r="49" spans="2:14" x14ac:dyDescent="0.35">
      <c r="B49" t="s">
        <v>79</v>
      </c>
      <c r="D49" s="56">
        <v>7.0000000000000007E-2</v>
      </c>
    </row>
    <row r="50" spans="2:14" x14ac:dyDescent="0.35">
      <c r="B50" t="s">
        <v>80</v>
      </c>
      <c r="D50" s="4">
        <v>1.3</v>
      </c>
      <c r="E50" t="s">
        <v>81</v>
      </c>
    </row>
    <row r="51" spans="2:14" x14ac:dyDescent="0.35">
      <c r="D51" s="4"/>
    </row>
    <row r="52" spans="2:14" x14ac:dyDescent="0.35">
      <c r="B52" s="73" t="s">
        <v>82</v>
      </c>
      <c r="C52" s="58"/>
      <c r="D52" s="58"/>
      <c r="E52" s="58"/>
      <c r="I52" s="73" t="s">
        <v>83</v>
      </c>
      <c r="J52" s="58"/>
      <c r="K52" s="58"/>
      <c r="L52" s="58"/>
    </row>
    <row r="53" spans="2:14" ht="95.25" customHeight="1" thickBot="1" x14ac:dyDescent="0.4">
      <c r="B53" s="49" t="s">
        <v>84</v>
      </c>
      <c r="C53" s="49" t="s">
        <v>85</v>
      </c>
      <c r="D53" s="49" t="s">
        <v>86</v>
      </c>
      <c r="E53" s="49" t="s">
        <v>87</v>
      </c>
      <c r="G53" s="49" t="s">
        <v>88</v>
      </c>
      <c r="I53" s="49" t="s">
        <v>84</v>
      </c>
      <c r="J53" s="49" t="s">
        <v>89</v>
      </c>
      <c r="K53" s="49"/>
      <c r="L53" s="49" t="s">
        <v>87</v>
      </c>
      <c r="N53" s="49" t="s">
        <v>90</v>
      </c>
    </row>
    <row r="54" spans="2:14" x14ac:dyDescent="0.35">
      <c r="B54" s="17">
        <v>1</v>
      </c>
      <c r="C54" s="74">
        <f>-$D$48*$D$47</f>
        <v>-6</v>
      </c>
      <c r="D54" s="75">
        <v>1.32</v>
      </c>
      <c r="E54">
        <f>+D54*C54</f>
        <v>-7.92</v>
      </c>
      <c r="G54" s="76">
        <f>-E54/((1+$D$48)^B54)</f>
        <v>7.4716981132075464</v>
      </c>
      <c r="I54" s="17">
        <v>1</v>
      </c>
      <c r="J54" s="74">
        <f>-$E$61*$D$49</f>
        <v>-9.1000000000000014</v>
      </c>
      <c r="K54" s="75"/>
      <c r="L54" s="74">
        <f>+J54</f>
        <v>-9.1000000000000014</v>
      </c>
      <c r="N54" s="76">
        <f>-L54/((1+$D$48)^I54)</f>
        <v>8.584905660377359</v>
      </c>
    </row>
    <row r="55" spans="2:14" x14ac:dyDescent="0.35">
      <c r="B55" s="17">
        <v>2</v>
      </c>
      <c r="C55" s="74">
        <f>-$D$48*$D$47</f>
        <v>-6</v>
      </c>
      <c r="D55" s="75">
        <v>1.34</v>
      </c>
      <c r="E55">
        <f>+D55*C55</f>
        <v>-8.0400000000000009</v>
      </c>
      <c r="G55" s="76">
        <f>-E55/((1+$D$48)^B55)</f>
        <v>7.1555713777144891</v>
      </c>
      <c r="I55" s="17">
        <v>2</v>
      </c>
      <c r="J55" s="74">
        <f>-$E$61*$D$49</f>
        <v>-9.1000000000000014</v>
      </c>
      <c r="K55" s="75"/>
      <c r="L55" s="74">
        <f>+J55</f>
        <v>-9.1000000000000014</v>
      </c>
      <c r="N55" s="76">
        <f>-L55/((1+$D$48)^I55)</f>
        <v>8.0989676041295837</v>
      </c>
    </row>
    <row r="56" spans="2:14" x14ac:dyDescent="0.35">
      <c r="B56" s="17">
        <v>3</v>
      </c>
      <c r="C56" s="74">
        <f>-$D$48*$D$47-D47</f>
        <v>-106</v>
      </c>
      <c r="D56" s="75">
        <v>1.37</v>
      </c>
      <c r="E56">
        <f>+D56*C56</f>
        <v>-145.22</v>
      </c>
      <c r="G56" s="76">
        <f>-E56/((1+$D$48)^B56)</f>
        <v>121.92951228195084</v>
      </c>
      <c r="I56" s="17">
        <v>3</v>
      </c>
      <c r="J56" s="74">
        <f>-$E$61*$D$49-E61</f>
        <v>-139.1</v>
      </c>
      <c r="K56" s="75"/>
      <c r="L56" s="74">
        <f>+J56</f>
        <v>-139.1</v>
      </c>
      <c r="N56" s="76">
        <f>-L56/((1+$D$48)^I56)</f>
        <v>116.79104226979315</v>
      </c>
    </row>
    <row r="57" spans="2:14" ht="15" thickBot="1" x14ac:dyDescent="0.4">
      <c r="G57" s="77">
        <f>SUM(G54:G56)</f>
        <v>136.55678177287288</v>
      </c>
      <c r="N57" s="77">
        <f>SUM(N54:N56)</f>
        <v>133.4749155343001</v>
      </c>
    </row>
    <row r="58" spans="2:14" ht="15.5" thickTop="1" thickBot="1" x14ac:dyDescent="0.4"/>
    <row r="59" spans="2:14" ht="15" thickBot="1" x14ac:dyDescent="0.4">
      <c r="J59" s="78" t="s">
        <v>91</v>
      </c>
      <c r="K59" s="79">
        <f>+G57-N57</f>
        <v>3.0818662385727862</v>
      </c>
    </row>
    <row r="60" spans="2:14" ht="16" thickBot="1" x14ac:dyDescent="0.4">
      <c r="B60" s="72" t="s">
        <v>92</v>
      </c>
      <c r="M60" s="80" t="s">
        <v>93</v>
      </c>
      <c r="N60" s="81">
        <f>+D48</f>
        <v>0.06</v>
      </c>
    </row>
    <row r="61" spans="2:14" x14ac:dyDescent="0.35">
      <c r="B61" s="2" t="s">
        <v>94</v>
      </c>
      <c r="E61" s="54">
        <f>+D47*D50</f>
        <v>130</v>
      </c>
      <c r="F61" t="s">
        <v>95</v>
      </c>
    </row>
    <row r="62" spans="2:14" x14ac:dyDescent="0.35">
      <c r="B62" s="2" t="s">
        <v>96</v>
      </c>
      <c r="E62" s="56">
        <f>+D49</f>
        <v>7.0000000000000007E-2</v>
      </c>
    </row>
    <row r="63" spans="2:14" x14ac:dyDescent="0.35">
      <c r="B63" s="2" t="s">
        <v>97</v>
      </c>
      <c r="E63">
        <f>+D47</f>
        <v>100</v>
      </c>
      <c r="F63" t="s">
        <v>98</v>
      </c>
    </row>
    <row r="64" spans="2:14" x14ac:dyDescent="0.35">
      <c r="B64" s="2" t="s">
        <v>99</v>
      </c>
      <c r="E64" s="56">
        <f>+D48</f>
        <v>0.06</v>
      </c>
    </row>
    <row r="65" spans="2:9" x14ac:dyDescent="0.35">
      <c r="B65" s="2"/>
    </row>
    <row r="66" spans="2:9" ht="97.5" customHeight="1" thickBot="1" x14ac:dyDescent="0.4">
      <c r="B66" s="49" t="s">
        <v>84</v>
      </c>
      <c r="C66" s="49" t="s">
        <v>100</v>
      </c>
      <c r="D66" s="49" t="s">
        <v>101</v>
      </c>
      <c r="E66" s="49" t="s">
        <v>102</v>
      </c>
      <c r="F66" s="49" t="s">
        <v>103</v>
      </c>
      <c r="G66" s="49" t="s">
        <v>104</v>
      </c>
      <c r="I66" s="49" t="s">
        <v>90</v>
      </c>
    </row>
    <row r="67" spans="2:9" x14ac:dyDescent="0.35">
      <c r="B67" s="17">
        <v>1</v>
      </c>
      <c r="C67" s="75">
        <f>+D54</f>
        <v>1.32</v>
      </c>
      <c r="D67" s="53">
        <f>+$E$61*$E$62</f>
        <v>9.1000000000000014</v>
      </c>
      <c r="E67" s="74">
        <f>+$E$64*$E$63</f>
        <v>6</v>
      </c>
      <c r="F67" s="74">
        <f>+E67*C67</f>
        <v>7.92</v>
      </c>
      <c r="G67" s="5">
        <f>+D67-F67</f>
        <v>1.1800000000000015</v>
      </c>
      <c r="I67" s="76">
        <f>+G67/((1+$E$64)^B67)</f>
        <v>1.1132075471698126</v>
      </c>
    </row>
    <row r="68" spans="2:9" x14ac:dyDescent="0.35">
      <c r="B68" s="17">
        <v>2</v>
      </c>
      <c r="C68" s="75">
        <f>+D55</f>
        <v>1.34</v>
      </c>
      <c r="D68" s="53">
        <f>+$E$61*$E$62</f>
        <v>9.1000000000000014</v>
      </c>
      <c r="E68" s="74">
        <f>+$E$64*$E$63</f>
        <v>6</v>
      </c>
      <c r="F68" s="74">
        <f>+E68*C68</f>
        <v>8.0400000000000009</v>
      </c>
      <c r="G68" s="5">
        <f>+D68-F68</f>
        <v>1.0600000000000005</v>
      </c>
      <c r="I68" s="76">
        <f>+G68/((1+$E$64)^B68)</f>
        <v>0.94339622641509469</v>
      </c>
    </row>
    <row r="69" spans="2:9" x14ac:dyDescent="0.35">
      <c r="B69" s="17">
        <v>3</v>
      </c>
      <c r="C69" s="75">
        <f>+D56</f>
        <v>1.37</v>
      </c>
      <c r="D69" s="53">
        <f>+$E$61*$E$62+E61</f>
        <v>139.1</v>
      </c>
      <c r="E69" s="74">
        <f>+$E$64*$E$63+E63</f>
        <v>106</v>
      </c>
      <c r="F69" s="74">
        <f>+E69*C69</f>
        <v>145.22</v>
      </c>
      <c r="G69" s="5">
        <f>+D69-F69</f>
        <v>-6.1200000000000045</v>
      </c>
      <c r="I69" s="76">
        <f>+G69/((1+$E$64)^B69)</f>
        <v>-5.1384700121576898</v>
      </c>
    </row>
    <row r="70" spans="2:9" ht="15" thickBot="1" x14ac:dyDescent="0.4">
      <c r="I70" s="77">
        <f>SUM(I67:I69)</f>
        <v>-3.0818662385727826</v>
      </c>
    </row>
    <row r="71" spans="2:9" ht="15" thickTop="1" x14ac:dyDescent="0.35"/>
    <row r="73" spans="2:9" ht="20" x14ac:dyDescent="0.4">
      <c r="B73" s="1" t="s">
        <v>105</v>
      </c>
    </row>
    <row r="76" spans="2:9" x14ac:dyDescent="0.35">
      <c r="B76" s="2" t="s">
        <v>27</v>
      </c>
      <c r="C76" s="2"/>
      <c r="D76" s="2"/>
      <c r="E76" s="43">
        <v>100</v>
      </c>
      <c r="F76" s="44" t="s">
        <v>28</v>
      </c>
    </row>
    <row r="77" spans="2:9" x14ac:dyDescent="0.35">
      <c r="B77" s="2"/>
      <c r="C77" s="2"/>
      <c r="D77" s="2"/>
      <c r="E77" s="45"/>
      <c r="F77" s="44"/>
    </row>
    <row r="78" spans="2:9" x14ac:dyDescent="0.35">
      <c r="B78" s="46"/>
      <c r="C78" s="46"/>
      <c r="D78" s="46"/>
    </row>
    <row r="79" spans="2:9" ht="66" thickBot="1" x14ac:dyDescent="0.4">
      <c r="B79" s="49" t="s">
        <v>31</v>
      </c>
      <c r="C79" s="50" t="s">
        <v>106</v>
      </c>
      <c r="D79" s="50" t="s">
        <v>107</v>
      </c>
      <c r="E79" s="49" t="s">
        <v>108</v>
      </c>
      <c r="F79" s="49" t="s">
        <v>109</v>
      </c>
      <c r="G79" s="49" t="s">
        <v>110</v>
      </c>
    </row>
    <row r="80" spans="2:9" x14ac:dyDescent="0.35">
      <c r="B80" s="17">
        <v>0</v>
      </c>
      <c r="C80" s="51"/>
      <c r="D80" s="51"/>
    </row>
    <row r="81" spans="2:9" x14ac:dyDescent="0.35">
      <c r="B81" s="17">
        <v>1</v>
      </c>
      <c r="C81" s="51">
        <v>0.03</v>
      </c>
      <c r="D81" s="51">
        <v>0.02</v>
      </c>
      <c r="E81" s="53">
        <f t="shared" ref="E81:F85" si="11">+C81*$E$76</f>
        <v>3</v>
      </c>
      <c r="F81" s="53">
        <f t="shared" si="11"/>
        <v>2</v>
      </c>
      <c r="G81" s="53">
        <f>+E81-F81</f>
        <v>1</v>
      </c>
    </row>
    <row r="82" spans="2:9" x14ac:dyDescent="0.35">
      <c r="B82" s="17">
        <v>2</v>
      </c>
      <c r="C82" s="51">
        <v>0.03</v>
      </c>
      <c r="D82" s="51">
        <v>2.4E-2</v>
      </c>
      <c r="E82" s="53">
        <f t="shared" si="11"/>
        <v>3</v>
      </c>
      <c r="F82" s="53">
        <f t="shared" si="11"/>
        <v>2.4</v>
      </c>
      <c r="G82" s="53">
        <f>+E82-F82</f>
        <v>0.60000000000000009</v>
      </c>
    </row>
    <row r="83" spans="2:9" x14ac:dyDescent="0.35">
      <c r="B83" s="17">
        <v>3</v>
      </c>
      <c r="C83" s="51">
        <v>0.03</v>
      </c>
      <c r="D83" s="51">
        <v>3.2500000000000001E-2</v>
      </c>
      <c r="E83" s="53">
        <f t="shared" si="11"/>
        <v>3</v>
      </c>
      <c r="F83" s="53">
        <f t="shared" si="11"/>
        <v>3.25</v>
      </c>
      <c r="G83" s="53">
        <f>+E83-F83</f>
        <v>-0.25</v>
      </c>
    </row>
    <row r="84" spans="2:9" x14ac:dyDescent="0.35">
      <c r="B84" s="17">
        <v>4</v>
      </c>
      <c r="C84" s="51">
        <v>0.03</v>
      </c>
      <c r="D84" s="51">
        <v>0.04</v>
      </c>
      <c r="E84" s="53">
        <f t="shared" si="11"/>
        <v>3</v>
      </c>
      <c r="F84" s="53">
        <f t="shared" si="11"/>
        <v>4</v>
      </c>
      <c r="G84" s="53">
        <f>+E84-F84</f>
        <v>-1</v>
      </c>
    </row>
    <row r="85" spans="2:9" x14ac:dyDescent="0.35">
      <c r="B85" s="17">
        <v>5</v>
      </c>
      <c r="C85" s="51">
        <v>0.03</v>
      </c>
      <c r="D85" s="51">
        <v>0.04</v>
      </c>
      <c r="E85" s="53">
        <f t="shared" si="11"/>
        <v>3</v>
      </c>
      <c r="F85" s="53">
        <f t="shared" si="11"/>
        <v>4</v>
      </c>
      <c r="G85" s="53">
        <f>+E85-F85</f>
        <v>-1</v>
      </c>
    </row>
    <row r="89" spans="2:9" x14ac:dyDescent="0.35">
      <c r="B89" t="s">
        <v>111</v>
      </c>
    </row>
    <row r="90" spans="2:9" x14ac:dyDescent="0.35">
      <c r="B90" t="s">
        <v>112</v>
      </c>
    </row>
    <row r="92" spans="2:9" ht="27" thickBot="1" x14ac:dyDescent="0.4">
      <c r="B92" s="49" t="s">
        <v>113</v>
      </c>
      <c r="C92" s="49" t="s">
        <v>114</v>
      </c>
      <c r="D92" s="49" t="s">
        <v>115</v>
      </c>
      <c r="E92" s="49" t="s">
        <v>116</v>
      </c>
      <c r="F92" s="49" t="s">
        <v>117</v>
      </c>
      <c r="G92" s="49" t="s">
        <v>118</v>
      </c>
      <c r="H92" s="49" t="s">
        <v>14</v>
      </c>
      <c r="I92" s="68" t="s">
        <v>119</v>
      </c>
    </row>
    <row r="93" spans="2:9" x14ac:dyDescent="0.35">
      <c r="B93" t="s">
        <v>120</v>
      </c>
      <c r="C93">
        <v>0.24299999999999999</v>
      </c>
      <c r="D93">
        <v>0.27100000000000002</v>
      </c>
      <c r="E93">
        <v>40</v>
      </c>
      <c r="F93">
        <v>100</v>
      </c>
      <c r="G93">
        <f>+F93-(D93*F93)+C93*E93</f>
        <v>82.62</v>
      </c>
    </row>
    <row r="94" spans="2:9" x14ac:dyDescent="0.35">
      <c r="B94" t="s">
        <v>121</v>
      </c>
      <c r="C94">
        <v>0.1</v>
      </c>
      <c r="D94">
        <f>+C94</f>
        <v>0.1</v>
      </c>
      <c r="E94">
        <v>40</v>
      </c>
      <c r="F94">
        <v>100</v>
      </c>
      <c r="G94">
        <f>+F94-(D94*F94)+C94*E94</f>
        <v>94</v>
      </c>
    </row>
    <row r="95" spans="2:9" x14ac:dyDescent="0.35">
      <c r="B95" t="s">
        <v>122</v>
      </c>
      <c r="C95">
        <v>0.1</v>
      </c>
      <c r="D95">
        <f>+C95</f>
        <v>0.1</v>
      </c>
      <c r="E95">
        <v>40</v>
      </c>
      <c r="F95">
        <v>100</v>
      </c>
      <c r="G95">
        <f>+F95-(D95*F95)+C95*E95</f>
        <v>94</v>
      </c>
    </row>
    <row r="98" spans="2:17" ht="20" x14ac:dyDescent="0.4">
      <c r="B98" s="1" t="s">
        <v>123</v>
      </c>
    </row>
    <row r="100" spans="2:17" ht="15" thickBot="1" x14ac:dyDescent="0.4">
      <c r="B100" s="55" t="s">
        <v>124</v>
      </c>
    </row>
    <row r="101" spans="2:17" ht="18.5" thickBot="1" x14ac:dyDescent="0.45">
      <c r="B101" t="s">
        <v>125</v>
      </c>
      <c r="C101" s="11">
        <v>1000</v>
      </c>
      <c r="F101" s="82" t="s">
        <v>126</v>
      </c>
      <c r="G101" s="83"/>
      <c r="H101" s="84"/>
      <c r="I101" s="85"/>
      <c r="J101" s="86"/>
    </row>
    <row r="102" spans="2:17" x14ac:dyDescent="0.35">
      <c r="B102" t="s">
        <v>127</v>
      </c>
      <c r="C102" s="87">
        <v>0.05</v>
      </c>
    </row>
    <row r="103" spans="2:17" x14ac:dyDescent="0.35">
      <c r="B103" t="s">
        <v>128</v>
      </c>
      <c r="C103" s="87">
        <v>0.02</v>
      </c>
    </row>
    <row r="104" spans="2:17" x14ac:dyDescent="0.35">
      <c r="B104" t="s">
        <v>129</v>
      </c>
      <c r="C104" s="87">
        <v>0.4</v>
      </c>
    </row>
    <row r="106" spans="2:17" ht="15" thickBot="1" x14ac:dyDescent="0.4">
      <c r="B106" s="88" t="s">
        <v>130</v>
      </c>
      <c r="C106" s="88"/>
      <c r="D106" s="88"/>
      <c r="E106" s="88"/>
      <c r="F106" s="88"/>
      <c r="G106" s="88"/>
      <c r="H106" s="88"/>
      <c r="J106" s="88" t="s">
        <v>131</v>
      </c>
      <c r="K106" s="89"/>
      <c r="L106" s="89"/>
      <c r="M106" s="89"/>
    </row>
    <row r="108" spans="2:17" x14ac:dyDescent="0.35">
      <c r="B108" s="55" t="s">
        <v>132</v>
      </c>
      <c r="J108" s="55" t="s">
        <v>133</v>
      </c>
    </row>
    <row r="109" spans="2:17" ht="15" thickBot="1" x14ac:dyDescent="0.4">
      <c r="C109" s="88"/>
      <c r="D109" s="88" t="s">
        <v>134</v>
      </c>
      <c r="E109" s="88"/>
      <c r="G109" s="88" t="s">
        <v>135</v>
      </c>
      <c r="H109" s="88"/>
    </row>
    <row r="110" spans="2:17" ht="40" thickBot="1" x14ac:dyDescent="0.4">
      <c r="B110" s="90" t="s">
        <v>136</v>
      </c>
      <c r="C110" s="90" t="s">
        <v>137</v>
      </c>
      <c r="D110" s="90" t="s">
        <v>138</v>
      </c>
      <c r="E110" s="90" t="s">
        <v>139</v>
      </c>
      <c r="F110" s="3"/>
      <c r="G110" s="91" t="s">
        <v>135</v>
      </c>
      <c r="H110" s="91" t="s">
        <v>140</v>
      </c>
      <c r="I110" s="3"/>
      <c r="J110" s="92" t="s">
        <v>141</v>
      </c>
      <c r="K110" s="92" t="s">
        <v>137</v>
      </c>
      <c r="L110" s="92" t="s">
        <v>142</v>
      </c>
      <c r="M110" s="92" t="s">
        <v>143</v>
      </c>
      <c r="N110" s="3"/>
      <c r="O110" s="3"/>
      <c r="P110" s="3"/>
      <c r="Q110" s="3"/>
    </row>
    <row r="111" spans="2:17" x14ac:dyDescent="0.35">
      <c r="B111" s="93">
        <v>0.5</v>
      </c>
      <c r="G111" s="52">
        <f>+J111*0.5</f>
        <v>0.01</v>
      </c>
      <c r="H111" s="94">
        <f>+G111*K111</f>
        <v>9.7530991202833262E-3</v>
      </c>
      <c r="J111" s="56">
        <f>+C103</f>
        <v>0.02</v>
      </c>
      <c r="K111" s="94">
        <f>EXP(-$C$102*B111)</f>
        <v>0.97530991202833262</v>
      </c>
      <c r="L111" s="52">
        <f>+J111*(1-$C$104)</f>
        <v>1.2E-2</v>
      </c>
      <c r="M111" s="94">
        <f>+L111*K111</f>
        <v>1.1703718944339992E-2</v>
      </c>
    </row>
    <row r="112" spans="2:17" x14ac:dyDescent="0.35">
      <c r="B112" s="93">
        <f>+B111+0.5</f>
        <v>1</v>
      </c>
      <c r="C112" s="94">
        <f>EXP(-$C$102*B112)</f>
        <v>0.95122942450071402</v>
      </c>
      <c r="D112" s="95">
        <f>(1-$C$103)^B112</f>
        <v>0.98</v>
      </c>
      <c r="E112" s="94">
        <f>+D112*C112</f>
        <v>0.9322048360106997</v>
      </c>
    </row>
    <row r="113" spans="2:13" x14ac:dyDescent="0.35">
      <c r="B113" s="93">
        <f t="shared" ref="B113:B119" si="12">+B112+0.5</f>
        <v>1.5</v>
      </c>
      <c r="G113" s="52">
        <f>+J113*0.5</f>
        <v>9.7999999999999997E-3</v>
      </c>
      <c r="H113" s="94">
        <f>+G113*K113</f>
        <v>9.0918861660198181E-3</v>
      </c>
      <c r="J113" s="56">
        <f>+D112*$C$103</f>
        <v>1.9599999999999999E-2</v>
      </c>
      <c r="K113" s="94">
        <f>EXP(-$C$102*B113)</f>
        <v>0.92774348632855286</v>
      </c>
      <c r="L113" s="52">
        <f>+J113*(1-$C$104)</f>
        <v>1.176E-2</v>
      </c>
      <c r="M113" s="94">
        <f>+L113*K113</f>
        <v>1.0910263399223781E-2</v>
      </c>
    </row>
    <row r="114" spans="2:13" x14ac:dyDescent="0.35">
      <c r="B114" s="93">
        <f t="shared" si="12"/>
        <v>2</v>
      </c>
      <c r="C114" s="94">
        <f>EXP(-$C$102*B114)</f>
        <v>0.90483741803595952</v>
      </c>
      <c r="D114" s="95">
        <f>(1-$C$103)^B114</f>
        <v>0.96039999999999992</v>
      </c>
      <c r="E114" s="94">
        <f>+D114*C114</f>
        <v>0.86900585628173543</v>
      </c>
    </row>
    <row r="115" spans="2:13" x14ac:dyDescent="0.35">
      <c r="B115" s="93">
        <f t="shared" si="12"/>
        <v>2.5</v>
      </c>
      <c r="G115" s="52">
        <f>+J115*0.5</f>
        <v>9.6039999999999997E-3</v>
      </c>
      <c r="H115" s="94">
        <f>+G115*K115</f>
        <v>8.4755002524224549E-3</v>
      </c>
      <c r="J115" s="56">
        <f>+D114*$C$103</f>
        <v>1.9207999999999999E-2</v>
      </c>
      <c r="K115" s="94">
        <f>EXP(-$C$102*B115)</f>
        <v>0.88249690258459546</v>
      </c>
      <c r="L115" s="52">
        <f>+J115*(1-$C$104)</f>
        <v>1.15248E-2</v>
      </c>
      <c r="M115" s="94">
        <f>+L115*K115</f>
        <v>1.0170600302906946E-2</v>
      </c>
    </row>
    <row r="116" spans="2:13" x14ac:dyDescent="0.35">
      <c r="B116" s="93">
        <f t="shared" si="12"/>
        <v>3</v>
      </c>
      <c r="C116" s="94">
        <f>EXP(-$C$102*B116)</f>
        <v>0.86070797642505781</v>
      </c>
      <c r="D116" s="95">
        <f>(1-$C$103)^B116</f>
        <v>0.94119199999999992</v>
      </c>
      <c r="E116" s="94">
        <f>+D116*C116</f>
        <v>0.81009146174745295</v>
      </c>
    </row>
    <row r="117" spans="2:13" x14ac:dyDescent="0.35">
      <c r="B117" s="93">
        <f t="shared" si="12"/>
        <v>3.5</v>
      </c>
      <c r="G117" s="52">
        <f>+J117*0.5</f>
        <v>9.411919999999999E-3</v>
      </c>
      <c r="H117" s="94">
        <f>+G117*K117</f>
        <v>7.9009023229181172E-3</v>
      </c>
      <c r="J117" s="56">
        <f>+D116*$C$103</f>
        <v>1.8823839999999998E-2</v>
      </c>
      <c r="K117" s="94">
        <f>EXP(-$C$102*B117)</f>
        <v>0.83945702076920736</v>
      </c>
      <c r="L117" s="52">
        <f>+J117*(1-$C$104)</f>
        <v>1.1294303999999998E-2</v>
      </c>
      <c r="M117" s="94">
        <f>+L117*K117</f>
        <v>9.481082787501741E-3</v>
      </c>
    </row>
    <row r="118" spans="2:13" x14ac:dyDescent="0.35">
      <c r="B118" s="93">
        <f t="shared" si="12"/>
        <v>4</v>
      </c>
      <c r="C118" s="94">
        <f>EXP(-$C$102*B118)</f>
        <v>0.81873075307798182</v>
      </c>
      <c r="D118" s="95">
        <f>(1-$C$103)^B118</f>
        <v>0.92236815999999988</v>
      </c>
      <c r="E118" s="94">
        <f>+D118*C118</f>
        <v>0.75517117825195235</v>
      </c>
    </row>
    <row r="119" spans="2:13" x14ac:dyDescent="0.35">
      <c r="B119" s="93">
        <f t="shared" si="12"/>
        <v>4.5</v>
      </c>
      <c r="G119" s="52">
        <f>+J119*0.5</f>
        <v>9.2236815999999985E-3</v>
      </c>
      <c r="H119" s="94">
        <f>+G119*K119</f>
        <v>7.3652593542724402E-3</v>
      </c>
      <c r="J119" s="56">
        <f>+D118*$C$103</f>
        <v>1.8447363199999997E-2</v>
      </c>
      <c r="K119" s="94">
        <f>EXP(-$C$102*B119)</f>
        <v>0.79851621875937706</v>
      </c>
      <c r="L119" s="52">
        <f>+J119*(1-$C$104)</f>
        <v>1.1068417919999999E-2</v>
      </c>
      <c r="M119" s="94">
        <f>+L119*K119</f>
        <v>8.8383112251269273E-3</v>
      </c>
    </row>
    <row r="120" spans="2:13" ht="15" thickBot="1" x14ac:dyDescent="0.4">
      <c r="B120" s="96">
        <f>+B119+0.5</f>
        <v>5</v>
      </c>
      <c r="C120" s="97">
        <f>EXP(-$C$102*B120)</f>
        <v>0.77880078307140488</v>
      </c>
      <c r="D120" s="98">
        <f>(1-$C$103)^B120</f>
        <v>0.90392079679999982</v>
      </c>
      <c r="E120" s="97">
        <f>+D120*C120</f>
        <v>0.70397422438236812</v>
      </c>
      <c r="G120" s="99"/>
      <c r="H120" s="99"/>
      <c r="J120" s="99"/>
      <c r="K120" s="99"/>
      <c r="L120" s="99"/>
      <c r="M120" s="99"/>
    </row>
    <row r="121" spans="2:13" ht="15" thickBot="1" x14ac:dyDescent="0.4">
      <c r="D121" t="s">
        <v>144</v>
      </c>
      <c r="E121" s="100">
        <f>SUM(E111:E120)</f>
        <v>4.0704475566742087</v>
      </c>
      <c r="G121" t="s">
        <v>144</v>
      </c>
      <c r="H121" s="101">
        <f>SUM(H111:H120)</f>
        <v>4.2586647215916151E-2</v>
      </c>
      <c r="M121" s="102">
        <f>SUM(M111:M120)</f>
        <v>5.1103976659099382E-2</v>
      </c>
    </row>
    <row r="122" spans="2:13" x14ac:dyDescent="0.35">
      <c r="L122" t="s">
        <v>145</v>
      </c>
    </row>
    <row r="123" spans="2:13" x14ac:dyDescent="0.35">
      <c r="F123" s="2" t="s">
        <v>146</v>
      </c>
    </row>
    <row r="124" spans="2:13" ht="15" thickBot="1" x14ac:dyDescent="0.4"/>
    <row r="125" spans="2:13" ht="15" thickBot="1" x14ac:dyDescent="0.4">
      <c r="E125" t="s">
        <v>147</v>
      </c>
      <c r="F125" s="100">
        <f>+E121+H121</f>
        <v>4.1130342038901251</v>
      </c>
    </row>
    <row r="127" spans="2:13" x14ac:dyDescent="0.35">
      <c r="D127" s="6" t="s">
        <v>148</v>
      </c>
      <c r="E127" s="94">
        <f>+F125</f>
        <v>4.1130342038901251</v>
      </c>
    </row>
    <row r="128" spans="2:13" ht="15" thickBot="1" x14ac:dyDescent="0.4">
      <c r="D128" s="6" t="s">
        <v>149</v>
      </c>
      <c r="E128" s="94">
        <f>+M121</f>
        <v>5.1103976659099382E-2</v>
      </c>
    </row>
    <row r="129" spans="4:8" ht="15" thickBot="1" x14ac:dyDescent="0.4">
      <c r="D129" s="6" t="s">
        <v>150</v>
      </c>
      <c r="E129">
        <f>+E128/E127</f>
        <v>1.242488492090949E-2</v>
      </c>
      <c r="G129" s="103">
        <f>+E129*10000</f>
        <v>124.2488492090949</v>
      </c>
      <c r="H129" s="104" t="s">
        <v>151</v>
      </c>
    </row>
    <row r="131" spans="4:8" x14ac:dyDescent="0.35">
      <c r="F131" s="2" t="s">
        <v>152</v>
      </c>
    </row>
  </sheetData>
  <mergeCells count="2">
    <mergeCell ref="J7:K7"/>
    <mergeCell ref="M7:N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CASE STUDY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2019-04-22T14:20:47Z</dcterms:created>
  <dcterms:modified xsi:type="dcterms:W3CDTF">2025-04-08T20:08:49Z</dcterms:modified>
</cp:coreProperties>
</file>