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Figures/"/>
    </mc:Choice>
  </mc:AlternateContent>
  <xr:revisionPtr revIDLastSave="1258" documentId="8_{F9761AF3-9480-4BE9-9EBB-96BE0A0A8829}" xr6:coauthVersionLast="45" xr6:coauthVersionMax="45" xr10:uidLastSave="{96703A41-1D1B-4F8F-B226-6CF101F01E6A}"/>
  <bookViews>
    <workbookView xWindow="-93" yWindow="-93" windowWidth="19366" windowHeight="12186" firstSheet="6" activeTab="9" xr2:uid="{D5D7A1FD-63BB-4BFB-A9BF-B064374F4A60}"/>
  </bookViews>
  <sheets>
    <sheet name="Fig. 5.1" sheetId="1" r:id="rId1"/>
    <sheet name="Fig. 5.2" sheetId="2" r:id="rId2"/>
    <sheet name="Fig. 5.3" sheetId="9" r:id="rId3"/>
    <sheet name="Fig. 5.4" sheetId="3" r:id="rId4"/>
    <sheet name="Fig. 5.5" sheetId="4" r:id="rId5"/>
    <sheet name="Fig. 5.6" sheetId="10" r:id="rId6"/>
    <sheet name="Fig. 5.7" sheetId="11" r:id="rId7"/>
    <sheet name="Fig. 5.8" sheetId="14" r:id="rId8"/>
    <sheet name="Fig. 5.9" sheetId="15" r:id="rId9"/>
    <sheet name="Fig. 5.10" sheetId="16" r:id="rId10"/>
    <sheet name="Fig. 5.11" sheetId="17" r:id="rId11"/>
    <sheet name="DO NOT USE" sheetId="12" r:id="rId12"/>
    <sheet name="DO NOT USE 2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7" l="1"/>
  <c r="E51" i="17"/>
  <c r="E44" i="17"/>
  <c r="E42" i="17"/>
  <c r="E41" i="17"/>
  <c r="F40" i="17"/>
  <c r="F51" i="17" s="1"/>
  <c r="E39" i="17"/>
  <c r="F39" i="17" s="1"/>
  <c r="D31" i="17"/>
  <c r="D24" i="17"/>
  <c r="E24" i="17" s="1"/>
  <c r="I21" i="17"/>
  <c r="E17" i="17"/>
  <c r="D14" i="17"/>
  <c r="H45" i="17" s="1"/>
  <c r="F8" i="17"/>
  <c r="D67" i="17" s="1"/>
  <c r="D34" i="16"/>
  <c r="G34" i="16" s="1"/>
  <c r="E19" i="16"/>
  <c r="E18" i="16"/>
  <c r="E11" i="16"/>
  <c r="E9" i="16"/>
  <c r="E10" i="16" s="1"/>
  <c r="E8" i="16"/>
  <c r="G7" i="16"/>
  <c r="G8" i="16" s="1"/>
  <c r="F7" i="16"/>
  <c r="F8" i="16" s="1"/>
  <c r="E6" i="16"/>
  <c r="M6" i="12"/>
  <c r="N64" i="12"/>
  <c r="N65" i="12" s="1"/>
  <c r="N66" i="12" s="1"/>
  <c r="N67" i="12" s="1"/>
  <c r="N68" i="12" s="1"/>
  <c r="N69" i="12" s="1"/>
  <c r="N70" i="12" s="1"/>
  <c r="N71" i="12" s="1"/>
  <c r="N72" i="12" s="1"/>
  <c r="N73" i="12" s="1"/>
  <c r="C17" i="15"/>
  <c r="C10" i="15"/>
  <c r="D10" i="15" s="1"/>
  <c r="H7" i="15"/>
  <c r="A19" i="13"/>
  <c r="A20" i="13"/>
  <c r="A21" i="13"/>
  <c r="A22" i="13"/>
  <c r="J22" i="13"/>
  <c r="A23" i="13"/>
  <c r="A24" i="13"/>
  <c r="A25" i="13"/>
  <c r="E25" i="13"/>
  <c r="F25" i="13" s="1"/>
  <c r="A26" i="13"/>
  <c r="A28" i="13"/>
  <c r="A29" i="13"/>
  <c r="A30" i="13"/>
  <c r="A31" i="13"/>
  <c r="A32" i="13"/>
  <c r="E32" i="13"/>
  <c r="R32" i="13" s="1"/>
  <c r="R33" i="13" s="1"/>
  <c r="A33" i="13"/>
  <c r="A34" i="13"/>
  <c r="A35" i="13"/>
  <c r="A36" i="13"/>
  <c r="A37" i="13"/>
  <c r="A38" i="13"/>
  <c r="A39" i="13"/>
  <c r="A40" i="13"/>
  <c r="F40" i="13"/>
  <c r="F20" i="13" s="1"/>
  <c r="A41" i="13"/>
  <c r="G41" i="13"/>
  <c r="H41" i="13" s="1"/>
  <c r="I41" i="13" s="1"/>
  <c r="A42" i="13"/>
  <c r="F42" i="13"/>
  <c r="A43" i="13"/>
  <c r="F43" i="13"/>
  <c r="G43" i="13"/>
  <c r="A44" i="13"/>
  <c r="A45" i="13"/>
  <c r="F45" i="13"/>
  <c r="G45" i="13"/>
  <c r="A46" i="13"/>
  <c r="A47" i="13"/>
  <c r="A48" i="13"/>
  <c r="A49" i="13"/>
  <c r="A50" i="13"/>
  <c r="A51" i="13"/>
  <c r="A52" i="13"/>
  <c r="F52" i="13"/>
  <c r="A53" i="13"/>
  <c r="F53" i="13"/>
  <c r="G53" i="13"/>
  <c r="A54" i="13"/>
  <c r="A55" i="13"/>
  <c r="A56" i="13"/>
  <c r="A57" i="13"/>
  <c r="A58" i="13"/>
  <c r="A59" i="13"/>
  <c r="A60" i="13"/>
  <c r="E60" i="13"/>
  <c r="A61" i="13"/>
  <c r="A62" i="13"/>
  <c r="A63" i="13"/>
  <c r="A64" i="13"/>
  <c r="A65" i="13"/>
  <c r="O65" i="13"/>
  <c r="O66" i="13" s="1"/>
  <c r="O67" i="13" s="1"/>
  <c r="O68" i="13" s="1"/>
  <c r="O69" i="13" s="1"/>
  <c r="O70" i="13" s="1"/>
  <c r="O71" i="13" s="1"/>
  <c r="O72" i="13" s="1"/>
  <c r="O73" i="13" s="1"/>
  <c r="O74" i="13" s="1"/>
  <c r="A66" i="13"/>
  <c r="A67" i="13"/>
  <c r="A68" i="13"/>
  <c r="A69" i="13"/>
  <c r="A70" i="13"/>
  <c r="A71" i="13"/>
  <c r="A72" i="13"/>
  <c r="I72" i="13"/>
  <c r="J72" i="13" s="1"/>
  <c r="L72" i="13" s="1"/>
  <c r="A73" i="13"/>
  <c r="A74" i="13"/>
  <c r="H74" i="13"/>
  <c r="I74" i="13"/>
  <c r="J74" i="13"/>
  <c r="L74" i="13"/>
  <c r="C7" i="13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5" i="12"/>
  <c r="A24" i="12"/>
  <c r="A23" i="12"/>
  <c r="A22" i="12"/>
  <c r="A21" i="12"/>
  <c r="A20" i="12"/>
  <c r="A19" i="12"/>
  <c r="A18" i="12"/>
  <c r="A17" i="12"/>
  <c r="A16" i="12"/>
  <c r="A15" i="12"/>
  <c r="J14" i="12"/>
  <c r="J16" i="12" s="1"/>
  <c r="G8" i="12" s="1"/>
  <c r="A14" i="12"/>
  <c r="A13" i="12"/>
  <c r="A12" i="12"/>
  <c r="A11" i="12"/>
  <c r="A10" i="12"/>
  <c r="A9" i="12"/>
  <c r="A8" i="12"/>
  <c r="A7" i="12"/>
  <c r="A6" i="12"/>
  <c r="A5" i="12"/>
  <c r="A4" i="12"/>
  <c r="A3" i="12"/>
  <c r="C18" i="11"/>
  <c r="I16" i="11"/>
  <c r="F8" i="11" s="1"/>
  <c r="E68" i="13" s="1"/>
  <c r="E19" i="17" l="1"/>
  <c r="F6" i="16"/>
  <c r="G6" i="16" s="1"/>
  <c r="H6" i="16" s="1"/>
  <c r="I6" i="16" s="1"/>
  <c r="J6" i="16" s="1"/>
  <c r="K6" i="16" s="1"/>
  <c r="D5" i="15"/>
  <c r="G40" i="13"/>
  <c r="F11" i="16"/>
  <c r="F19" i="16"/>
  <c r="I45" i="17"/>
  <c r="J45" i="17" s="1"/>
  <c r="G52" i="13"/>
  <c r="F44" i="13"/>
  <c r="F9" i="16"/>
  <c r="F10" i="16" s="1"/>
  <c r="F18" i="16"/>
  <c r="D15" i="17"/>
  <c r="E12" i="17" s="1"/>
  <c r="G40" i="17"/>
  <c r="E43" i="17"/>
  <c r="C43" i="17" s="1"/>
  <c r="E50" i="17"/>
  <c r="F41" i="17"/>
  <c r="E45" i="17"/>
  <c r="F19" i="17"/>
  <c r="G39" i="17"/>
  <c r="H67" i="17"/>
  <c r="I67" i="17"/>
  <c r="G67" i="17"/>
  <c r="J67" i="17"/>
  <c r="F67" i="17"/>
  <c r="E67" i="17"/>
  <c r="F24" i="17"/>
  <c r="E26" i="17"/>
  <c r="G8" i="17"/>
  <c r="G41" i="17"/>
  <c r="F45" i="17"/>
  <c r="E14" i="17"/>
  <c r="F44" i="17"/>
  <c r="G45" i="17"/>
  <c r="F52" i="17"/>
  <c r="F42" i="17"/>
  <c r="F43" i="17"/>
  <c r="G44" i="17"/>
  <c r="G50" i="17" s="1"/>
  <c r="C10" i="16"/>
  <c r="H34" i="16"/>
  <c r="G19" i="16"/>
  <c r="E34" i="16"/>
  <c r="G9" i="16"/>
  <c r="G10" i="16"/>
  <c r="G18" i="16"/>
  <c r="F34" i="16"/>
  <c r="J34" i="16"/>
  <c r="H7" i="16"/>
  <c r="G11" i="16"/>
  <c r="I34" i="16"/>
  <c r="D12" i="15"/>
  <c r="E10" i="15"/>
  <c r="I68" i="13"/>
  <c r="G68" i="13"/>
  <c r="L68" i="13"/>
  <c r="H68" i="13"/>
  <c r="J41" i="13"/>
  <c r="I42" i="13"/>
  <c r="I45" i="13"/>
  <c r="I43" i="13"/>
  <c r="I44" i="13" s="1"/>
  <c r="I52" i="13"/>
  <c r="I53" i="13"/>
  <c r="G25" i="13"/>
  <c r="F27" i="13"/>
  <c r="F68" i="13"/>
  <c r="H43" i="13"/>
  <c r="H52" i="13"/>
  <c r="H53" i="13"/>
  <c r="J68" i="13"/>
  <c r="H45" i="13"/>
  <c r="H42" i="13"/>
  <c r="H44" i="13" s="1"/>
  <c r="G42" i="13"/>
  <c r="G44" i="13" s="1"/>
  <c r="E5" i="15"/>
  <c r="H8" i="12"/>
  <c r="E7" i="12"/>
  <c r="G8" i="11"/>
  <c r="D5" i="17" l="1"/>
  <c r="D7" i="17"/>
  <c r="D8" i="17" s="1"/>
  <c r="E15" i="17"/>
  <c r="D44" i="13"/>
  <c r="D12" i="11"/>
  <c r="C17" i="11"/>
  <c r="H40" i="13"/>
  <c r="G20" i="13"/>
  <c r="E46" i="17"/>
  <c r="E48" i="17" s="1"/>
  <c r="G52" i="17"/>
  <c r="G51" i="17"/>
  <c r="G42" i="17"/>
  <c r="G43" i="17" s="1"/>
  <c r="G46" i="17" s="1"/>
  <c r="H40" i="17"/>
  <c r="H44" i="17" s="1"/>
  <c r="H50" i="17" s="1"/>
  <c r="H41" i="17"/>
  <c r="H43" i="17" s="1"/>
  <c r="H51" i="17"/>
  <c r="H42" i="17"/>
  <c r="I5" i="17"/>
  <c r="D20" i="17"/>
  <c r="G24" i="17"/>
  <c r="F26" i="17"/>
  <c r="I8" i="17"/>
  <c r="D65" i="17"/>
  <c r="D9" i="17"/>
  <c r="E8" i="17" s="1"/>
  <c r="H8" i="17" s="1"/>
  <c r="F46" i="17"/>
  <c r="D6" i="17"/>
  <c r="I7" i="17"/>
  <c r="G19" i="17"/>
  <c r="H39" i="17"/>
  <c r="F50" i="17"/>
  <c r="E49" i="17"/>
  <c r="H18" i="16"/>
  <c r="H9" i="16"/>
  <c r="H19" i="16"/>
  <c r="H11" i="16"/>
  <c r="I7" i="16"/>
  <c r="H8" i="16"/>
  <c r="H10" i="16" s="1"/>
  <c r="E12" i="15"/>
  <c r="F10" i="15"/>
  <c r="E5" i="12"/>
  <c r="C6" i="15" s="1"/>
  <c r="E12" i="12"/>
  <c r="H25" i="13"/>
  <c r="G27" i="13"/>
  <c r="L41" i="13"/>
  <c r="J42" i="13"/>
  <c r="J45" i="13"/>
  <c r="J43" i="13"/>
  <c r="J52" i="13"/>
  <c r="J53" i="13"/>
  <c r="D7" i="11"/>
  <c r="D5" i="11"/>
  <c r="E21" i="13" s="1"/>
  <c r="J7" i="12"/>
  <c r="F5" i="15"/>
  <c r="D14" i="11"/>
  <c r="H20" i="13" l="1"/>
  <c r="I40" i="13"/>
  <c r="J44" i="13"/>
  <c r="I40" i="17"/>
  <c r="H52" i="17"/>
  <c r="H46" i="17"/>
  <c r="H49" i="17"/>
  <c r="H48" i="17"/>
  <c r="H53" i="17" s="1"/>
  <c r="I39" i="17"/>
  <c r="H19" i="17"/>
  <c r="I9" i="17"/>
  <c r="D59" i="17" s="1"/>
  <c r="E9" i="17"/>
  <c r="E5" i="17"/>
  <c r="G48" i="17"/>
  <c r="G49" i="17"/>
  <c r="G26" i="17"/>
  <c r="H24" i="17"/>
  <c r="F48" i="17"/>
  <c r="F49" i="17"/>
  <c r="E22" i="17"/>
  <c r="E23" i="17" s="1"/>
  <c r="E20" i="17"/>
  <c r="D23" i="17"/>
  <c r="I51" i="17"/>
  <c r="I44" i="17"/>
  <c r="I50" i="17" s="1"/>
  <c r="E53" i="17"/>
  <c r="D29" i="17"/>
  <c r="I6" i="17"/>
  <c r="E6" i="17"/>
  <c r="D70" i="17"/>
  <c r="I19" i="16"/>
  <c r="I11" i="16"/>
  <c r="J7" i="16"/>
  <c r="K7" i="16" s="1"/>
  <c r="K8" i="16" s="1"/>
  <c r="I8" i="16"/>
  <c r="I18" i="16"/>
  <c r="I9" i="16"/>
  <c r="I10" i="16" s="1"/>
  <c r="E6" i="12"/>
  <c r="C15" i="15" s="1"/>
  <c r="C18" i="15" s="1"/>
  <c r="C9" i="15"/>
  <c r="D6" i="15"/>
  <c r="E6" i="15" s="1"/>
  <c r="F6" i="15" s="1"/>
  <c r="G6" i="15" s="1"/>
  <c r="D8" i="15"/>
  <c r="D9" i="15" s="1"/>
  <c r="G10" i="15"/>
  <c r="F12" i="15"/>
  <c r="E14" i="12"/>
  <c r="J5" i="12"/>
  <c r="F21" i="13"/>
  <c r="E24" i="13"/>
  <c r="F23" i="13"/>
  <c r="F24" i="13" s="1"/>
  <c r="L53" i="13"/>
  <c r="M41" i="13"/>
  <c r="L42" i="13"/>
  <c r="L45" i="13"/>
  <c r="L43" i="13"/>
  <c r="L52" i="13"/>
  <c r="D15" i="11"/>
  <c r="D8" i="11" s="1"/>
  <c r="E66" i="13" s="1"/>
  <c r="H46" i="13"/>
  <c r="I46" i="13"/>
  <c r="F46" i="13"/>
  <c r="J46" i="13"/>
  <c r="L46" i="13" s="1"/>
  <c r="G46" i="13"/>
  <c r="I25" i="13"/>
  <c r="H27" i="13"/>
  <c r="I5" i="11"/>
  <c r="I7" i="11"/>
  <c r="D6" i="11"/>
  <c r="E30" i="13" s="1"/>
  <c r="G5" i="15"/>
  <c r="J6" i="12"/>
  <c r="I52" i="17" l="1"/>
  <c r="I41" i="17"/>
  <c r="I43" i="17" s="1"/>
  <c r="I46" i="17" s="1"/>
  <c r="F8" i="15"/>
  <c r="F9" i="15" s="1"/>
  <c r="L44" i="13"/>
  <c r="D15" i="15"/>
  <c r="I42" i="17"/>
  <c r="I20" i="13"/>
  <c r="J40" i="13"/>
  <c r="J40" i="17"/>
  <c r="E7" i="17"/>
  <c r="J51" i="17"/>
  <c r="J42" i="17"/>
  <c r="J41" i="17"/>
  <c r="J52" i="17"/>
  <c r="J44" i="17"/>
  <c r="J50" i="17" s="1"/>
  <c r="K40" i="17"/>
  <c r="F20" i="17"/>
  <c r="F22" i="17"/>
  <c r="F23" i="17" s="1"/>
  <c r="H26" i="17"/>
  <c r="I24" i="17"/>
  <c r="J39" i="17"/>
  <c r="I19" i="17"/>
  <c r="E29" i="17"/>
  <c r="D32" i="17"/>
  <c r="E31" i="17"/>
  <c r="F53" i="17"/>
  <c r="G53" i="17"/>
  <c r="J18" i="16"/>
  <c r="J8" i="16"/>
  <c r="J10" i="16" s="1"/>
  <c r="J9" i="16"/>
  <c r="J19" i="16"/>
  <c r="J11" i="16"/>
  <c r="F12" i="16"/>
  <c r="G12" i="16"/>
  <c r="I12" i="16"/>
  <c r="J12" i="16" s="1"/>
  <c r="E12" i="16"/>
  <c r="H12" i="16"/>
  <c r="D17" i="15"/>
  <c r="D18" i="15" s="1"/>
  <c r="E8" i="15"/>
  <c r="E9" i="15" s="1"/>
  <c r="D21" i="15"/>
  <c r="E17" i="15"/>
  <c r="E15" i="15"/>
  <c r="D20" i="15"/>
  <c r="E22" i="16" s="1"/>
  <c r="H6" i="15"/>
  <c r="H10" i="15"/>
  <c r="G12" i="15"/>
  <c r="G8" i="15" s="1"/>
  <c r="G9" i="15" s="1"/>
  <c r="E15" i="12"/>
  <c r="E14" i="11"/>
  <c r="E15" i="11"/>
  <c r="J51" i="13"/>
  <c r="L51" i="13"/>
  <c r="E71" i="13"/>
  <c r="L47" i="13"/>
  <c r="L60" i="13"/>
  <c r="G51" i="13"/>
  <c r="G47" i="13"/>
  <c r="H47" i="13"/>
  <c r="H51" i="13"/>
  <c r="E12" i="11"/>
  <c r="F51" i="13"/>
  <c r="F47" i="13"/>
  <c r="M43" i="13"/>
  <c r="M52" i="13"/>
  <c r="M53" i="13"/>
  <c r="N41" i="13"/>
  <c r="M42" i="13"/>
  <c r="M45" i="13"/>
  <c r="M51" i="13" s="1"/>
  <c r="F30" i="13"/>
  <c r="E33" i="13"/>
  <c r="F32" i="13"/>
  <c r="J25" i="13"/>
  <c r="I27" i="13"/>
  <c r="I47" i="13"/>
  <c r="I51" i="13"/>
  <c r="G21" i="13"/>
  <c r="G23" i="13"/>
  <c r="G24" i="13" s="1"/>
  <c r="J47" i="13"/>
  <c r="I6" i="11"/>
  <c r="H5" i="15"/>
  <c r="D9" i="11"/>
  <c r="E8" i="11" s="1"/>
  <c r="H8" i="11" s="1"/>
  <c r="I8" i="11"/>
  <c r="I48" i="17" l="1"/>
  <c r="I49" i="17"/>
  <c r="M44" i="13"/>
  <c r="M47" i="13" s="1"/>
  <c r="L40" i="13"/>
  <c r="J20" i="13"/>
  <c r="J43" i="17"/>
  <c r="J59" i="17" s="1"/>
  <c r="J46" i="17"/>
  <c r="K52" i="17"/>
  <c r="K44" i="17"/>
  <c r="K50" i="17" s="1"/>
  <c r="K42" i="17"/>
  <c r="K41" i="17"/>
  <c r="K51" i="17"/>
  <c r="E35" i="17"/>
  <c r="F31" i="17"/>
  <c r="F29" i="17"/>
  <c r="I26" i="17"/>
  <c r="J24" i="17"/>
  <c r="E34" i="17"/>
  <c r="E55" i="17" s="1"/>
  <c r="E56" i="17" s="1"/>
  <c r="E65" i="17" s="1"/>
  <c r="E32" i="17"/>
  <c r="J19" i="17"/>
  <c r="K19" i="17" s="1"/>
  <c r="K39" i="17"/>
  <c r="G22" i="17"/>
  <c r="G23" i="17" s="1"/>
  <c r="G20" i="17"/>
  <c r="I53" i="17"/>
  <c r="K19" i="16"/>
  <c r="K11" i="16"/>
  <c r="K17" i="16" s="1"/>
  <c r="K18" i="16"/>
  <c r="K9" i="16"/>
  <c r="K10" i="16" s="1"/>
  <c r="G17" i="16"/>
  <c r="G13" i="16"/>
  <c r="H13" i="16"/>
  <c r="H17" i="16"/>
  <c r="F17" i="16"/>
  <c r="F13" i="16"/>
  <c r="J13" i="16"/>
  <c r="J17" i="16"/>
  <c r="E17" i="16"/>
  <c r="E13" i="16"/>
  <c r="I17" i="16"/>
  <c r="I13" i="16"/>
  <c r="F17" i="15"/>
  <c r="F15" i="15"/>
  <c r="E21" i="15"/>
  <c r="E18" i="15"/>
  <c r="E20" i="15"/>
  <c r="F22" i="16" s="1"/>
  <c r="H12" i="15"/>
  <c r="H8" i="15" s="1"/>
  <c r="H9" i="15" s="1"/>
  <c r="I10" i="15"/>
  <c r="I6" i="15"/>
  <c r="F15" i="12"/>
  <c r="E8" i="12"/>
  <c r="D32" i="16" s="1"/>
  <c r="F12" i="12"/>
  <c r="F14" i="12"/>
  <c r="M49" i="13"/>
  <c r="M54" i="13" s="1"/>
  <c r="M50" i="13"/>
  <c r="O41" i="13"/>
  <c r="N42" i="13"/>
  <c r="N44" i="13" s="1"/>
  <c r="N47" i="13" s="1"/>
  <c r="N45" i="13"/>
  <c r="N51" i="13" s="1"/>
  <c r="N43" i="13"/>
  <c r="N52" i="13"/>
  <c r="N53" i="13"/>
  <c r="H23" i="13"/>
  <c r="H24" i="13" s="1"/>
  <c r="H21" i="13"/>
  <c r="F50" i="13"/>
  <c r="F49" i="13"/>
  <c r="F54" i="13" s="1"/>
  <c r="F57" i="13" s="1"/>
  <c r="F66" i="13" s="1"/>
  <c r="H49" i="13"/>
  <c r="H50" i="13"/>
  <c r="L49" i="13"/>
  <c r="L50" i="13"/>
  <c r="F33" i="13"/>
  <c r="F35" i="13"/>
  <c r="F56" i="13" s="1"/>
  <c r="G49" i="13"/>
  <c r="G50" i="13"/>
  <c r="F36" i="13"/>
  <c r="G30" i="13"/>
  <c r="G32" i="13"/>
  <c r="L25" i="13"/>
  <c r="J27" i="13"/>
  <c r="J50" i="13"/>
  <c r="J49" i="13"/>
  <c r="I49" i="13"/>
  <c r="I50" i="13"/>
  <c r="I5" i="15"/>
  <c r="J5" i="15" s="1"/>
  <c r="K5" i="15" s="1"/>
  <c r="I9" i="11"/>
  <c r="E9" i="11"/>
  <c r="E5" i="11"/>
  <c r="E6" i="11"/>
  <c r="M40" i="13" l="1"/>
  <c r="N40" i="13" s="1"/>
  <c r="O40" i="13" s="1"/>
  <c r="P40" i="13" s="1"/>
  <c r="Q40" i="13" s="1"/>
  <c r="R40" i="13" s="1"/>
  <c r="L20" i="13"/>
  <c r="M20" i="13" s="1"/>
  <c r="N20" i="13" s="1"/>
  <c r="O20" i="13" s="1"/>
  <c r="P20" i="13" s="1"/>
  <c r="Q20" i="13" s="1"/>
  <c r="R20" i="13" s="1"/>
  <c r="K43" i="17"/>
  <c r="K46" i="17" s="1"/>
  <c r="K49" i="17" s="1"/>
  <c r="K48" i="17"/>
  <c r="J48" i="17"/>
  <c r="J49" i="17"/>
  <c r="K24" i="17"/>
  <c r="K26" i="17" s="1"/>
  <c r="J26" i="17"/>
  <c r="F32" i="17"/>
  <c r="F34" i="17"/>
  <c r="F55" i="17" s="1"/>
  <c r="F56" i="17" s="1"/>
  <c r="F65" i="17" s="1"/>
  <c r="F68" i="17" s="1"/>
  <c r="H22" i="17"/>
  <c r="H23" i="17" s="1"/>
  <c r="H20" i="17"/>
  <c r="E68" i="17"/>
  <c r="G31" i="17"/>
  <c r="G29" i="17"/>
  <c r="F35" i="17"/>
  <c r="K13" i="16"/>
  <c r="K16" i="16"/>
  <c r="K15" i="16"/>
  <c r="K20" i="16" s="1"/>
  <c r="D37" i="16"/>
  <c r="F16" i="16"/>
  <c r="F15" i="16"/>
  <c r="F20" i="16" s="1"/>
  <c r="F23" i="16" s="1"/>
  <c r="F32" i="16" s="1"/>
  <c r="F35" i="16" s="1"/>
  <c r="I15" i="16"/>
  <c r="I20" i="16" s="1"/>
  <c r="I16" i="16"/>
  <c r="E15" i="16"/>
  <c r="E16" i="16"/>
  <c r="G16" i="16"/>
  <c r="G15" i="16"/>
  <c r="J16" i="16"/>
  <c r="J15" i="16"/>
  <c r="J20" i="16" s="1"/>
  <c r="H15" i="16"/>
  <c r="H20" i="16" s="1"/>
  <c r="H16" i="16"/>
  <c r="G17" i="15"/>
  <c r="G15" i="15"/>
  <c r="F21" i="15"/>
  <c r="F18" i="15"/>
  <c r="F20" i="15"/>
  <c r="G22" i="16" s="1"/>
  <c r="J7" i="15"/>
  <c r="I12" i="15"/>
  <c r="I8" i="15" s="1"/>
  <c r="I9" i="15" s="1"/>
  <c r="J10" i="15"/>
  <c r="E9" i="12"/>
  <c r="F8" i="12" s="1"/>
  <c r="I8" i="12" s="1"/>
  <c r="J8" i="12"/>
  <c r="H54" i="13"/>
  <c r="N49" i="13"/>
  <c r="N50" i="13"/>
  <c r="P41" i="13"/>
  <c r="O42" i="13"/>
  <c r="O44" i="13" s="1"/>
  <c r="O47" i="13" s="1"/>
  <c r="O45" i="13"/>
  <c r="O51" i="13" s="1"/>
  <c r="O43" i="13"/>
  <c r="O52" i="13"/>
  <c r="O53" i="13"/>
  <c r="F69" i="13"/>
  <c r="J54" i="13"/>
  <c r="G35" i="13"/>
  <c r="G56" i="13" s="1"/>
  <c r="G33" i="13"/>
  <c r="G54" i="13"/>
  <c r="L54" i="13"/>
  <c r="I54" i="13"/>
  <c r="M25" i="13"/>
  <c r="L27" i="13"/>
  <c r="H32" i="13"/>
  <c r="G36" i="13"/>
  <c r="H30" i="13"/>
  <c r="I23" i="13"/>
  <c r="I24" i="13" s="1"/>
  <c r="I21" i="13"/>
  <c r="E7" i="11"/>
  <c r="N54" i="13" l="1"/>
  <c r="K53" i="17"/>
  <c r="G32" i="17"/>
  <c r="G34" i="17"/>
  <c r="G55" i="17" s="1"/>
  <c r="G56" i="17" s="1"/>
  <c r="G65" i="17" s="1"/>
  <c r="G68" i="17" s="1"/>
  <c r="I20" i="17"/>
  <c r="I22" i="17"/>
  <c r="I23" i="17" s="1"/>
  <c r="J53" i="17"/>
  <c r="H31" i="17"/>
  <c r="H29" i="17"/>
  <c r="G35" i="17"/>
  <c r="J27" i="16"/>
  <c r="E20" i="16"/>
  <c r="E23" i="16" s="1"/>
  <c r="E32" i="16" s="1"/>
  <c r="G20" i="16"/>
  <c r="G23" i="16" s="1"/>
  <c r="G32" i="16" s="1"/>
  <c r="G35" i="16" s="1"/>
  <c r="H17" i="15"/>
  <c r="H15" i="15"/>
  <c r="G21" i="15"/>
  <c r="G18" i="15"/>
  <c r="G20" i="15"/>
  <c r="H22" i="16" s="1"/>
  <c r="H23" i="16" s="1"/>
  <c r="H32" i="16" s="1"/>
  <c r="H35" i="16" s="1"/>
  <c r="J12" i="15"/>
  <c r="J8" i="15" s="1"/>
  <c r="J9" i="15" s="1"/>
  <c r="B9" i="15" s="1"/>
  <c r="K10" i="15"/>
  <c r="K12" i="15" s="1"/>
  <c r="J6" i="15"/>
  <c r="K7" i="15" s="1"/>
  <c r="K6" i="15" s="1"/>
  <c r="F6" i="12"/>
  <c r="J9" i="12"/>
  <c r="D26" i="16" s="1"/>
  <c r="J26" i="16" s="1"/>
  <c r="J28" i="16" s="1"/>
  <c r="F5" i="12"/>
  <c r="F9" i="12"/>
  <c r="O50" i="13"/>
  <c r="O49" i="13"/>
  <c r="O54" i="13" s="1"/>
  <c r="J21" i="13"/>
  <c r="J23" i="13"/>
  <c r="J24" i="13" s="1"/>
  <c r="H35" i="13"/>
  <c r="H56" i="13" s="1"/>
  <c r="H57" i="13" s="1"/>
  <c r="H66" i="13" s="1"/>
  <c r="H69" i="13" s="1"/>
  <c r="H33" i="13"/>
  <c r="P53" i="13"/>
  <c r="Q41" i="13"/>
  <c r="P42" i="13"/>
  <c r="P45" i="13"/>
  <c r="P51" i="13" s="1"/>
  <c r="P43" i="13"/>
  <c r="P52" i="13"/>
  <c r="I32" i="13"/>
  <c r="H36" i="13"/>
  <c r="I30" i="13"/>
  <c r="N25" i="13"/>
  <c r="M27" i="13"/>
  <c r="G57" i="13"/>
  <c r="G66" i="13" s="1"/>
  <c r="P44" i="13" l="1"/>
  <c r="P47" i="13" s="1"/>
  <c r="I29" i="17"/>
  <c r="H35" i="17"/>
  <c r="I31" i="17"/>
  <c r="J20" i="17"/>
  <c r="J22" i="17"/>
  <c r="J23" i="17" s="1"/>
  <c r="H34" i="17"/>
  <c r="H55" i="17" s="1"/>
  <c r="H56" i="17" s="1"/>
  <c r="H65" i="17" s="1"/>
  <c r="H68" i="17" s="1"/>
  <c r="H32" i="17"/>
  <c r="E35" i="16"/>
  <c r="K8" i="15"/>
  <c r="K9" i="15" s="1"/>
  <c r="I15" i="15"/>
  <c r="J29" i="16" s="1"/>
  <c r="J30" i="16" s="1"/>
  <c r="H21" i="15"/>
  <c r="I17" i="15"/>
  <c r="F7" i="12"/>
  <c r="H18" i="15"/>
  <c r="H20" i="15"/>
  <c r="I22" i="16" s="1"/>
  <c r="I23" i="16" s="1"/>
  <c r="I32" i="16" s="1"/>
  <c r="I35" i="16" s="1"/>
  <c r="P49" i="13"/>
  <c r="P50" i="13"/>
  <c r="G69" i="13"/>
  <c r="I33" i="13"/>
  <c r="I35" i="13"/>
  <c r="I56" i="13" s="1"/>
  <c r="I57" i="13" s="1"/>
  <c r="I66" i="13" s="1"/>
  <c r="I69" i="13" s="1"/>
  <c r="N27" i="13"/>
  <c r="O25" i="13"/>
  <c r="J30" i="13"/>
  <c r="J32" i="13"/>
  <c r="I36" i="13"/>
  <c r="Q43" i="13"/>
  <c r="Q52" i="13"/>
  <c r="Q53" i="13"/>
  <c r="Q42" i="13"/>
  <c r="Q44" i="13" s="1"/>
  <c r="Q47" i="13" s="1"/>
  <c r="Q45" i="13"/>
  <c r="Q51" i="13" s="1"/>
  <c r="R41" i="13"/>
  <c r="L21" i="13"/>
  <c r="L23" i="13"/>
  <c r="L24" i="13" s="1"/>
  <c r="I35" i="17" l="1"/>
  <c r="J31" i="17"/>
  <c r="J29" i="17"/>
  <c r="K30" i="17" s="1"/>
  <c r="K22" i="17"/>
  <c r="K21" i="17"/>
  <c r="I34" i="17"/>
  <c r="I55" i="17" s="1"/>
  <c r="I56" i="17" s="1"/>
  <c r="I65" i="17" s="1"/>
  <c r="I68" i="17" s="1"/>
  <c r="I32" i="17"/>
  <c r="J17" i="15"/>
  <c r="I21" i="15"/>
  <c r="J15" i="15"/>
  <c r="I20" i="15"/>
  <c r="J22" i="16" s="1"/>
  <c r="J23" i="16" s="1"/>
  <c r="J32" i="16" s="1"/>
  <c r="I18" i="15"/>
  <c r="Q49" i="13"/>
  <c r="Q50" i="13"/>
  <c r="J36" i="13"/>
  <c r="L30" i="13"/>
  <c r="L32" i="13"/>
  <c r="M23" i="13"/>
  <c r="M22" i="13"/>
  <c r="M24" i="13" s="1"/>
  <c r="R42" i="13"/>
  <c r="R45" i="13"/>
  <c r="R51" i="13" s="1"/>
  <c r="R43" i="13"/>
  <c r="R52" i="13"/>
  <c r="R53" i="13"/>
  <c r="J33" i="13"/>
  <c r="J35" i="13"/>
  <c r="J56" i="13" s="1"/>
  <c r="J57" i="13" s="1"/>
  <c r="J66" i="13" s="1"/>
  <c r="P25" i="13"/>
  <c r="O27" i="13"/>
  <c r="P54" i="13"/>
  <c r="R44" i="13" l="1"/>
  <c r="R47" i="13" s="1"/>
  <c r="Q54" i="13"/>
  <c r="K23" i="17"/>
  <c r="C23" i="17" s="1"/>
  <c r="F5" i="17" s="1"/>
  <c r="D22" i="17" s="1"/>
  <c r="J32" i="17"/>
  <c r="J34" i="17"/>
  <c r="J55" i="17" s="1"/>
  <c r="J56" i="17" s="1"/>
  <c r="J35" i="17"/>
  <c r="K31" i="17"/>
  <c r="K29" i="17"/>
  <c r="J62" i="17"/>
  <c r="G5" i="17"/>
  <c r="H5" i="17" s="1"/>
  <c r="K20" i="17"/>
  <c r="J35" i="16"/>
  <c r="D35" i="16" s="1"/>
  <c r="D38" i="16" s="1"/>
  <c r="D40" i="16"/>
  <c r="K17" i="15"/>
  <c r="K16" i="15"/>
  <c r="K15" i="15" s="1"/>
  <c r="K21" i="15" s="1"/>
  <c r="J21" i="15"/>
  <c r="J18" i="15"/>
  <c r="J20" i="15"/>
  <c r="K22" i="16" s="1"/>
  <c r="K23" i="16" s="1"/>
  <c r="R49" i="13"/>
  <c r="R50" i="13"/>
  <c r="Q25" i="13"/>
  <c r="P27" i="13"/>
  <c r="M21" i="13"/>
  <c r="M32" i="13"/>
  <c r="L36" i="13"/>
  <c r="M30" i="13"/>
  <c r="J69" i="13"/>
  <c r="L63" i="13"/>
  <c r="L35" i="13"/>
  <c r="L56" i="13" s="1"/>
  <c r="L57" i="13" s="1"/>
  <c r="L33" i="13"/>
  <c r="K35" i="17" l="1"/>
  <c r="K32" i="17"/>
  <c r="C32" i="17" s="1"/>
  <c r="F6" i="17" s="1"/>
  <c r="G6" i="17" s="1"/>
  <c r="H6" i="17" s="1"/>
  <c r="H7" i="17" s="1"/>
  <c r="H9" i="17" s="1"/>
  <c r="D60" i="17" s="1"/>
  <c r="J60" i="17" s="1"/>
  <c r="J61" i="17" s="1"/>
  <c r="J63" i="17" s="1"/>
  <c r="J65" i="17" s="1"/>
  <c r="K34" i="17"/>
  <c r="K55" i="17" s="1"/>
  <c r="K56" i="17" s="1"/>
  <c r="K18" i="15"/>
  <c r="B18" i="15" s="1"/>
  <c r="K20" i="15"/>
  <c r="N32" i="13"/>
  <c r="M36" i="13"/>
  <c r="N30" i="13"/>
  <c r="M35" i="13"/>
  <c r="M56" i="13" s="1"/>
  <c r="M57" i="13" s="1"/>
  <c r="M33" i="13"/>
  <c r="R25" i="13"/>
  <c r="R27" i="13" s="1"/>
  <c r="Q27" i="13"/>
  <c r="N23" i="13"/>
  <c r="N22" i="13"/>
  <c r="R54" i="13"/>
  <c r="J68" i="17" l="1"/>
  <c r="D68" i="17" s="1"/>
  <c r="D71" i="17" s="1"/>
  <c r="D73" i="17"/>
  <c r="N24" i="13"/>
  <c r="O30" i="13"/>
  <c r="O32" i="13"/>
  <c r="N21" i="13"/>
  <c r="N33" i="13"/>
  <c r="N35" i="13"/>
  <c r="N56" i="13" s="1"/>
  <c r="N57" i="13" s="1"/>
  <c r="O22" i="13" l="1"/>
  <c r="O23" i="13"/>
  <c r="O35" i="13" s="1"/>
  <c r="O56" i="13" s="1"/>
  <c r="O57" i="13" s="1"/>
  <c r="N36" i="13"/>
  <c r="O33" i="13"/>
  <c r="P32" i="13"/>
  <c r="P31" i="13"/>
  <c r="P30" i="13" s="1"/>
  <c r="Q32" i="13" l="1"/>
  <c r="P33" i="13"/>
  <c r="O24" i="13"/>
  <c r="D24" i="13" s="1"/>
  <c r="F5" i="11" s="1"/>
  <c r="E23" i="13" s="1"/>
  <c r="O21" i="13"/>
  <c r="G5" i="12" l="1"/>
  <c r="C8" i="15" s="1"/>
  <c r="P22" i="13"/>
  <c r="P23" i="13"/>
  <c r="O36" i="13"/>
  <c r="Q33" i="13"/>
  <c r="D33" i="13" s="1"/>
  <c r="G5" i="11"/>
  <c r="H5" i="11" s="1"/>
  <c r="H5" i="12" l="1"/>
  <c r="I5" i="12" s="1"/>
  <c r="G6" i="12"/>
  <c r="H6" i="12" s="1"/>
  <c r="I6" i="12" s="1"/>
  <c r="P24" i="13"/>
  <c r="P35" i="13"/>
  <c r="P56" i="13" s="1"/>
  <c r="P57" i="13" s="1"/>
  <c r="P21" i="13"/>
  <c r="I7" i="12" l="1"/>
  <c r="I9" i="12" s="1"/>
  <c r="Q23" i="13"/>
  <c r="Q22" i="13"/>
  <c r="P36" i="13"/>
  <c r="F6" i="11"/>
  <c r="G6" i="11" s="1"/>
  <c r="H6" i="11" s="1"/>
  <c r="H7" i="11" s="1"/>
  <c r="H9" i="11" s="1"/>
  <c r="E61" i="13" s="1"/>
  <c r="L61" i="13" s="1"/>
  <c r="L62" i="13" s="1"/>
  <c r="L64" i="13" s="1"/>
  <c r="L66" i="13" s="1"/>
  <c r="N63" i="12" l="1"/>
  <c r="Q24" i="13"/>
  <c r="Q35" i="13"/>
  <c r="Q56" i="13" s="1"/>
  <c r="Q57" i="13" s="1"/>
  <c r="Q21" i="13"/>
  <c r="L69" i="13"/>
  <c r="E69" i="13" s="1"/>
  <c r="E72" i="13" s="1"/>
  <c r="E74" i="13"/>
  <c r="O64" i="13" s="1"/>
  <c r="R23" i="13" l="1"/>
  <c r="Q36" i="13"/>
  <c r="R22" i="13"/>
  <c r="R24" i="13" l="1"/>
  <c r="R35" i="13"/>
  <c r="R56" i="13" s="1"/>
  <c r="R57" i="13" s="1"/>
  <c r="R21" i="13"/>
  <c r="R36" i="13" s="1"/>
</calcChain>
</file>

<file path=xl/sharedStrings.xml><?xml version="1.0" encoding="utf-8"?>
<sst xmlns="http://schemas.openxmlformats.org/spreadsheetml/2006/main" count="482" uniqueCount="250">
  <si>
    <t>Figure 5.1</t>
  </si>
  <si>
    <t xml:space="preserve">   Raising Capital through the Company’s Business Cycle</t>
  </si>
  <si>
    <t>Investors</t>
  </si>
  <si>
    <t>Purpose of Investment</t>
  </si>
  <si>
    <t>What do you need</t>
  </si>
  <si>
    <t>The 3 Fs (Family, Friends and Fools)</t>
  </si>
  <si>
    <t>Angel Funds ($50,000 - $2 million)</t>
  </si>
  <si>
    <t>Hiring instumental team members</t>
  </si>
  <si>
    <t>Market testing ideas / product development</t>
  </si>
  <si>
    <t>Further developing MVPs</t>
  </si>
  <si>
    <t>Iron out the kinks of business models and product-market fits – Checking your “gut feeling” re-adjusting the business</t>
  </si>
  <si>
    <t>Business Plan / Preliminary Valuation</t>
  </si>
  <si>
    <t>Momentum</t>
  </si>
  <si>
    <t>University grants</t>
  </si>
  <si>
    <t>Support / share your vision</t>
  </si>
  <si>
    <t>Seed Investment</t>
  </si>
  <si>
    <t>Figure 5.2</t>
  </si>
  <si>
    <t>Venture Capital</t>
  </si>
  <si>
    <t>Series A ($2 mm - $10 million)</t>
  </si>
  <si>
    <t>Hedge Funds</t>
  </si>
  <si>
    <t>Institutional Investors (GP/LP structures)</t>
  </si>
  <si>
    <t>Industry Specific Venture Funds</t>
  </si>
  <si>
    <t>Market Share / Penetration</t>
  </si>
  <si>
    <t>Continue to develop the product</t>
  </si>
  <si>
    <t>Exit Strategy</t>
  </si>
  <si>
    <t>Business Plan</t>
  </si>
  <si>
    <t>DCF Valuation</t>
  </si>
  <si>
    <t>Figure 5.3</t>
  </si>
  <si>
    <t>Figure 5.4</t>
  </si>
  <si>
    <t>Large and Middle Market PE firms (Higher than $10 million)</t>
  </si>
  <si>
    <t>Industry specific PE firms</t>
  </si>
  <si>
    <t xml:space="preserve">Revenue  &amp; EBITDA Growth </t>
  </si>
  <si>
    <t>Cost Efficiency and Plant implementation</t>
  </si>
  <si>
    <t>Financial Engineering (using leverage)</t>
  </si>
  <si>
    <t xml:space="preserve">Focus on Core Business </t>
  </si>
  <si>
    <t>2-3 Year Financial Statements</t>
  </si>
  <si>
    <t>Operational Data (supporting Revenue, Income and Cash Flow</t>
  </si>
  <si>
    <t>Industry Consulting Reports</t>
  </si>
  <si>
    <t>DCF Valuation and other Valuation Methods (Comparables)</t>
  </si>
  <si>
    <t>Exit Strategy and Estimated Terminal Values</t>
  </si>
  <si>
    <t>Private Equity Capital</t>
  </si>
  <si>
    <t>Figure 5.5</t>
  </si>
  <si>
    <t xml:space="preserve">   Cash flow needs during early stage of a company ("Death Valley") funded by the Angel investor and the expected velocity and profit acceleration</t>
  </si>
  <si>
    <t>Cash Flow</t>
  </si>
  <si>
    <t>Time</t>
  </si>
  <si>
    <t>Velocity &amp;</t>
  </si>
  <si>
    <t>Acceleration</t>
  </si>
  <si>
    <t>ENTRY</t>
  </si>
  <si>
    <t>EXIT</t>
  </si>
  <si>
    <t>Expected Profit</t>
  </si>
  <si>
    <t>"Death Valley"</t>
  </si>
  <si>
    <t>Revenue Growth (no necessarily income growth)</t>
  </si>
  <si>
    <t xml:space="preserve">1. Executive Summary </t>
  </si>
  <si>
    <t xml:space="preserve">Key financials and company drivers </t>
  </si>
  <si>
    <t>Company Overview</t>
  </si>
  <si>
    <t>2. Company</t>
  </si>
  <si>
    <t>Legal structure</t>
  </si>
  <si>
    <t>3. Business</t>
  </si>
  <si>
    <t>Customers, references, and networks</t>
  </si>
  <si>
    <t>4. Resources</t>
  </si>
  <si>
    <t>Suppliers and procurement</t>
  </si>
  <si>
    <t>Production and distribution</t>
  </si>
  <si>
    <t>Research and development</t>
  </si>
  <si>
    <t>Systems and processes</t>
  </si>
  <si>
    <t xml:space="preserve">Marketing and sales </t>
  </si>
  <si>
    <t>6. Customers</t>
  </si>
  <si>
    <t>7. Industry</t>
  </si>
  <si>
    <t>Competitors</t>
  </si>
  <si>
    <t>Competitive position</t>
  </si>
  <si>
    <t>Strategic position</t>
  </si>
  <si>
    <t>5. Operations</t>
  </si>
  <si>
    <t>8. Financials</t>
  </si>
  <si>
    <t>Cash flow statement</t>
  </si>
  <si>
    <t>9. Outlook</t>
  </si>
  <si>
    <t>Summarize existing state of affairs</t>
  </si>
  <si>
    <t>Highlight long and short term goals</t>
  </si>
  <si>
    <t>Transaction Key investment considerations</t>
  </si>
  <si>
    <t>Investment considerations</t>
  </si>
  <si>
    <t>History</t>
  </si>
  <si>
    <t>Business model and product information</t>
  </si>
  <si>
    <t>Vision and strategy</t>
  </si>
  <si>
    <t>Segments, business units and markets</t>
  </si>
  <si>
    <t xml:space="preserve">Description of products and services </t>
  </si>
  <si>
    <t xml:space="preserve">Organization chart </t>
  </si>
  <si>
    <t xml:space="preserve">Infrastructure &amp; manufacturing </t>
  </si>
  <si>
    <t>Labor and operations</t>
  </si>
  <si>
    <t>Management</t>
  </si>
  <si>
    <t>Key customers</t>
  </si>
  <si>
    <t>Customer concentration</t>
  </si>
  <si>
    <t xml:space="preserve">Attrition trends and projections </t>
  </si>
  <si>
    <t>Market share</t>
  </si>
  <si>
    <t>Description of Industry and structure</t>
  </si>
  <si>
    <t>Financial overview</t>
  </si>
  <si>
    <t xml:space="preserve">Income statement </t>
  </si>
  <si>
    <t xml:space="preserve">Balance Sheet statement </t>
  </si>
  <si>
    <t>Checklist for Information Memorandum</t>
  </si>
  <si>
    <t>Figire 5.6</t>
  </si>
  <si>
    <t xml:space="preserve">Main strategies utilized in market trends </t>
  </si>
  <si>
    <t>Main growth strategies</t>
  </si>
  <si>
    <t>ALEXANDRIA HOTEL PROPERTY</t>
  </si>
  <si>
    <t>LBO Equity Analysis using CAPM</t>
  </si>
  <si>
    <t>TRANSACTION SOURCES &amp; USES</t>
  </si>
  <si>
    <t>COST OF DEBT AND EQUITY CALCULATIONS</t>
  </si>
  <si>
    <t>Sources:</t>
  </si>
  <si>
    <t>Debt
 Capacity (EBITDA x)</t>
  </si>
  <si>
    <t>Amount</t>
  </si>
  <si>
    <t>% Capital</t>
  </si>
  <si>
    <t>Expected Return</t>
  </si>
  <si>
    <t>Expected Return 
(After Tax)</t>
  </si>
  <si>
    <t>WACC
 (After Tax)</t>
  </si>
  <si>
    <t>EBITDA Multiple</t>
  </si>
  <si>
    <t>COST OF BANK DEBT CALCULATION
(Floaring Rate)</t>
  </si>
  <si>
    <t>Equity Risk Premiums (1926-2006)
(CAPM Model)</t>
  </si>
  <si>
    <t>Bank Loan</t>
  </si>
  <si>
    <t>3M-LIBOR
 Assumptions</t>
  </si>
  <si>
    <t>Loan
 Spread</t>
  </si>
  <si>
    <t>Initial All -In</t>
  </si>
  <si>
    <t>Decile</t>
  </si>
  <si>
    <t>Mkt Cap $MM</t>
  </si>
  <si>
    <t>Risk Prem.</t>
  </si>
  <si>
    <t>Mezzanine Note</t>
  </si>
  <si>
    <t xml:space="preserve">  Total Debt</t>
  </si>
  <si>
    <t>Equity</t>
  </si>
  <si>
    <t>COST OF MEZZANINE NOTE CALCULATION</t>
  </si>
  <si>
    <t xml:space="preserve">  Total Sources</t>
  </si>
  <si>
    <t>Uses:</t>
  </si>
  <si>
    <t>1st Year's
EBITDA
Multiple</t>
  </si>
  <si>
    <t xml:space="preserve"> % of 
Total
 Uses</t>
  </si>
  <si>
    <t>Purchase of the business</t>
  </si>
  <si>
    <t>6-year Treasury Note [ rf ]</t>
  </si>
  <si>
    <t>Property Renovation</t>
  </si>
  <si>
    <t>Beta for Publicly Traded  Hotel [ β ]</t>
  </si>
  <si>
    <t>Transaction Fees &amp; Expenses</t>
  </si>
  <si>
    <t>Equity Premium [ Pe ]</t>
  </si>
  <si>
    <t xml:space="preserve">  Total Uses</t>
  </si>
  <si>
    <t>Firm Specific Risk Premium [e]</t>
  </si>
  <si>
    <t>Cost of Equity</t>
  </si>
  <si>
    <t>Tax Rate=</t>
  </si>
  <si>
    <t>DEBT ASSUMPTIONS &amp; RETURN ANALYSIS</t>
  </si>
  <si>
    <t>Bank Loan Information</t>
  </si>
  <si>
    <t>Debt IRR</t>
  </si>
  <si>
    <t>Terms</t>
  </si>
  <si>
    <t>Amount Outstanding (End of Year)</t>
  </si>
  <si>
    <t>Schedule Principal Payments</t>
  </si>
  <si>
    <t>7 years</t>
  </si>
  <si>
    <t>Interest Payment (Calc based on last Year's Outs)</t>
  </si>
  <si>
    <t xml:space="preserve">  Total Financing Payment</t>
  </si>
  <si>
    <t xml:space="preserve">  LIBOR RATE </t>
  </si>
  <si>
    <t xml:space="preserve">   LIBOR Rate Increase Assumptions</t>
  </si>
  <si>
    <t>Interest Rate</t>
  </si>
  <si>
    <t>Corporate Bond Information</t>
  </si>
  <si>
    <t>Amount Outstanding</t>
  </si>
  <si>
    <t>10 Years</t>
  </si>
  <si>
    <t>Total Financing</t>
  </si>
  <si>
    <t>Total Debt Outstanding</t>
  </si>
  <si>
    <t>CASH FLOW  &amp; EQUITY RETURN ANALYSIS</t>
  </si>
  <si>
    <t>Company Projections</t>
  </si>
  <si>
    <t>Operating</t>
  </si>
  <si>
    <t>Entry Year</t>
  </si>
  <si>
    <t>Year 1</t>
  </si>
  <si>
    <t>Year 2</t>
  </si>
  <si>
    <t>Year 3</t>
  </si>
  <si>
    <t>Year 4</t>
  </si>
  <si>
    <t>Year 5</t>
  </si>
  <si>
    <t>Exit Year</t>
  </si>
  <si>
    <t>Assump.</t>
  </si>
  <si>
    <t>Revenues</t>
  </si>
  <si>
    <t>growth</t>
  </si>
  <si>
    <t>Cost of Revenues</t>
  </si>
  <si>
    <t>% of Revenue</t>
  </si>
  <si>
    <t>Operating Costs</t>
  </si>
  <si>
    <t xml:space="preserve"> EBITDA</t>
  </si>
  <si>
    <t>Less Depreciation</t>
  </si>
  <si>
    <t>Less Amortization of Fees</t>
  </si>
  <si>
    <t>years</t>
  </si>
  <si>
    <t>EBIT</t>
  </si>
  <si>
    <t xml:space="preserve">  Less Interest (Unlevered for DCF Analysis)</t>
  </si>
  <si>
    <t>EBT</t>
  </si>
  <si>
    <t xml:space="preserve">  Less Taxes (adj out Interest Exp)</t>
  </si>
  <si>
    <t>% of EBT</t>
  </si>
  <si>
    <t xml:space="preserve">  Plus Depreciation &amp; Amortization</t>
  </si>
  <si>
    <t xml:space="preserve">  Less Working Capital</t>
  </si>
  <si>
    <t xml:space="preserve">  Less Capex</t>
  </si>
  <si>
    <t>Cash Flow Before Financing (CFBF)</t>
  </si>
  <si>
    <t>Less Financing ( P + I )</t>
  </si>
  <si>
    <t>Equity Cash Flows</t>
  </si>
  <si>
    <t>Terminal Value</t>
  </si>
  <si>
    <t xml:space="preserve">  EBITDA Multiple Method (initial purchase multiple)</t>
  </si>
  <si>
    <t>Growth</t>
  </si>
  <si>
    <t xml:space="preserve">  Perpetuity Method  (using WACC + growth)</t>
  </si>
  <si>
    <t>Average Terminal Value</t>
  </si>
  <si>
    <t>SCENARIO TABLE</t>
  </si>
  <si>
    <t>Debt Outstanding</t>
  </si>
  <si>
    <t>EBITDA Purchase Multiples</t>
  </si>
  <si>
    <t>Equity Value (TV - Debt)</t>
  </si>
  <si>
    <t>IRR=</t>
  </si>
  <si>
    <t>Revenue Growth Rates</t>
  </si>
  <si>
    <t>x</t>
  </si>
  <si>
    <t>$ 1 PV Table (Expected Equity Rate)</t>
  </si>
  <si>
    <t>PV Table (Expected Equity Rate)</t>
  </si>
  <si>
    <t>Initial Investment</t>
  </si>
  <si>
    <t>Equity Return Scenarios Given Different EBITDA Multiples</t>
  </si>
  <si>
    <t>NPV=</t>
  </si>
  <si>
    <t>Interest / Exp. Return</t>
  </si>
  <si>
    <t>Interest/
Exp. Ret.
(After Tax)</t>
  </si>
  <si>
    <t>Bank Loan (LIBOR + 4.0% for 7 years)</t>
  </si>
  <si>
    <t>Mezzanine Note (9.0% Fixed for 8 yrs)</t>
  </si>
  <si>
    <t>Private Equity</t>
  </si>
  <si>
    <r>
      <t xml:space="preserve">MINIMUM COST OF EQUITY CALCULATION USING CAPM
(EXPECTED RETURN)
</t>
    </r>
    <r>
      <rPr>
        <b/>
        <sz val="12"/>
        <rFont val="Arial"/>
        <family val="2"/>
      </rPr>
      <t>E</t>
    </r>
    <r>
      <rPr>
        <b/>
        <sz val="11"/>
        <rFont val="Arial"/>
        <family val="2"/>
      </rPr>
      <t xml:space="preserve"> (re) = rf + β</t>
    </r>
    <r>
      <rPr>
        <b/>
        <sz val="10"/>
        <rFont val="Arial"/>
        <family val="2"/>
      </rPr>
      <t xml:space="preserve"> . Pe + e</t>
    </r>
  </si>
  <si>
    <t>Fig. 5.7</t>
  </si>
  <si>
    <t>Tax Rate</t>
  </si>
  <si>
    <t>Projected First Year's EBITDA</t>
  </si>
  <si>
    <t>Amount
($)</t>
  </si>
  <si>
    <t>MINIMUM COST OF EQUITY CALCULATION USING CAPM
(EXPECTED RETURN)
E (re) = rf + β . Pe + e</t>
  </si>
  <si>
    <t>Summary Term Sheets for Bank Loan and Mezzanine Note</t>
  </si>
  <si>
    <t>DESCRIPTION</t>
  </si>
  <si>
    <t>Borrower</t>
  </si>
  <si>
    <t>Security</t>
  </si>
  <si>
    <t>Facilities</t>
  </si>
  <si>
    <t>Initial Coupon</t>
  </si>
  <si>
    <t>BANK LOAN</t>
  </si>
  <si>
    <t>MEZZANINE</t>
  </si>
  <si>
    <t>Tenor</t>
  </si>
  <si>
    <t>Scheduled Amortization</t>
  </si>
  <si>
    <t>Mandatory Prepayments</t>
  </si>
  <si>
    <t>Financial Covenants</t>
  </si>
  <si>
    <t>Alexandria Hotel Property Inc.</t>
  </si>
  <si>
    <t>Perfected Pledge of (i) all of the Borrower's capital stock and (ii) substantially all assets of the Borrower</t>
  </si>
  <si>
    <t>Unsecured</t>
  </si>
  <si>
    <t>Term Loan $60,000,000</t>
  </si>
  <si>
    <t>Note $40,000,000</t>
  </si>
  <si>
    <t xml:space="preserve"> LIBOR + 400 bps</t>
  </si>
  <si>
    <t>9.0% Fixed</t>
  </si>
  <si>
    <t>8 years</t>
  </si>
  <si>
    <t>Year 1: $3mm, Year 2:$4mm, Year 3:$5mm, Year 4:$5mm, Year 5:$6mm, Year 6:$7mm, Year 7:$30mm</t>
  </si>
  <si>
    <t>Year 1-7: $0
Year 8: $40mm</t>
  </si>
  <si>
    <t>100% non-ordinary course asset sales proceeds
100% net cash process from Debr issuances and 50% excess cash flow
Change of Onwership Control</t>
  </si>
  <si>
    <t>Change of Ownership Control</t>
  </si>
  <si>
    <t>6..0x Total Debt Leverage</t>
  </si>
  <si>
    <t>No Covenants</t>
  </si>
  <si>
    <t>Figure 5.8</t>
  </si>
  <si>
    <t>Debt Schedule and Assumptions</t>
  </si>
  <si>
    <t>Figure 5.9</t>
  </si>
  <si>
    <t>Year 6</t>
  </si>
  <si>
    <t xml:space="preserve">  Perpetuity Method  (using WACC)</t>
  </si>
  <si>
    <t xml:space="preserve">  Perpetuity Method  (using next year's CFBF and WACC)</t>
  </si>
  <si>
    <t>Figure 5.10</t>
  </si>
  <si>
    <t>Figure 5.11</t>
  </si>
  <si>
    <t>Cash Flow Porjection and Equity Return</t>
  </si>
  <si>
    <t>Government subsidies (Small Business Administration)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</si>
</sst>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\x"/>
    <numFmt numFmtId="167" formatCode="0.0%"/>
    <numFmt numFmtId="168" formatCode="0.000%"/>
    <numFmt numFmtId="169" formatCode="0.000\x"/>
    <numFmt numFmtId="170" formatCode="_(* #,##0.0000000_);_(* \(#,##0.0000000\);_(* &quot;-&quot;??_);_(@_)"/>
  </numFmts>
  <fonts count="26" x14ac:knownFonts="1">
    <font>
      <sz val="11"/>
      <color theme="1"/>
      <name val="Calibri"/>
      <family val="2"/>
      <scheme val="minor"/>
    </font>
    <font>
      <sz val="12"/>
      <color rgb="FF2399DA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2399DA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6" fillId="0" borderId="0"/>
  </cellStyleXfs>
  <cellXfs count="250">
    <xf numFmtId="0" fontId="0" fillId="0" borderId="0" xfId="0"/>
    <xf numFmtId="0" fontId="1" fillId="0" borderId="0" xfId="0" applyFont="1"/>
    <xf numFmtId="0" fontId="0" fillId="0" borderId="2" xfId="0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horizontal="right"/>
    </xf>
    <xf numFmtId="0" fontId="2" fillId="0" borderId="11" xfId="0" applyFont="1" applyBorder="1"/>
    <xf numFmtId="0" fontId="2" fillId="0" borderId="0" xfId="0" applyFont="1"/>
    <xf numFmtId="0" fontId="0" fillId="0" borderId="14" xfId="0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1" fillId="3" borderId="15" xfId="0" applyFont="1" applyFill="1" applyBorder="1"/>
    <xf numFmtId="0" fontId="12" fillId="3" borderId="15" xfId="0" applyFont="1" applyFill="1" applyBorder="1"/>
    <xf numFmtId="0" fontId="13" fillId="3" borderId="15" xfId="0" applyFont="1" applyFill="1" applyBorder="1"/>
    <xf numFmtId="164" fontId="13" fillId="3" borderId="16" xfId="1" applyNumberFormat="1" applyFont="1" applyFill="1" applyBorder="1"/>
    <xf numFmtId="164" fontId="12" fillId="3" borderId="15" xfId="1" applyNumberFormat="1" applyFont="1" applyFill="1" applyBorder="1"/>
    <xf numFmtId="0" fontId="12" fillId="3" borderId="17" xfId="0" applyFont="1" applyFill="1" applyBorder="1"/>
    <xf numFmtId="0" fontId="15" fillId="0" borderId="0" xfId="0" applyFont="1"/>
    <xf numFmtId="0" fontId="8" fillId="4" borderId="18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166" fontId="17" fillId="0" borderId="22" xfId="1" applyNumberFormat="1" applyFont="1" applyBorder="1" applyAlignment="1">
      <alignment horizontal="center"/>
    </xf>
    <xf numFmtId="164" fontId="18" fillId="0" borderId="0" xfId="1" applyNumberFormat="1" applyFont="1"/>
    <xf numFmtId="167" fontId="0" fillId="0" borderId="0" xfId="2" applyNumberFormat="1" applyFont="1"/>
    <xf numFmtId="168" fontId="14" fillId="0" borderId="0" xfId="0" applyNumberFormat="1" applyFont="1"/>
    <xf numFmtId="10" fontId="0" fillId="0" borderId="0" xfId="2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8" fillId="4" borderId="19" xfId="0" applyFont="1" applyFill="1" applyBorder="1" applyAlignment="1">
      <alignment horizontal="center"/>
    </xf>
    <xf numFmtId="165" fontId="10" fillId="4" borderId="23" xfId="3" applyFont="1" applyFill="1" applyBorder="1" applyAlignment="1">
      <alignment horizontal="center"/>
    </xf>
    <xf numFmtId="165" fontId="10" fillId="4" borderId="1" xfId="3" applyFont="1" applyFill="1" applyBorder="1" applyAlignment="1">
      <alignment horizontal="center"/>
    </xf>
    <xf numFmtId="167" fontId="10" fillId="4" borderId="24" xfId="3" applyNumberFormat="1" applyFont="1" applyFill="1" applyBorder="1" applyAlignment="1">
      <alignment horizontal="center"/>
    </xf>
    <xf numFmtId="166" fontId="17" fillId="0" borderId="22" xfId="1" applyNumberFormat="1" applyFont="1" applyBorder="1" applyAlignment="1">
      <alignment horizontal="center" vertical="center"/>
    </xf>
    <xf numFmtId="164" fontId="14" fillId="0" borderId="1" xfId="1" applyNumberFormat="1" applyFont="1" applyBorder="1"/>
    <xf numFmtId="167" fontId="0" fillId="0" borderId="1" xfId="2" applyNumberFormat="1" applyFont="1" applyBorder="1"/>
    <xf numFmtId="168" fontId="14" fillId="0" borderId="1" xfId="0" applyNumberFormat="1" applyFont="1" applyBorder="1"/>
    <xf numFmtId="10" fontId="0" fillId="0" borderId="1" xfId="2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17" fillId="0" borderId="18" xfId="0" applyNumberFormat="1" applyFont="1" applyBorder="1" applyAlignment="1">
      <alignment horizontal="center"/>
    </xf>
    <xf numFmtId="10" fontId="17" fillId="0" borderId="25" xfId="0" applyNumberFormat="1" applyFont="1" applyBorder="1" applyAlignment="1">
      <alignment horizontal="center"/>
    </xf>
    <xf numFmtId="10" fontId="8" fillId="0" borderId="16" xfId="0" applyNumberFormat="1" applyFont="1" applyBorder="1" applyAlignment="1">
      <alignment horizontal="center"/>
    </xf>
    <xf numFmtId="165" fontId="14" fillId="0" borderId="26" xfId="3" applyFont="1" applyBorder="1" applyAlignment="1">
      <alignment horizontal="center"/>
    </xf>
    <xf numFmtId="164" fontId="14" fillId="0" borderId="27" xfId="1" applyNumberFormat="1" applyFont="1" applyBorder="1"/>
    <xf numFmtId="10" fontId="14" fillId="0" borderId="28" xfId="2" applyNumberFormat="1" applyFont="1" applyBorder="1"/>
    <xf numFmtId="10" fontId="14" fillId="0" borderId="0" xfId="0" applyNumberFormat="1" applyFont="1"/>
    <xf numFmtId="166" fontId="8" fillId="0" borderId="0" xfId="0" applyNumberFormat="1" applyFont="1" applyAlignment="1">
      <alignment horizontal="right"/>
    </xf>
    <xf numFmtId="165" fontId="14" fillId="0" borderId="29" xfId="3" applyFont="1" applyBorder="1" applyAlignment="1">
      <alignment horizontal="center"/>
    </xf>
    <xf numFmtId="164" fontId="14" fillId="0" borderId="0" xfId="1" applyNumberFormat="1" applyFont="1"/>
    <xf numFmtId="10" fontId="14" fillId="0" borderId="30" xfId="2" applyNumberFormat="1" applyFont="1" applyBorder="1"/>
    <xf numFmtId="0" fontId="18" fillId="0" borderId="22" xfId="0" applyFont="1" applyBorder="1"/>
    <xf numFmtId="10" fontId="8" fillId="5" borderId="18" xfId="0" applyNumberFormat="1" applyFont="1" applyFill="1" applyBorder="1"/>
    <xf numFmtId="10" fontId="8" fillId="0" borderId="18" xfId="0" applyNumberFormat="1" applyFont="1" applyBorder="1"/>
    <xf numFmtId="165" fontId="14" fillId="0" borderId="23" xfId="3" applyFont="1" applyBorder="1" applyAlignment="1">
      <alignment horizontal="center"/>
    </xf>
    <xf numFmtId="10" fontId="14" fillId="0" borderId="24" xfId="2" applyNumberFormat="1" applyFont="1" applyBorder="1"/>
    <xf numFmtId="0" fontId="18" fillId="0" borderId="25" xfId="0" applyFont="1" applyBorder="1"/>
    <xf numFmtId="164" fontId="0" fillId="0" borderId="31" xfId="1" applyNumberFormat="1" applyFont="1" applyBorder="1"/>
    <xf numFmtId="167" fontId="0" fillId="0" borderId="31" xfId="2" applyNumberFormat="1" applyFont="1" applyBorder="1"/>
    <xf numFmtId="10" fontId="8" fillId="4" borderId="32" xfId="2" applyNumberFormat="1" applyFont="1" applyFill="1" applyBorder="1" applyAlignment="1">
      <alignment horizontal="right"/>
    </xf>
    <xf numFmtId="166" fontId="8" fillId="0" borderId="31" xfId="0" applyNumberFormat="1" applyFont="1" applyBorder="1" applyAlignment="1">
      <alignment horizontal="right"/>
    </xf>
    <xf numFmtId="0" fontId="0" fillId="0" borderId="16" xfId="0" applyBorder="1"/>
    <xf numFmtId="10" fontId="17" fillId="0" borderId="15" xfId="0" applyNumberFormat="1" applyFont="1" applyBorder="1" applyAlignment="1">
      <alignment horizontal="center"/>
    </xf>
    <xf numFmtId="0" fontId="0" fillId="0" borderId="17" xfId="0" applyBorder="1"/>
    <xf numFmtId="164" fontId="0" fillId="0" borderId="33" xfId="1" applyNumberFormat="1" applyFont="1" applyBorder="1"/>
    <xf numFmtId="164" fontId="0" fillId="0" borderId="0" xfId="1" applyNumberFormat="1" applyFont="1"/>
    <xf numFmtId="0" fontId="15" fillId="0" borderId="0" xfId="0" applyFont="1" applyAlignment="1">
      <alignment vertical="center"/>
    </xf>
    <xf numFmtId="0" fontId="8" fillId="4" borderId="15" xfId="0" applyFont="1" applyFill="1" applyBorder="1" applyAlignment="1">
      <alignment horizontal="center" wrapText="1"/>
    </xf>
    <xf numFmtId="164" fontId="8" fillId="0" borderId="0" xfId="1" applyNumberFormat="1" applyFont="1"/>
    <xf numFmtId="167" fontId="0" fillId="0" borderId="0" xfId="2" applyNumberFormat="1" applyFont="1" applyAlignment="1">
      <alignment horizontal="right"/>
    </xf>
    <xf numFmtId="0" fontId="16" fillId="0" borderId="11" xfId="0" applyFont="1" applyBorder="1"/>
    <xf numFmtId="10" fontId="18" fillId="0" borderId="37" xfId="0" applyNumberFormat="1" applyFont="1" applyBorder="1"/>
    <xf numFmtId="164" fontId="0" fillId="0" borderId="22" xfId="1" applyNumberFormat="1" applyFont="1" applyBorder="1"/>
    <xf numFmtId="169" fontId="18" fillId="0" borderId="13" xfId="0" applyNumberFormat="1" applyFont="1" applyBorder="1"/>
    <xf numFmtId="167" fontId="17" fillId="0" borderId="22" xfId="2" applyNumberFormat="1" applyFont="1" applyBorder="1" applyAlignment="1">
      <alignment horizontal="center"/>
    </xf>
    <xf numFmtId="10" fontId="0" fillId="0" borderId="13" xfId="0" applyNumberFormat="1" applyBorder="1"/>
    <xf numFmtId="164" fontId="0" fillId="0" borderId="25" xfId="1" applyNumberFormat="1" applyFont="1" applyBorder="1"/>
    <xf numFmtId="167" fontId="0" fillId="0" borderId="31" xfId="2" applyNumberFormat="1" applyFont="1" applyBorder="1" applyAlignment="1">
      <alignment horizontal="right"/>
    </xf>
    <xf numFmtId="167" fontId="0" fillId="0" borderId="13" xfId="2" applyNumberFormat="1" applyFont="1" applyBorder="1"/>
    <xf numFmtId="0" fontId="8" fillId="5" borderId="38" xfId="0" applyFont="1" applyFill="1" applyBorder="1"/>
    <xf numFmtId="0" fontId="0" fillId="5" borderId="39" xfId="0" applyFill="1" applyBorder="1"/>
    <xf numFmtId="10" fontId="8" fillId="5" borderId="40" xfId="2" applyNumberFormat="1" applyFont="1" applyFill="1" applyBorder="1"/>
    <xf numFmtId="165" fontId="8" fillId="5" borderId="16" xfId="3" applyFont="1" applyFill="1" applyBorder="1" applyAlignment="1">
      <alignment horizontal="center"/>
    </xf>
    <xf numFmtId="164" fontId="8" fillId="5" borderId="15" xfId="1" applyNumberFormat="1" applyFont="1" applyFill="1" applyBorder="1"/>
    <xf numFmtId="10" fontId="8" fillId="5" borderId="17" xfId="2" applyNumberFormat="1" applyFont="1" applyFill="1" applyBorder="1"/>
    <xf numFmtId="164" fontId="0" fillId="0" borderId="15" xfId="1" applyNumberFormat="1" applyFont="1" applyBorder="1"/>
    <xf numFmtId="0" fontId="8" fillId="4" borderId="19" xfId="0" applyFont="1" applyFill="1" applyBorder="1" applyAlignment="1">
      <alignment horizontal="right"/>
    </xf>
    <xf numFmtId="167" fontId="8" fillId="4" borderId="21" xfId="0" applyNumberFormat="1" applyFont="1" applyFill="1" applyBorder="1"/>
    <xf numFmtId="0" fontId="0" fillId="0" borderId="15" xfId="0" applyBorder="1"/>
    <xf numFmtId="0" fontId="11" fillId="3" borderId="20" xfId="0" applyFont="1" applyFill="1" applyBorder="1"/>
    <xf numFmtId="0" fontId="12" fillId="3" borderId="20" xfId="0" applyFont="1" applyFill="1" applyBorder="1"/>
    <xf numFmtId="164" fontId="13" fillId="3" borderId="20" xfId="1" applyNumberFormat="1" applyFont="1" applyFill="1" applyBorder="1"/>
    <xf numFmtId="164" fontId="12" fillId="3" borderId="20" xfId="1" applyNumberFormat="1" applyFont="1" applyFill="1" applyBorder="1"/>
    <xf numFmtId="0" fontId="21" fillId="0" borderId="0" xfId="0" applyFont="1"/>
    <xf numFmtId="0" fontId="21" fillId="4" borderId="18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0" borderId="22" xfId="0" applyNumberFormat="1" applyFont="1" applyBorder="1"/>
    <xf numFmtId="0" fontId="8" fillId="0" borderId="22" xfId="0" quotePrefix="1" applyFont="1" applyBorder="1" applyAlignment="1">
      <alignment horizontal="center"/>
    </xf>
    <xf numFmtId="164" fontId="18" fillId="0" borderId="22" xfId="1" applyNumberFormat="1" applyFont="1" applyBorder="1"/>
    <xf numFmtId="10" fontId="8" fillId="0" borderId="22" xfId="2" applyNumberFormat="1" applyFont="1" applyBorder="1" applyAlignment="1">
      <alignment horizontal="center"/>
    </xf>
    <xf numFmtId="168" fontId="0" fillId="0" borderId="0" xfId="0" applyNumberFormat="1"/>
    <xf numFmtId="164" fontId="0" fillId="0" borderId="32" xfId="0" applyNumberFormat="1" applyBorder="1"/>
    <xf numFmtId="164" fontId="0" fillId="0" borderId="32" xfId="1" applyNumberFormat="1" applyFont="1" applyBorder="1"/>
    <xf numFmtId="168" fontId="22" fillId="0" borderId="0" xfId="0" applyNumberFormat="1" applyFont="1"/>
    <xf numFmtId="10" fontId="22" fillId="0" borderId="22" xfId="2" applyNumberFormat="1" applyFont="1" applyBorder="1"/>
    <xf numFmtId="10" fontId="22" fillId="0" borderId="0" xfId="2" applyNumberFormat="1" applyFont="1"/>
    <xf numFmtId="0" fontId="22" fillId="0" borderId="0" xfId="0" applyFont="1"/>
    <xf numFmtId="10" fontId="23" fillId="0" borderId="0" xfId="2" applyNumberFormat="1" applyFont="1"/>
    <xf numFmtId="0" fontId="0" fillId="0" borderId="22" xfId="0" applyBorder="1"/>
    <xf numFmtId="168" fontId="21" fillId="0" borderId="0" xfId="0" applyNumberFormat="1" applyFont="1"/>
    <xf numFmtId="10" fontId="8" fillId="0" borderId="22" xfId="0" applyNumberFormat="1" applyFont="1" applyBorder="1" applyAlignment="1">
      <alignment horizontal="center"/>
    </xf>
    <xf numFmtId="0" fontId="0" fillId="0" borderId="25" xfId="0" applyBorder="1"/>
    <xf numFmtId="164" fontId="8" fillId="5" borderId="22" xfId="1" applyNumberFormat="1" applyFont="1" applyFill="1" applyBorder="1"/>
    <xf numFmtId="0" fontId="8" fillId="4" borderId="42" xfId="0" applyFont="1" applyFill="1" applyBorder="1"/>
    <xf numFmtId="0" fontId="8" fillId="4" borderId="43" xfId="0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8" fillId="4" borderId="16" xfId="0" applyFont="1" applyFill="1" applyBorder="1"/>
    <xf numFmtId="0" fontId="17" fillId="4" borderId="2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10" fontId="18" fillId="0" borderId="0" xfId="0" applyNumberFormat="1" applyFont="1"/>
    <xf numFmtId="164" fontId="18" fillId="0" borderId="0" xfId="0" applyNumberFormat="1" applyFont="1"/>
    <xf numFmtId="164" fontId="0" fillId="0" borderId="0" xfId="0" applyNumberFormat="1"/>
    <xf numFmtId="164" fontId="0" fillId="0" borderId="22" xfId="0" applyNumberFormat="1" applyBorder="1"/>
    <xf numFmtId="167" fontId="18" fillId="0" borderId="0" xfId="0" applyNumberFormat="1" applyFont="1"/>
    <xf numFmtId="0" fontId="0" fillId="0" borderId="22" xfId="0" quotePrefix="1" applyBorder="1"/>
    <xf numFmtId="167" fontId="0" fillId="0" borderId="44" xfId="2" applyNumberFormat="1" applyFont="1" applyBorder="1"/>
    <xf numFmtId="164" fontId="8" fillId="5" borderId="45" xfId="0" applyNumberFormat="1" applyFont="1" applyFill="1" applyBorder="1"/>
    <xf numFmtId="164" fontId="8" fillId="0" borderId="45" xfId="0" applyNumberFormat="1" applyFont="1" applyBorder="1"/>
    <xf numFmtId="164" fontId="8" fillId="5" borderId="46" xfId="0" applyNumberFormat="1" applyFont="1" applyFill="1" applyBorder="1"/>
    <xf numFmtId="164" fontId="18" fillId="0" borderId="0" xfId="1" applyNumberFormat="1" applyFont="1" applyAlignment="1">
      <alignment horizontal="center"/>
    </xf>
    <xf numFmtId="164" fontId="0" fillId="0" borderId="23" xfId="0" applyNumberFormat="1" applyBorder="1"/>
    <xf numFmtId="164" fontId="0" fillId="0" borderId="1" xfId="0" applyNumberFormat="1" applyBorder="1"/>
    <xf numFmtId="164" fontId="0" fillId="0" borderId="41" xfId="0" applyNumberFormat="1" applyBorder="1"/>
    <xf numFmtId="164" fontId="8" fillId="0" borderId="31" xfId="0" applyNumberFormat="1" applyFont="1" applyBorder="1"/>
    <xf numFmtId="164" fontId="8" fillId="0" borderId="32" xfId="0" applyNumberFormat="1" applyFont="1" applyBorder="1"/>
    <xf numFmtId="164" fontId="0" fillId="0" borderId="31" xfId="0" applyNumberFormat="1" applyBorder="1"/>
    <xf numFmtId="0" fontId="8" fillId="5" borderId="47" xfId="0" applyFont="1" applyFill="1" applyBorder="1" applyAlignment="1">
      <alignment horizontal="center"/>
    </xf>
    <xf numFmtId="166" fontId="8" fillId="5" borderId="43" xfId="0" applyNumberFormat="1" applyFont="1" applyFill="1" applyBorder="1" applyAlignment="1">
      <alignment horizontal="center"/>
    </xf>
    <xf numFmtId="10" fontId="17" fillId="0" borderId="16" xfId="0" applyNumberFormat="1" applyFont="1" applyBorder="1" applyAlignment="1">
      <alignment horizontal="center"/>
    </xf>
    <xf numFmtId="10" fontId="8" fillId="5" borderId="25" xfId="0" applyNumberFormat="1" applyFont="1" applyFill="1" applyBorder="1" applyAlignment="1">
      <alignment horizontal="center"/>
    </xf>
    <xf numFmtId="164" fontId="8" fillId="5" borderId="32" xfId="1" applyNumberFormat="1" applyFont="1" applyFill="1" applyBorder="1"/>
    <xf numFmtId="164" fontId="0" fillId="0" borderId="50" xfId="0" applyNumberFormat="1" applyBorder="1"/>
    <xf numFmtId="0" fontId="8" fillId="0" borderId="14" xfId="0" applyFont="1" applyBorder="1" applyAlignment="1">
      <alignment horizontal="centerContinuous"/>
    </xf>
    <xf numFmtId="0" fontId="8" fillId="0" borderId="52" xfId="0" applyFont="1" applyBorder="1" applyAlignment="1">
      <alignment horizontal="centerContinuous"/>
    </xf>
    <xf numFmtId="0" fontId="8" fillId="4" borderId="51" xfId="0" applyFont="1" applyFill="1" applyBorder="1" applyAlignment="1">
      <alignment horizontal="right" shrinkToFit="1"/>
    </xf>
    <xf numFmtId="167" fontId="8" fillId="4" borderId="14" xfId="0" applyNumberFormat="1" applyFont="1" applyFill="1" applyBorder="1" applyAlignment="1">
      <alignment horizontal="center" vertical="center"/>
    </xf>
    <xf numFmtId="166" fontId="8" fillId="4" borderId="5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6" fontId="8" fillId="4" borderId="52" xfId="0" applyNumberFormat="1" applyFont="1" applyFill="1" applyBorder="1" applyAlignment="1">
      <alignment horizontal="center" vertical="center"/>
    </xf>
    <xf numFmtId="10" fontId="8" fillId="4" borderId="44" xfId="0" applyNumberFormat="1" applyFont="1" applyFill="1" applyBorder="1" applyAlignment="1">
      <alignment horizontal="center"/>
    </xf>
    <xf numFmtId="10" fontId="8" fillId="2" borderId="18" xfId="2" applyNumberFormat="1" applyFont="1" applyFill="1" applyBorder="1" applyAlignment="1">
      <alignment horizontal="center"/>
    </xf>
    <xf numFmtId="10" fontId="0" fillId="0" borderId="55" xfId="2" applyNumberFormat="1" applyFont="1" applyBorder="1" applyAlignment="1">
      <alignment horizontal="center"/>
    </xf>
    <xf numFmtId="10" fontId="14" fillId="6" borderId="56" xfId="2" applyNumberFormat="1" applyFont="1" applyFill="1" applyBorder="1" applyAlignment="1">
      <alignment horizontal="center"/>
    </xf>
    <xf numFmtId="10" fontId="14" fillId="6" borderId="52" xfId="2" applyNumberFormat="1" applyFont="1" applyFill="1" applyBorder="1" applyAlignment="1">
      <alignment horizontal="center"/>
    </xf>
    <xf numFmtId="164" fontId="8" fillId="5" borderId="32" xfId="0" applyNumberFormat="1" applyFont="1" applyFill="1" applyBorder="1"/>
    <xf numFmtId="164" fontId="8" fillId="5" borderId="31" xfId="0" applyNumberFormat="1" applyFont="1" applyFill="1" applyBorder="1"/>
    <xf numFmtId="10" fontId="8" fillId="4" borderId="14" xfId="0" applyNumberFormat="1" applyFont="1" applyFill="1" applyBorder="1" applyAlignment="1">
      <alignment horizontal="center"/>
    </xf>
    <xf numFmtId="10" fontId="14" fillId="6" borderId="14" xfId="2" applyNumberFormat="1" applyFont="1" applyFill="1" applyBorder="1" applyAlignment="1">
      <alignment horizontal="center"/>
    </xf>
    <xf numFmtId="170" fontId="8" fillId="0" borderId="33" xfId="1" applyNumberFormat="1" applyFont="1" applyBorder="1" applyAlignment="1">
      <alignment horizontal="center"/>
    </xf>
    <xf numFmtId="170" fontId="8" fillId="0" borderId="1" xfId="1" applyNumberFormat="1" applyFont="1" applyBorder="1" applyAlignment="1">
      <alignment horizontal="center"/>
    </xf>
    <xf numFmtId="10" fontId="0" fillId="0" borderId="14" xfId="2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0" fontId="8" fillId="0" borderId="0" xfId="2" applyNumberFormat="1" applyFont="1"/>
    <xf numFmtId="170" fontId="22" fillId="0" borderId="27" xfId="1" applyNumberFormat="1" applyFont="1" applyBorder="1" applyAlignment="1">
      <alignment horizontal="center"/>
    </xf>
    <xf numFmtId="164" fontId="8" fillId="5" borderId="18" xfId="0" applyNumberFormat="1" applyFont="1" applyFill="1" applyBorder="1"/>
    <xf numFmtId="164" fontId="14" fillId="0" borderId="0" xfId="1" applyNumberFormat="1" applyFont="1" applyAlignment="1">
      <alignment horizontal="center"/>
    </xf>
    <xf numFmtId="10" fontId="0" fillId="0" borderId="52" xfId="2" applyNumberFormat="1" applyFont="1" applyBorder="1" applyAlignment="1">
      <alignment horizontal="center"/>
    </xf>
    <xf numFmtId="164" fontId="8" fillId="0" borderId="0" xfId="0" applyNumberFormat="1" applyFont="1"/>
    <xf numFmtId="0" fontId="0" fillId="0" borderId="0" xfId="0" quotePrefix="1"/>
    <xf numFmtId="0" fontId="11" fillId="3" borderId="20" xfId="0" applyFont="1" applyFill="1" applyBorder="1" applyAlignment="1">
      <alignment horizontal="centerContinuous"/>
    </xf>
    <xf numFmtId="166" fontId="8" fillId="4" borderId="57" xfId="1" applyNumberFormat="1" applyFont="1" applyFill="1" applyBorder="1" applyAlignment="1">
      <alignment horizontal="center" vertical="center"/>
    </xf>
    <xf numFmtId="166" fontId="8" fillId="4" borderId="58" xfId="1" applyNumberFormat="1" applyFont="1" applyFill="1" applyBorder="1" applyAlignment="1">
      <alignment horizontal="center" vertical="center"/>
    </xf>
    <xf numFmtId="6" fontId="8" fillId="0" borderId="0" xfId="0" applyNumberFormat="1" applyFont="1"/>
    <xf numFmtId="0" fontId="0" fillId="5" borderId="6" xfId="0" applyFill="1" applyBorder="1"/>
    <xf numFmtId="0" fontId="0" fillId="5" borderId="2" xfId="0" applyFill="1" applyBorder="1"/>
    <xf numFmtId="0" fontId="0" fillId="5" borderId="11" xfId="0" applyFill="1" applyBorder="1"/>
    <xf numFmtId="0" fontId="0" fillId="5" borderId="7" xfId="0" applyFill="1" applyBorder="1"/>
    <xf numFmtId="10" fontId="8" fillId="5" borderId="18" xfId="2" applyNumberFormat="1" applyFont="1" applyFill="1" applyBorder="1" applyAlignment="1">
      <alignment horizontal="center"/>
    </xf>
    <xf numFmtId="167" fontId="8" fillId="5" borderId="8" xfId="0" applyNumberFormat="1" applyFont="1" applyFill="1" applyBorder="1" applyAlignment="1">
      <alignment horizontal="center"/>
    </xf>
    <xf numFmtId="167" fontId="8" fillId="5" borderId="9" xfId="0" applyNumberFormat="1" applyFont="1" applyFill="1" applyBorder="1" applyAlignment="1">
      <alignment horizontal="center"/>
    </xf>
    <xf numFmtId="167" fontId="8" fillId="5" borderId="59" xfId="0" applyNumberFormat="1" applyFont="1" applyFill="1" applyBorder="1" applyAlignment="1">
      <alignment horizontal="center"/>
    </xf>
    <xf numFmtId="167" fontId="8" fillId="5" borderId="10" xfId="0" applyNumberFormat="1" applyFont="1" applyFill="1" applyBorder="1" applyAlignment="1">
      <alignment horizontal="center"/>
    </xf>
    <xf numFmtId="10" fontId="8" fillId="4" borderId="60" xfId="0" applyNumberFormat="1" applyFont="1" applyFill="1" applyBorder="1" applyAlignment="1">
      <alignment horizontal="center"/>
    </xf>
    <xf numFmtId="10" fontId="0" fillId="0" borderId="60" xfId="2" applyNumberFormat="1" applyFont="1" applyBorder="1" applyAlignment="1">
      <alignment horizontal="center"/>
    </xf>
    <xf numFmtId="10" fontId="0" fillId="0" borderId="61" xfId="2" applyNumberFormat="1" applyFont="1" applyBorder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8" fillId="5" borderId="1" xfId="0" applyFont="1" applyFill="1" applyBorder="1" applyAlignment="1">
      <alignment horizontal="center" wrapText="1"/>
    </xf>
    <xf numFmtId="164" fontId="0" fillId="0" borderId="62" xfId="1" applyNumberFormat="1" applyFont="1" applyBorder="1"/>
    <xf numFmtId="0" fontId="8" fillId="5" borderId="1" xfId="0" applyFont="1" applyFill="1" applyBorder="1" applyAlignment="1">
      <alignment horizontal="left" wrapText="1"/>
    </xf>
    <xf numFmtId="164" fontId="8" fillId="5" borderId="1" xfId="1" applyNumberFormat="1" applyFont="1" applyFill="1" applyBorder="1" applyAlignment="1">
      <alignment horizontal="center" wrapText="1"/>
    </xf>
    <xf numFmtId="10" fontId="8" fillId="5" borderId="1" xfId="2" applyNumberFormat="1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left" wrapText="1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0" fillId="0" borderId="14" xfId="0" quotePrefix="1" applyBorder="1" applyAlignment="1">
      <alignment horizontal="left" vertical="top"/>
    </xf>
    <xf numFmtId="0" fontId="0" fillId="4" borderId="43" xfId="0" applyFill="1" applyBorder="1" applyAlignment="1">
      <alignment horizontal="center"/>
    </xf>
    <xf numFmtId="164" fontId="8" fillId="5" borderId="63" xfId="0" applyNumberFormat="1" applyFont="1" applyFill="1" applyBorder="1"/>
    <xf numFmtId="164" fontId="25" fillId="0" borderId="0" xfId="1" applyNumberFormat="1" applyFont="1"/>
    <xf numFmtId="164" fontId="25" fillId="0" borderId="22" xfId="1" applyNumberFormat="1" applyFont="1" applyBorder="1"/>
    <xf numFmtId="10" fontId="25" fillId="0" borderId="0" xfId="0" applyNumberFormat="1" applyFont="1"/>
    <xf numFmtId="164" fontId="25" fillId="0" borderId="0" xfId="0" applyNumberFormat="1" applyFont="1"/>
    <xf numFmtId="167" fontId="25" fillId="0" borderId="0" xfId="0" applyNumberFormat="1" applyFont="1"/>
    <xf numFmtId="164" fontId="2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3" xfId="0" applyFont="1" applyBorder="1" applyAlignment="1">
      <alignment textRotation="90"/>
    </xf>
    <xf numFmtId="0" fontId="0" fillId="0" borderId="0" xfId="0" applyAlignment="1">
      <alignment horizontal="center" vertical="center"/>
    </xf>
    <xf numFmtId="164" fontId="24" fillId="5" borderId="34" xfId="1" applyNumberFormat="1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164" fontId="8" fillId="5" borderId="34" xfId="1" applyNumberFormat="1" applyFont="1" applyFill="1" applyBorder="1" applyAlignment="1">
      <alignment horizontal="center" vertical="center" wrapText="1"/>
    </xf>
    <xf numFmtId="0" fontId="13" fillId="3" borderId="42" xfId="0" applyFont="1" applyFill="1" applyBorder="1"/>
    <xf numFmtId="0" fontId="13" fillId="3" borderId="48" xfId="0" applyFont="1" applyFill="1" applyBorder="1"/>
    <xf numFmtId="0" fontId="13" fillId="3" borderId="49" xfId="0" applyFont="1" applyFill="1" applyBorder="1"/>
    <xf numFmtId="0" fontId="8" fillId="0" borderId="5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26" xfId="0" applyFont="1" applyBorder="1" applyAlignment="1">
      <alignment wrapText="1"/>
    </xf>
    <xf numFmtId="0" fontId="8" fillId="0" borderId="56" xfId="0" applyFont="1" applyBorder="1" applyAlignment="1">
      <alignment wrapText="1"/>
    </xf>
    <xf numFmtId="164" fontId="8" fillId="5" borderId="19" xfId="1" applyNumberFormat="1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165" fontId="8" fillId="5" borderId="19" xfId="3" applyFont="1" applyFill="1" applyBorder="1" applyAlignment="1">
      <alignment horizontal="center" vertical="center" wrapText="1"/>
    </xf>
    <xf numFmtId="165" fontId="8" fillId="5" borderId="20" xfId="3" applyFont="1" applyFill="1" applyBorder="1" applyAlignment="1">
      <alignment horizontal="center" vertical="center" wrapText="1"/>
    </xf>
    <xf numFmtId="165" fontId="8" fillId="5" borderId="21" xfId="3" applyFont="1" applyFill="1" applyBorder="1" applyAlignment="1">
      <alignment horizontal="center" vertical="center" wrapText="1"/>
    </xf>
    <xf numFmtId="164" fontId="8" fillId="5" borderId="19" xfId="1" applyNumberFormat="1" applyFont="1" applyFill="1" applyBorder="1" applyAlignment="1">
      <alignment horizontal="center" vertical="center" shrinkToFit="1"/>
    </xf>
    <xf numFmtId="0" fontId="14" fillId="5" borderId="20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horizontal="center" vertical="center" shrinkToFit="1"/>
    </xf>
    <xf numFmtId="164" fontId="8" fillId="5" borderId="20" xfId="1" applyNumberFormat="1" applyFont="1" applyFill="1" applyBorder="1" applyAlignment="1">
      <alignment horizontal="center" vertical="center" wrapText="1"/>
    </xf>
    <xf numFmtId="164" fontId="8" fillId="5" borderId="21" xfId="1" applyNumberFormat="1" applyFont="1" applyFill="1" applyBorder="1" applyAlignment="1">
      <alignment horizontal="center" vertical="center" wrapText="1"/>
    </xf>
    <xf numFmtId="164" fontId="8" fillId="5" borderId="20" xfId="1" applyNumberFormat="1" applyFont="1" applyFill="1" applyBorder="1" applyAlignment="1">
      <alignment horizontal="center" vertical="center" shrinkToFit="1"/>
    </xf>
    <xf numFmtId="164" fontId="8" fillId="5" borderId="21" xfId="1" applyNumberFormat="1" applyFont="1" applyFill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_Jostens Mgt Case" xfId="3" xr:uid="{8E145223-1442-407A-8A18-EB2D1E08AEC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28575</xdr:rowOff>
    </xdr:from>
    <xdr:to>
      <xdr:col>6</xdr:col>
      <xdr:colOff>360786</xdr:colOff>
      <xdr:row>15</xdr:row>
      <xdr:rowOff>163418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02D014-244E-489F-AC13-983731F0F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752475"/>
          <a:ext cx="4151736" cy="2125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177800</xdr:rowOff>
    </xdr:from>
    <xdr:to>
      <xdr:col>9</xdr:col>
      <xdr:colOff>16934</xdr:colOff>
      <xdr:row>11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7D8A866-D819-4614-98E5-0862AC1A23C4}"/>
            </a:ext>
          </a:extLst>
        </xdr:cNvPr>
        <xdr:cNvCxnSpPr/>
      </xdr:nvCxnSpPr>
      <xdr:spPr>
        <a:xfrm>
          <a:off x="643467" y="2455333"/>
          <a:ext cx="4508500" cy="423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630767</xdr:colOff>
      <xdr:row>4</xdr:row>
      <xdr:rowOff>25399</xdr:rowOff>
    </xdr:from>
    <xdr:to>
      <xdr:col>9</xdr:col>
      <xdr:colOff>139700</xdr:colOff>
      <xdr:row>13</xdr:row>
      <xdr:rowOff>166778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id="{18988E6C-31A4-4914-B9DC-16778BF4DC55}"/>
            </a:ext>
          </a:extLst>
        </xdr:cNvPr>
        <xdr:cNvSpPr/>
      </xdr:nvSpPr>
      <xdr:spPr>
        <a:xfrm>
          <a:off x="630767" y="910166"/>
          <a:ext cx="5113866" cy="1766979"/>
        </a:xfrm>
        <a:custGeom>
          <a:avLst/>
          <a:gdLst>
            <a:gd name="connsiteX0" fmla="*/ 0 w 4612782"/>
            <a:gd name="connsiteY0" fmla="*/ 1276989 h 1824768"/>
            <a:gd name="connsiteX1" fmla="*/ 876300 w 4612782"/>
            <a:gd name="connsiteY1" fmla="*/ 1818856 h 1824768"/>
            <a:gd name="connsiteX2" fmla="*/ 2209800 w 4612782"/>
            <a:gd name="connsiteY2" fmla="*/ 1488656 h 1824768"/>
            <a:gd name="connsiteX3" fmla="*/ 3424766 w 4612782"/>
            <a:gd name="connsiteY3" fmla="*/ 371056 h 1824768"/>
            <a:gd name="connsiteX4" fmla="*/ 4508500 w 4612782"/>
            <a:gd name="connsiteY4" fmla="*/ 36623 h 1824768"/>
            <a:gd name="connsiteX5" fmla="*/ 4508500 w 4612782"/>
            <a:gd name="connsiteY5" fmla="*/ 23923 h 18247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612782" h="1824768">
              <a:moveTo>
                <a:pt x="0" y="1276989"/>
              </a:moveTo>
              <a:cubicBezTo>
                <a:pt x="254000" y="1530283"/>
                <a:pt x="508000" y="1783578"/>
                <a:pt x="876300" y="1818856"/>
              </a:cubicBezTo>
              <a:cubicBezTo>
                <a:pt x="1244600" y="1854134"/>
                <a:pt x="1785056" y="1729956"/>
                <a:pt x="2209800" y="1488656"/>
              </a:cubicBezTo>
              <a:cubicBezTo>
                <a:pt x="2634544" y="1247356"/>
                <a:pt x="3041649" y="613061"/>
                <a:pt x="3424766" y="371056"/>
              </a:cubicBezTo>
              <a:cubicBezTo>
                <a:pt x="3807883" y="129051"/>
                <a:pt x="4327878" y="94478"/>
                <a:pt x="4508500" y="36623"/>
              </a:cubicBezTo>
              <a:cubicBezTo>
                <a:pt x="4689122" y="-21232"/>
                <a:pt x="4598811" y="1345"/>
                <a:pt x="4508500" y="23923"/>
              </a:cubicBezTo>
            </a:path>
          </a:pathLst>
        </a:cu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177800</xdr:colOff>
      <xdr:row>7</xdr:row>
      <xdr:rowOff>84666</xdr:rowOff>
    </xdr:from>
    <xdr:to>
      <xdr:col>5</xdr:col>
      <xdr:colOff>211667</xdr:colOff>
      <xdr:row>15</xdr:row>
      <xdr:rowOff>16934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89A7A2B-3603-4A4D-A501-A76E1D6149D4}"/>
            </a:ext>
          </a:extLst>
        </xdr:cNvPr>
        <xdr:cNvCxnSpPr/>
      </xdr:nvCxnSpPr>
      <xdr:spPr>
        <a:xfrm flipH="1">
          <a:off x="3395133" y="1502833"/>
          <a:ext cx="33867" cy="13885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482600</xdr:colOff>
      <xdr:row>54</xdr:row>
      <xdr:rowOff>0</xdr:rowOff>
    </xdr:from>
    <xdr:to>
      <xdr:col>12</xdr:col>
      <xdr:colOff>503767</xdr:colOff>
      <xdr:row>60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030C0F-4EB7-4311-8CE3-F05C2F49DE7A}"/>
            </a:ext>
          </a:extLst>
        </xdr:cNvPr>
        <xdr:cNvSpPr>
          <a:spLocks noChangeShapeType="1"/>
        </xdr:cNvSpPr>
      </xdr:nvSpPr>
      <xdr:spPr bwMode="auto">
        <a:xfrm flipV="1">
          <a:off x="9495367" y="10570633"/>
          <a:ext cx="21167" cy="1168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60</xdr:row>
      <xdr:rowOff>67733</xdr:rowOff>
    </xdr:from>
    <xdr:to>
      <xdr:col>12</xdr:col>
      <xdr:colOff>482600</xdr:colOff>
      <xdr:row>60</xdr:row>
      <xdr:rowOff>67733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BE5CEE3-8B2E-4336-881C-D6E710CE5499}"/>
            </a:ext>
          </a:extLst>
        </xdr:cNvPr>
        <xdr:cNvSpPr>
          <a:spLocks noChangeShapeType="1"/>
        </xdr:cNvSpPr>
      </xdr:nvSpPr>
      <xdr:spPr bwMode="auto">
        <a:xfrm>
          <a:off x="9012767" y="11730566"/>
          <a:ext cx="48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510117</xdr:colOff>
      <xdr:row>59</xdr:row>
      <xdr:rowOff>104775</xdr:rowOff>
    </xdr:from>
    <xdr:to>
      <xdr:col>14</xdr:col>
      <xdr:colOff>433917</xdr:colOff>
      <xdr:row>60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2B669F9-C670-4AB0-B9EA-49FAFB9B6A13}"/>
            </a:ext>
          </a:extLst>
        </xdr:cNvPr>
        <xdr:cNvSpPr txBox="1">
          <a:spLocks noChangeArrowheads="1"/>
        </xdr:cNvSpPr>
      </xdr:nvSpPr>
      <xdr:spPr bwMode="auto">
        <a:xfrm>
          <a:off x="9522884" y="11585575"/>
          <a:ext cx="1989666" cy="2296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Based on Next Year's CF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rou\Onedrive\Documents\Spreadsheets\FIN%20Spreadsheets\Equity_analysis_capm_and_wacc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P6">
            <v>2.2499999999999999E-2</v>
          </cell>
          <cell r="Q6">
            <v>0.04</v>
          </cell>
        </row>
        <row r="9">
          <cell r="Q9">
            <v>0.09</v>
          </cell>
        </row>
        <row r="16">
          <cell r="P16">
            <v>0.20003749999999998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405A-A3EA-4EF2-8711-C2AE57EDABB3}">
  <dimension ref="A3:F17"/>
  <sheetViews>
    <sheetView showGridLines="0" workbookViewId="0">
      <selection activeCell="D21" sqref="D21"/>
    </sheetView>
  </sheetViews>
  <sheetFormatPr defaultRowHeight="14.35" x14ac:dyDescent="0.5"/>
  <cols>
    <col min="7" max="7" width="5.52734375" customWidth="1"/>
    <col min="8" max="8" width="3.234375" customWidth="1"/>
  </cols>
  <sheetData>
    <row r="3" spans="1:1" ht="15.35" x14ac:dyDescent="0.5">
      <c r="A3" s="1" t="s">
        <v>1</v>
      </c>
    </row>
    <row r="17" spans="6:6" x14ac:dyDescent="0.5">
      <c r="F1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CE9C-5186-4173-95EC-31F4A6E8A204}">
  <dimension ref="B1:K42"/>
  <sheetViews>
    <sheetView showGridLines="0" tabSelected="1" zoomScale="50" zoomScaleNormal="50" workbookViewId="0">
      <selection activeCell="D7" sqref="D7"/>
    </sheetView>
  </sheetViews>
  <sheetFormatPr defaultRowHeight="14.35" x14ac:dyDescent="0.5"/>
  <cols>
    <col min="1" max="1" width="2.703125" customWidth="1"/>
    <col min="2" max="2" width="34.234375" customWidth="1"/>
    <col min="3" max="10" width="13.41015625" customWidth="1"/>
    <col min="11" max="11" width="12.29296875" customWidth="1"/>
    <col min="12" max="12" width="1.87890625" customWidth="1"/>
  </cols>
  <sheetData>
    <row r="1" spans="2:11" ht="17.7" x14ac:dyDescent="0.55000000000000004">
      <c r="B1" s="23" t="s">
        <v>99</v>
      </c>
    </row>
    <row r="2" spans="2:11" ht="14.7" thickBot="1" x14ac:dyDescent="0.55000000000000004">
      <c r="B2" s="22" t="s">
        <v>248</v>
      </c>
    </row>
    <row r="3" spans="2:11" ht="14.7" thickBot="1" x14ac:dyDescent="0.55000000000000004">
      <c r="B3" s="103"/>
      <c r="C3" s="103"/>
      <c r="D3" s="103"/>
      <c r="E3" s="100"/>
      <c r="F3" s="100"/>
      <c r="G3" s="100"/>
      <c r="H3" s="100"/>
      <c r="I3" s="100"/>
      <c r="J3" s="130" t="s">
        <v>164</v>
      </c>
      <c r="K3" s="100"/>
    </row>
    <row r="4" spans="2:11" ht="14.7" thickBot="1" x14ac:dyDescent="0.55000000000000004">
      <c r="B4" s="104" t="s">
        <v>155</v>
      </c>
      <c r="C4" s="104"/>
      <c r="D4" s="105"/>
      <c r="E4" s="105"/>
      <c r="F4" s="105"/>
      <c r="G4" s="105"/>
      <c r="H4" s="105"/>
      <c r="I4" s="105"/>
      <c r="J4" s="106"/>
      <c r="K4" s="107"/>
    </row>
    <row r="5" spans="2:11" x14ac:dyDescent="0.5">
      <c r="B5" s="22" t="s">
        <v>156</v>
      </c>
      <c r="C5" s="129" t="s">
        <v>157</v>
      </c>
      <c r="D5" s="130" t="s">
        <v>158</v>
      </c>
      <c r="E5" s="131" t="s">
        <v>159</v>
      </c>
      <c r="F5" s="131" t="s">
        <v>160</v>
      </c>
      <c r="G5" s="131" t="s">
        <v>161</v>
      </c>
      <c r="H5" s="131" t="s">
        <v>162</v>
      </c>
      <c r="I5" s="131" t="s">
        <v>163</v>
      </c>
      <c r="J5" s="213" t="s">
        <v>243</v>
      </c>
    </row>
    <row r="6" spans="2:11" ht="14.7" thickBot="1" x14ac:dyDescent="0.55000000000000004">
      <c r="C6" s="132" t="s">
        <v>165</v>
      </c>
      <c r="D6" s="133">
        <v>2019</v>
      </c>
      <c r="E6" s="134">
        <f t="shared" ref="E6:K6" si="0">+D6+1</f>
        <v>2020</v>
      </c>
      <c r="F6" s="134">
        <f t="shared" si="0"/>
        <v>2021</v>
      </c>
      <c r="G6" s="134">
        <f t="shared" si="0"/>
        <v>2022</v>
      </c>
      <c r="H6" s="134">
        <f t="shared" si="0"/>
        <v>2023</v>
      </c>
      <c r="I6" s="134">
        <f t="shared" si="0"/>
        <v>2024</v>
      </c>
      <c r="J6" s="135">
        <f t="shared" si="0"/>
        <v>2025</v>
      </c>
      <c r="K6" s="134">
        <f t="shared" si="0"/>
        <v>2026</v>
      </c>
    </row>
    <row r="7" spans="2:11" x14ac:dyDescent="0.5">
      <c r="B7" t="s">
        <v>166</v>
      </c>
      <c r="C7" s="136">
        <v>6.5000000000000002E-2</v>
      </c>
      <c r="D7" s="124" t="s">
        <v>167</v>
      </c>
      <c r="E7" s="137">
        <v>40000000</v>
      </c>
      <c r="F7" s="138">
        <f t="shared" ref="F7:K7" si="1">+E7*(1+$C$7)</f>
        <v>42600000</v>
      </c>
      <c r="G7" s="138">
        <f t="shared" si="1"/>
        <v>45369000</v>
      </c>
      <c r="H7" s="138">
        <f t="shared" si="1"/>
        <v>48317985</v>
      </c>
      <c r="I7" s="138">
        <f t="shared" si="1"/>
        <v>51458654.024999999</v>
      </c>
      <c r="J7" s="139">
        <f t="shared" si="1"/>
        <v>54803466.536624998</v>
      </c>
      <c r="K7" s="138">
        <f t="shared" si="1"/>
        <v>58365691.86150562</v>
      </c>
    </row>
    <row r="8" spans="2:11" x14ac:dyDescent="0.5">
      <c r="B8" t="s">
        <v>168</v>
      </c>
      <c r="C8" s="140">
        <v>0.35</v>
      </c>
      <c r="D8" s="141" t="s">
        <v>169</v>
      </c>
      <c r="E8" s="138">
        <f t="shared" ref="E8:K8" si="2">-E7*$C$8</f>
        <v>-14000000</v>
      </c>
      <c r="F8" s="138">
        <f t="shared" si="2"/>
        <v>-14909999.999999998</v>
      </c>
      <c r="G8" s="138">
        <f t="shared" si="2"/>
        <v>-15879149.999999998</v>
      </c>
      <c r="H8" s="138">
        <f t="shared" si="2"/>
        <v>-16911294.75</v>
      </c>
      <c r="I8" s="138">
        <f t="shared" si="2"/>
        <v>-18010528.908749998</v>
      </c>
      <c r="J8" s="139">
        <f t="shared" si="2"/>
        <v>-19181213.287818749</v>
      </c>
      <c r="K8" s="138">
        <f t="shared" si="2"/>
        <v>-20427992.151526965</v>
      </c>
    </row>
    <row r="9" spans="2:11" x14ac:dyDescent="0.5">
      <c r="B9" t="s">
        <v>170</v>
      </c>
      <c r="C9" s="140">
        <v>0.15</v>
      </c>
      <c r="D9" s="141" t="s">
        <v>169</v>
      </c>
      <c r="E9" s="137">
        <f>-C9*E7</f>
        <v>-6000000</v>
      </c>
      <c r="F9" s="138">
        <f t="shared" ref="F9:K9" si="3">-$C$9*F7</f>
        <v>-6390000</v>
      </c>
      <c r="G9" s="138">
        <f t="shared" si="3"/>
        <v>-6805350</v>
      </c>
      <c r="H9" s="138">
        <f t="shared" si="3"/>
        <v>-7247697.75</v>
      </c>
      <c r="I9" s="138">
        <f t="shared" si="3"/>
        <v>-7718798.1037499998</v>
      </c>
      <c r="J9" s="139">
        <f t="shared" si="3"/>
        <v>-8220519.9804937495</v>
      </c>
      <c r="K9" s="138">
        <f t="shared" si="3"/>
        <v>-8754853.779225843</v>
      </c>
    </row>
    <row r="10" spans="2:11" x14ac:dyDescent="0.5">
      <c r="B10" t="s">
        <v>171</v>
      </c>
      <c r="C10" s="142">
        <f>+E10/E7</f>
        <v>0.5</v>
      </c>
      <c r="D10" s="124"/>
      <c r="E10" s="143">
        <f t="shared" ref="E10:K10" si="4">SUM(E7:E9)</f>
        <v>20000000</v>
      </c>
      <c r="F10" s="144">
        <f t="shared" si="4"/>
        <v>21300000</v>
      </c>
      <c r="G10" s="144">
        <f t="shared" si="4"/>
        <v>22684500</v>
      </c>
      <c r="H10" s="144">
        <f t="shared" si="4"/>
        <v>24158992.5</v>
      </c>
      <c r="I10" s="144">
        <f t="shared" si="4"/>
        <v>25729327.012500003</v>
      </c>
      <c r="J10" s="145">
        <f t="shared" si="4"/>
        <v>27401733.268312503</v>
      </c>
      <c r="K10" s="144">
        <f t="shared" si="4"/>
        <v>29182845.930752814</v>
      </c>
    </row>
    <row r="11" spans="2:11" x14ac:dyDescent="0.5">
      <c r="B11" t="s">
        <v>172</v>
      </c>
      <c r="C11" s="136">
        <v>0.03</v>
      </c>
      <c r="D11" s="141" t="s">
        <v>169</v>
      </c>
      <c r="E11" s="138">
        <f t="shared" ref="E11:K11" si="5">-$C$11*E7</f>
        <v>-1200000</v>
      </c>
      <c r="F11" s="138">
        <f t="shared" si="5"/>
        <v>-1278000</v>
      </c>
      <c r="G11" s="138">
        <f t="shared" si="5"/>
        <v>-1361070</v>
      </c>
      <c r="H11" s="138">
        <f t="shared" si="5"/>
        <v>-1449539.55</v>
      </c>
      <c r="I11" s="138">
        <f t="shared" si="5"/>
        <v>-1543759.62075</v>
      </c>
      <c r="J11" s="139">
        <f t="shared" si="5"/>
        <v>-1644103.9960987498</v>
      </c>
      <c r="K11" s="138">
        <f t="shared" si="5"/>
        <v>-1750970.7558451686</v>
      </c>
    </row>
    <row r="12" spans="2:11" x14ac:dyDescent="0.5">
      <c r="B12" t="s">
        <v>173</v>
      </c>
      <c r="C12" s="146">
        <v>7</v>
      </c>
      <c r="D12" s="124" t="s">
        <v>174</v>
      </c>
      <c r="E12" s="147">
        <f>-'DO NOT USE'!$E$14/$C$12</f>
        <v>-514285.71428571426</v>
      </c>
      <c r="F12" s="148">
        <f>-'DO NOT USE'!$E$14/$C$12</f>
        <v>-514285.71428571426</v>
      </c>
      <c r="G12" s="148">
        <f>-'DO NOT USE'!$E$14/$C$12</f>
        <v>-514285.71428571426</v>
      </c>
      <c r="H12" s="148">
        <f>-'DO NOT USE'!$E$14/$C$12</f>
        <v>-514285.71428571426</v>
      </c>
      <c r="I12" s="148">
        <f>-'DO NOT USE'!$E$14/$C$12</f>
        <v>-514285.71428571426</v>
      </c>
      <c r="J12" s="149">
        <f>+I12*2</f>
        <v>-1028571.4285714285</v>
      </c>
      <c r="K12" s="148"/>
    </row>
    <row r="13" spans="2:11" x14ac:dyDescent="0.5">
      <c r="B13" t="s">
        <v>175</v>
      </c>
      <c r="D13" s="124"/>
      <c r="E13" s="138">
        <f t="shared" ref="E13:K13" si="6">SUM(E10:E12)</f>
        <v>18285714.285714287</v>
      </c>
      <c r="F13" s="138">
        <f t="shared" si="6"/>
        <v>19507714.285714287</v>
      </c>
      <c r="G13" s="138">
        <f t="shared" si="6"/>
        <v>20809144.285714287</v>
      </c>
      <c r="H13" s="138">
        <f t="shared" si="6"/>
        <v>22195167.235714287</v>
      </c>
      <c r="I13" s="138">
        <f t="shared" si="6"/>
        <v>23671281.677464291</v>
      </c>
      <c r="J13" s="139">
        <f t="shared" si="6"/>
        <v>24729057.843642324</v>
      </c>
      <c r="K13" s="138">
        <f t="shared" si="6"/>
        <v>27431875.174907647</v>
      </c>
    </row>
    <row r="14" spans="2:11" x14ac:dyDescent="0.5">
      <c r="B14" t="s">
        <v>176</v>
      </c>
      <c r="D14" s="124"/>
      <c r="E14" s="147">
        <v>0</v>
      </c>
      <c r="F14" s="148">
        <v>0</v>
      </c>
      <c r="G14" s="148">
        <v>0</v>
      </c>
      <c r="H14" s="148">
        <v>0</v>
      </c>
      <c r="I14" s="148">
        <v>0</v>
      </c>
      <c r="J14" s="149">
        <v>0</v>
      </c>
      <c r="K14" s="148">
        <v>0</v>
      </c>
    </row>
    <row r="15" spans="2:11" x14ac:dyDescent="0.5">
      <c r="B15" t="s">
        <v>177</v>
      </c>
      <c r="D15" s="124"/>
      <c r="E15" s="138">
        <f t="shared" ref="E15:K15" si="7">+E13-E14</f>
        <v>18285714.285714287</v>
      </c>
      <c r="F15" s="138">
        <f t="shared" si="7"/>
        <v>19507714.285714287</v>
      </c>
      <c r="G15" s="138">
        <f t="shared" si="7"/>
        <v>20809144.285714287</v>
      </c>
      <c r="H15" s="138">
        <f t="shared" si="7"/>
        <v>22195167.235714287</v>
      </c>
      <c r="I15" s="138">
        <f t="shared" si="7"/>
        <v>23671281.677464291</v>
      </c>
      <c r="J15" s="139">
        <f t="shared" si="7"/>
        <v>24729057.843642324</v>
      </c>
      <c r="K15" s="138">
        <f t="shared" si="7"/>
        <v>27431875.174907647</v>
      </c>
    </row>
    <row r="16" spans="2:11" x14ac:dyDescent="0.5">
      <c r="B16" t="s">
        <v>178</v>
      </c>
      <c r="C16" s="140">
        <v>0.36</v>
      </c>
      <c r="D16" s="141" t="s">
        <v>179</v>
      </c>
      <c r="E16" s="138">
        <f t="shared" ref="E16:K16" si="8">-$C$16*E13</f>
        <v>-6582857.1428571427</v>
      </c>
      <c r="F16" s="138">
        <f t="shared" si="8"/>
        <v>-7022777.1428571427</v>
      </c>
      <c r="G16" s="138">
        <f t="shared" si="8"/>
        <v>-7491291.9428571435</v>
      </c>
      <c r="H16" s="138">
        <f t="shared" si="8"/>
        <v>-7990260.2048571426</v>
      </c>
      <c r="I16" s="138">
        <f t="shared" si="8"/>
        <v>-8521661.4038871452</v>
      </c>
      <c r="J16" s="139">
        <f t="shared" si="8"/>
        <v>-8902460.8237112369</v>
      </c>
      <c r="K16" s="138">
        <f t="shared" si="8"/>
        <v>-9875475.0629667528</v>
      </c>
    </row>
    <row r="17" spans="2:11" x14ac:dyDescent="0.5">
      <c r="B17" t="s">
        <v>180</v>
      </c>
      <c r="C17" s="140"/>
      <c r="D17" s="124"/>
      <c r="E17" s="138">
        <f t="shared" ref="E17:K17" si="9">-E11-E12</f>
        <v>1714285.7142857143</v>
      </c>
      <c r="F17" s="138">
        <f t="shared" si="9"/>
        <v>1792285.7142857143</v>
      </c>
      <c r="G17" s="138">
        <f t="shared" si="9"/>
        <v>1875355.7142857143</v>
      </c>
      <c r="H17" s="138">
        <f t="shared" si="9"/>
        <v>1963825.2642857144</v>
      </c>
      <c r="I17" s="138">
        <f t="shared" si="9"/>
        <v>2058045.3350357143</v>
      </c>
      <c r="J17" s="139">
        <f t="shared" si="9"/>
        <v>2672675.4246701784</v>
      </c>
      <c r="K17" s="138">
        <f t="shared" si="9"/>
        <v>1750970.7558451686</v>
      </c>
    </row>
    <row r="18" spans="2:11" x14ac:dyDescent="0.5">
      <c r="B18" t="s">
        <v>181</v>
      </c>
      <c r="C18" s="136">
        <v>0</v>
      </c>
      <c r="D18" s="141" t="s">
        <v>169</v>
      </c>
      <c r="E18" s="138">
        <f t="shared" ref="E18:K18" si="10">-$C$18*E7</f>
        <v>0</v>
      </c>
      <c r="F18" s="138">
        <f t="shared" si="10"/>
        <v>0</v>
      </c>
      <c r="G18" s="138">
        <f t="shared" si="10"/>
        <v>0</v>
      </c>
      <c r="H18" s="138">
        <f t="shared" si="10"/>
        <v>0</v>
      </c>
      <c r="I18" s="138">
        <f t="shared" si="10"/>
        <v>0</v>
      </c>
      <c r="J18" s="139">
        <f t="shared" si="10"/>
        <v>0</v>
      </c>
      <c r="K18" s="138">
        <f t="shared" si="10"/>
        <v>0</v>
      </c>
    </row>
    <row r="19" spans="2:11" x14ac:dyDescent="0.5">
      <c r="B19" t="s">
        <v>182</v>
      </c>
      <c r="C19" s="136">
        <v>0.02</v>
      </c>
      <c r="D19" s="141" t="s">
        <v>169</v>
      </c>
      <c r="E19" s="138">
        <f t="shared" ref="E19:K19" si="11">-$C$19*E7</f>
        <v>-800000</v>
      </c>
      <c r="F19" s="138">
        <f t="shared" si="11"/>
        <v>-852000</v>
      </c>
      <c r="G19" s="138">
        <f t="shared" si="11"/>
        <v>-907380</v>
      </c>
      <c r="H19" s="138">
        <f t="shared" si="11"/>
        <v>-966359.70000000007</v>
      </c>
      <c r="I19" s="138">
        <f t="shared" si="11"/>
        <v>-1029173.0805</v>
      </c>
      <c r="J19" s="139">
        <f t="shared" si="11"/>
        <v>-1096069.3307324999</v>
      </c>
      <c r="K19" s="138">
        <f t="shared" si="11"/>
        <v>-1167313.8372301124</v>
      </c>
    </row>
    <row r="20" spans="2:11" ht="14.7" thickBot="1" x14ac:dyDescent="0.55000000000000004">
      <c r="B20" t="s">
        <v>183</v>
      </c>
      <c r="D20" s="124"/>
      <c r="E20" s="150">
        <f t="shared" ref="E20:K20" si="12">SUM(E15:E19)</f>
        <v>12617142.85714286</v>
      </c>
      <c r="F20" s="150">
        <f t="shared" si="12"/>
        <v>13425222.85714286</v>
      </c>
      <c r="G20" s="150">
        <f t="shared" si="12"/>
        <v>14285828.057142859</v>
      </c>
      <c r="H20" s="150">
        <f t="shared" si="12"/>
        <v>15202372.59514286</v>
      </c>
      <c r="I20" s="150">
        <f t="shared" si="12"/>
        <v>16178492.528112862</v>
      </c>
      <c r="J20" s="151">
        <f t="shared" si="12"/>
        <v>17403203.113868769</v>
      </c>
      <c r="K20" s="150">
        <f t="shared" si="12"/>
        <v>18140057.030555952</v>
      </c>
    </row>
    <row r="21" spans="2:11" ht="14.7" thickTop="1" x14ac:dyDescent="0.5">
      <c r="D21" s="124"/>
      <c r="E21" s="138"/>
      <c r="F21" s="138"/>
      <c r="G21" s="138"/>
      <c r="H21" s="138"/>
      <c r="I21" s="138"/>
      <c r="J21" s="139"/>
      <c r="K21" s="138"/>
    </row>
    <row r="22" spans="2:11" x14ac:dyDescent="0.5">
      <c r="B22" t="s">
        <v>184</v>
      </c>
      <c r="D22" s="124"/>
      <c r="E22" s="138">
        <f>-'Fig. 5.9'!D20</f>
        <v>-10350000</v>
      </c>
      <c r="F22" s="138">
        <f>-'Fig. 5.9'!E20</f>
        <v>-11447500</v>
      </c>
      <c r="G22" s="138">
        <f>-'Fig. 5.9'!F20</f>
        <v>-12442500</v>
      </c>
      <c r="H22" s="138">
        <f>-'Fig. 5.9'!G20</f>
        <v>-12560000</v>
      </c>
      <c r="I22" s="138">
        <f>-'Fig. 5.9'!H20</f>
        <v>-13147500</v>
      </c>
      <c r="J22" s="139">
        <f>-'Fig. 5.9'!I20</f>
        <v>-13652500</v>
      </c>
      <c r="K22" s="138">
        <f>-'Fig. 5.9'!J20</f>
        <v>-36075000</v>
      </c>
    </row>
    <row r="23" spans="2:11" ht="14.7" thickBot="1" x14ac:dyDescent="0.55000000000000004">
      <c r="B23" t="s">
        <v>185</v>
      </c>
      <c r="D23" s="124"/>
      <c r="E23" s="152">
        <f t="shared" ref="E23:K23" si="13">+E20+E22</f>
        <v>2267142.8571428601</v>
      </c>
      <c r="F23" s="152">
        <f t="shared" si="13"/>
        <v>1977722.8571428601</v>
      </c>
      <c r="G23" s="152">
        <f t="shared" si="13"/>
        <v>1843328.0571428593</v>
      </c>
      <c r="H23" s="152">
        <f t="shared" si="13"/>
        <v>2642372.59514286</v>
      </c>
      <c r="I23" s="152">
        <f t="shared" si="13"/>
        <v>3030992.5281128623</v>
      </c>
      <c r="J23" s="117">
        <f t="shared" si="13"/>
        <v>3750703.1138687693</v>
      </c>
      <c r="K23" s="152">
        <f t="shared" si="13"/>
        <v>-17934942.969444048</v>
      </c>
    </row>
    <row r="24" spans="2:11" ht="14.7" thickTop="1" x14ac:dyDescent="0.5">
      <c r="D24" s="124"/>
      <c r="J24" s="124"/>
    </row>
    <row r="25" spans="2:11" ht="14.7" thickBot="1" x14ac:dyDescent="0.55000000000000004">
      <c r="B25" s="34" t="s">
        <v>186</v>
      </c>
      <c r="C25" s="108"/>
      <c r="D25" s="124"/>
      <c r="J25" s="124"/>
    </row>
    <row r="26" spans="2:11" x14ac:dyDescent="0.5">
      <c r="B26" t="s">
        <v>187</v>
      </c>
      <c r="C26" s="108"/>
      <c r="D26" s="154">
        <f>+'DO NOT USE'!J9</f>
        <v>6.68</v>
      </c>
      <c r="J26" s="139">
        <f>+D26*J10</f>
        <v>183043578.23232752</v>
      </c>
    </row>
    <row r="27" spans="2:11" ht="14.7" thickBot="1" x14ac:dyDescent="0.55000000000000004">
      <c r="B27" t="s">
        <v>245</v>
      </c>
      <c r="C27" s="108"/>
      <c r="D27" s="156">
        <v>8.870246221303478E-2</v>
      </c>
      <c r="J27" s="87">
        <f>+K20/($D$27)</f>
        <v>204504549.00552106</v>
      </c>
    </row>
    <row r="28" spans="2:11" ht="14.7" thickBot="1" x14ac:dyDescent="0.55000000000000004">
      <c r="B28" s="108" t="s">
        <v>190</v>
      </c>
      <c r="D28" s="124"/>
      <c r="J28" s="157">
        <f>+(J26+J27)/2</f>
        <v>193774063.61892429</v>
      </c>
    </row>
    <row r="29" spans="2:11" ht="15" thickTop="1" thickBot="1" x14ac:dyDescent="0.55000000000000004">
      <c r="B29" t="s">
        <v>192</v>
      </c>
      <c r="D29" s="124"/>
      <c r="J29" s="158">
        <f>+'Fig. 5.9'!I6+'Fig. 5.9'!I15</f>
        <v>70000000</v>
      </c>
    </row>
    <row r="30" spans="2:11" x14ac:dyDescent="0.5">
      <c r="B30" t="s">
        <v>194</v>
      </c>
      <c r="D30" s="139"/>
      <c r="J30" s="139">
        <f>+J28-J29</f>
        <v>123774063.61892429</v>
      </c>
    </row>
    <row r="31" spans="2:11" x14ac:dyDescent="0.5">
      <c r="D31" s="124"/>
      <c r="J31" s="124"/>
    </row>
    <row r="32" spans="2:11" ht="14.7" thickBot="1" x14ac:dyDescent="0.55000000000000004">
      <c r="B32" t="s">
        <v>185</v>
      </c>
      <c r="D32" s="171">
        <f>-'DO NOT USE'!E8</f>
        <v>-33600000</v>
      </c>
      <c r="E32" s="172">
        <f>+E23+E28-E29</f>
        <v>2267142.8571428601</v>
      </c>
      <c r="F32" s="172">
        <f>+F23+F28-F29</f>
        <v>1977722.8571428601</v>
      </c>
      <c r="G32" s="172">
        <f>+G23+G28-G29</f>
        <v>1843328.0571428593</v>
      </c>
      <c r="H32" s="172">
        <f>+H23+H28-H29</f>
        <v>2642372.59514286</v>
      </c>
      <c r="I32" s="172">
        <f>+I23+I28-I29</f>
        <v>3030992.5281128623</v>
      </c>
      <c r="J32" s="214">
        <f>+J30+J23</f>
        <v>127524766.73279306</v>
      </c>
    </row>
    <row r="33" spans="2:11" ht="14.7" thickTop="1" x14ac:dyDescent="0.5">
      <c r="D33" s="138"/>
      <c r="E33" s="175" t="s">
        <v>197</v>
      </c>
      <c r="F33" s="175" t="s">
        <v>197</v>
      </c>
      <c r="G33" s="175" t="s">
        <v>197</v>
      </c>
      <c r="H33" s="175" t="s">
        <v>197</v>
      </c>
      <c r="I33" s="175" t="s">
        <v>197</v>
      </c>
      <c r="J33" s="176" t="s">
        <v>197</v>
      </c>
    </row>
    <row r="34" spans="2:11" ht="14.7" thickBot="1" x14ac:dyDescent="0.55000000000000004">
      <c r="B34" s="178" t="s">
        <v>198</v>
      </c>
      <c r="C34" s="178"/>
      <c r="D34" s="179">
        <f>+'DO NOT USE'!G8</f>
        <v>0.20003749999999998</v>
      </c>
      <c r="E34" s="180">
        <f>(1/(1+$D34))^1</f>
        <v>0.83330729248044322</v>
      </c>
      <c r="F34" s="180">
        <f>(1/(1+$D34))^2</f>
        <v>0.69440104370108691</v>
      </c>
      <c r="G34" s="180">
        <f>(1/(1+$D34))^3</f>
        <v>0.5786494536221467</v>
      </c>
      <c r="H34" s="180">
        <f>(1/(1+$D34))^4</f>
        <v>0.48219280949315879</v>
      </c>
      <c r="I34" s="180">
        <f>(1/(1+$D34))^5</f>
        <v>0.40181478453228231</v>
      </c>
      <c r="J34" s="180">
        <f>(1/(1+$D34))^6</f>
        <v>0.33483519017720881</v>
      </c>
    </row>
    <row r="35" spans="2:11" ht="14.7" thickBot="1" x14ac:dyDescent="0.55000000000000004">
      <c r="B35" s="178" t="s">
        <v>199</v>
      </c>
      <c r="C35" s="178"/>
      <c r="D35" s="181">
        <f>SUM(E35:J35)</f>
        <v>49521010.461476929</v>
      </c>
      <c r="E35" s="182">
        <f t="shared" ref="E35:J35" si="14">+E34*E32</f>
        <v>1889226.675952093</v>
      </c>
      <c r="F35" s="182">
        <f t="shared" si="14"/>
        <v>1373332.8161514977</v>
      </c>
      <c r="G35" s="182">
        <f t="shared" si="14"/>
        <v>1066640.7731120887</v>
      </c>
      <c r="H35" s="182">
        <f t="shared" si="14"/>
        <v>1274133.0653796648</v>
      </c>
      <c r="I35" s="182">
        <f t="shared" si="14"/>
        <v>1217897.6096026273</v>
      </c>
      <c r="J35" s="182">
        <f t="shared" si="14"/>
        <v>42699779.521278955</v>
      </c>
    </row>
    <row r="36" spans="2:11" x14ac:dyDescent="0.5">
      <c r="B36" s="178"/>
      <c r="C36" s="178"/>
      <c r="D36" s="178"/>
      <c r="E36" s="182"/>
      <c r="F36" s="182"/>
      <c r="G36" s="182"/>
      <c r="H36" s="182"/>
      <c r="I36" s="182"/>
      <c r="J36" s="182"/>
    </row>
    <row r="37" spans="2:11" x14ac:dyDescent="0.5">
      <c r="B37" s="178" t="s">
        <v>200</v>
      </c>
      <c r="C37" s="178"/>
      <c r="D37" s="184">
        <f>+D32</f>
        <v>-33600000</v>
      </c>
      <c r="E37" s="185"/>
    </row>
    <row r="38" spans="2:11" ht="14.7" thickBot="1" x14ac:dyDescent="0.55000000000000004">
      <c r="B38" s="178" t="s">
        <v>202</v>
      </c>
      <c r="C38" s="178"/>
      <c r="D38" s="150">
        <f>+D35+D37</f>
        <v>15921010.461476929</v>
      </c>
    </row>
    <row r="39" spans="2:11" ht="15" thickTop="1" thickBot="1" x14ac:dyDescent="0.55000000000000004">
      <c r="B39" s="178"/>
      <c r="C39" s="178"/>
      <c r="D39" s="189"/>
      <c r="E39" s="185"/>
    </row>
    <row r="40" spans="2:11" ht="14.7" thickBot="1" x14ac:dyDescent="0.55000000000000004">
      <c r="B40" s="178" t="s">
        <v>195</v>
      </c>
      <c r="C40" s="178"/>
      <c r="D40" s="194">
        <f>IRR(D32:J32)</f>
        <v>0.28773254360319478</v>
      </c>
    </row>
    <row r="42" spans="2:11" x14ac:dyDescent="0.5">
      <c r="J42" s="12"/>
      <c r="K42" s="1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5F72-6741-475C-8016-0DEE37B1B0D1}">
  <dimension ref="B1:K74"/>
  <sheetViews>
    <sheetView showGridLines="0" workbookViewId="0">
      <selection activeCell="D40" sqref="D40"/>
    </sheetView>
  </sheetViews>
  <sheetFormatPr defaultRowHeight="14.35" x14ac:dyDescent="0.5"/>
  <cols>
    <col min="1" max="1" width="1.64453125" customWidth="1"/>
    <col min="2" max="2" width="25.87890625" customWidth="1"/>
    <col min="3" max="3" width="11.29296875" customWidth="1"/>
    <col min="4" max="4" width="13" customWidth="1"/>
    <col min="5" max="11" width="12.8203125" customWidth="1"/>
    <col min="12" max="12" width="1.64453125" customWidth="1"/>
    <col min="13" max="15" width="9.76171875" customWidth="1"/>
  </cols>
  <sheetData>
    <row r="1" spans="2:9" ht="22.7" x14ac:dyDescent="0.7">
      <c r="B1" s="23" t="s">
        <v>99</v>
      </c>
      <c r="C1" s="21"/>
    </row>
    <row r="2" spans="2:9" ht="17.7" x14ac:dyDescent="0.55000000000000004">
      <c r="B2" s="22" t="s">
        <v>100</v>
      </c>
      <c r="C2" s="23"/>
      <c r="D2" s="24"/>
      <c r="E2" s="24"/>
      <c r="F2" s="25"/>
      <c r="G2" s="24"/>
      <c r="H2" s="26"/>
    </row>
    <row r="3" spans="2:9" ht="14.7" thickBot="1" x14ac:dyDescent="0.55000000000000004">
      <c r="B3" s="28" t="s">
        <v>101</v>
      </c>
      <c r="C3" s="28"/>
      <c r="D3" s="29"/>
      <c r="E3" s="29"/>
      <c r="F3" s="29"/>
      <c r="G3" s="29"/>
      <c r="H3" s="29"/>
      <c r="I3" s="29"/>
    </row>
    <row r="4" spans="2:9" ht="38.700000000000003" x14ac:dyDescent="0.5">
      <c r="B4" s="34" t="s">
        <v>103</v>
      </c>
      <c r="C4" s="204" t="s">
        <v>104</v>
      </c>
      <c r="D4" s="204" t="s">
        <v>105</v>
      </c>
      <c r="E4" s="204" t="s">
        <v>106</v>
      </c>
      <c r="F4" s="204" t="s">
        <v>107</v>
      </c>
      <c r="G4" s="204" t="s">
        <v>108</v>
      </c>
      <c r="H4" s="204" t="s">
        <v>109</v>
      </c>
      <c r="I4" s="204" t="s">
        <v>110</v>
      </c>
    </row>
    <row r="5" spans="2:9" x14ac:dyDescent="0.5">
      <c r="B5" t="s">
        <v>113</v>
      </c>
      <c r="C5" s="39">
        <v>3</v>
      </c>
      <c r="D5" s="40">
        <f>+C5*$E$43</f>
        <v>60000000</v>
      </c>
      <c r="E5" s="41">
        <f>+D5/$D$9</f>
        <v>0.43243243243243246</v>
      </c>
      <c r="F5" s="42">
        <f>+C23</f>
        <v>7.3593149782850142E-2</v>
      </c>
      <c r="G5" s="42">
        <f>+F5*(1-$E$17)</f>
        <v>4.709961586102409E-2</v>
      </c>
      <c r="H5" s="43">
        <f>+E5*G5</f>
        <v>2.0367401453415823E-2</v>
      </c>
      <c r="I5" s="44">
        <f>+D5/$E$43</f>
        <v>3</v>
      </c>
    </row>
    <row r="6" spans="2:9" x14ac:dyDescent="0.5">
      <c r="B6" t="s">
        <v>120</v>
      </c>
      <c r="C6" s="49"/>
      <c r="D6" s="50">
        <f>+D7-D5</f>
        <v>40000000</v>
      </c>
      <c r="E6" s="51">
        <f>+D6/$D$9</f>
        <v>0.28828828828828829</v>
      </c>
      <c r="F6" s="52">
        <f>+C32</f>
        <v>8.9999999999999858E-2</v>
      </c>
      <c r="G6" s="52">
        <f>+F6*(1-$E$17)</f>
        <v>5.7599999999999908E-2</v>
      </c>
      <c r="H6" s="53">
        <f>+E6*G6</f>
        <v>1.660540540540538E-2</v>
      </c>
      <c r="I6" s="54">
        <f>+D6/$E$43</f>
        <v>2</v>
      </c>
    </row>
    <row r="7" spans="2:9" ht="14.7" thickBot="1" x14ac:dyDescent="0.55000000000000004">
      <c r="B7" t="s">
        <v>121</v>
      </c>
      <c r="C7" s="49">
        <v>5</v>
      </c>
      <c r="D7" s="40">
        <f>+C7*$E$43</f>
        <v>100000000</v>
      </c>
      <c r="E7" s="41">
        <f>SUM(E5:E6)</f>
        <v>0.72072072072072069</v>
      </c>
      <c r="F7" s="61"/>
      <c r="G7" s="61"/>
      <c r="H7" s="43">
        <f>+H6+H5</f>
        <v>3.6972806858821206E-2</v>
      </c>
      <c r="I7" s="62">
        <f>+D7/$E$43</f>
        <v>5</v>
      </c>
    </row>
    <row r="8" spans="2:9" ht="14.7" thickBot="1" x14ac:dyDescent="0.55000000000000004">
      <c r="B8" t="s">
        <v>122</v>
      </c>
      <c r="C8" s="66"/>
      <c r="D8" s="50">
        <f>+D15-D7</f>
        <v>38750000</v>
      </c>
      <c r="E8" s="51">
        <f>+D8/$D$9</f>
        <v>0.27927927927927926</v>
      </c>
      <c r="F8" s="67">
        <f>+[1]Sheet1!P16</f>
        <v>0.20003749999999998</v>
      </c>
      <c r="G8" s="68">
        <f>+F8</f>
        <v>0.20003749999999998</v>
      </c>
      <c r="H8" s="43">
        <f>+E8*G8</f>
        <v>5.5866328828828818E-2</v>
      </c>
      <c r="I8" s="54">
        <f>+D8/$E$43</f>
        <v>1.9375</v>
      </c>
    </row>
    <row r="9" spans="2:9" ht="14.7" thickBot="1" x14ac:dyDescent="0.55000000000000004">
      <c r="B9" t="s">
        <v>124</v>
      </c>
      <c r="C9" s="71"/>
      <c r="D9" s="72">
        <f>+D8+D7</f>
        <v>138750000</v>
      </c>
      <c r="E9" s="73">
        <f>+D9/$D$9</f>
        <v>1</v>
      </c>
      <c r="H9" s="67">
        <f>+H8+H7</f>
        <v>9.2839135687650023E-2</v>
      </c>
      <c r="I9" s="75">
        <f>+D9/$E$43</f>
        <v>6.9375</v>
      </c>
    </row>
    <row r="11" spans="2:9" ht="38.700000000000003" x14ac:dyDescent="0.5">
      <c r="B11" s="81" t="s">
        <v>125</v>
      </c>
      <c r="C11" s="204" t="s">
        <v>126</v>
      </c>
      <c r="D11" s="204" t="s">
        <v>212</v>
      </c>
      <c r="E11" s="204" t="s">
        <v>127</v>
      </c>
    </row>
    <row r="12" spans="2:9" x14ac:dyDescent="0.5">
      <c r="B12" s="64" t="s">
        <v>128</v>
      </c>
      <c r="C12" s="49">
        <v>6</v>
      </c>
      <c r="D12" s="83">
        <v>125000000</v>
      </c>
      <c r="E12" s="84">
        <f>+D12/$D$15</f>
        <v>0.90090090090090091</v>
      </c>
    </row>
    <row r="13" spans="2:9" x14ac:dyDescent="0.5">
      <c r="B13" s="64" t="s">
        <v>130</v>
      </c>
      <c r="C13" s="87"/>
      <c r="D13" s="80">
        <v>10000000</v>
      </c>
      <c r="E13" s="12"/>
    </row>
    <row r="14" spans="2:9" x14ac:dyDescent="0.5">
      <c r="B14" s="80" t="s">
        <v>132</v>
      </c>
      <c r="C14" s="89">
        <v>0.03</v>
      </c>
      <c r="D14" s="80">
        <f>+C14*D12</f>
        <v>3750000</v>
      </c>
      <c r="E14" s="84">
        <f>+D14/$D$15</f>
        <v>2.7027027027027029E-2</v>
      </c>
    </row>
    <row r="15" spans="2:9" ht="14.7" thickBot="1" x14ac:dyDescent="0.55000000000000004">
      <c r="B15" s="80" t="s">
        <v>134</v>
      </c>
      <c r="C15" s="91"/>
      <c r="D15" s="72">
        <f>SUM(D12:D14)</f>
        <v>138750000</v>
      </c>
      <c r="E15" s="92">
        <f>+D15/$D$15</f>
        <v>1</v>
      </c>
    </row>
    <row r="16" spans="2:9" x14ac:dyDescent="0.5">
      <c r="B16" s="80"/>
      <c r="C16" s="80"/>
      <c r="D16" s="80"/>
    </row>
    <row r="17" spans="2:11" ht="14.7" hidden="1" thickBot="1" x14ac:dyDescent="0.55000000000000004">
      <c r="B17" s="100"/>
      <c r="C17" s="100"/>
      <c r="D17" s="101" t="s">
        <v>137</v>
      </c>
      <c r="E17" s="102">
        <f>+C49</f>
        <v>0.36</v>
      </c>
      <c r="F17" s="100"/>
      <c r="G17" s="100"/>
      <c r="H17" s="100"/>
      <c r="I17" s="103"/>
      <c r="J17" s="103"/>
      <c r="K17" s="103"/>
    </row>
    <row r="18" spans="2:11" ht="14.7" hidden="1" thickBot="1" x14ac:dyDescent="0.55000000000000004">
      <c r="B18" s="104" t="s">
        <v>138</v>
      </c>
      <c r="C18" s="104"/>
      <c r="D18" s="105"/>
      <c r="E18" s="105"/>
      <c r="F18" s="105"/>
      <c r="G18" s="105"/>
      <c r="H18" s="105"/>
      <c r="I18" s="105"/>
      <c r="J18" s="106"/>
      <c r="K18" s="107"/>
    </row>
    <row r="19" spans="2:11" ht="14.7" hidden="1" thickBot="1" x14ac:dyDescent="0.55000000000000004">
      <c r="B19" s="108" t="s">
        <v>139</v>
      </c>
      <c r="C19" s="109" t="s">
        <v>140</v>
      </c>
      <c r="D19" s="110" t="s">
        <v>141</v>
      </c>
      <c r="E19" s="111">
        <f t="shared" ref="E19:J19" si="0">+E39</f>
        <v>2020</v>
      </c>
      <c r="F19" s="111">
        <f t="shared" si="0"/>
        <v>2021</v>
      </c>
      <c r="G19" s="111">
        <f t="shared" si="0"/>
        <v>2022</v>
      </c>
      <c r="H19" s="111">
        <f t="shared" si="0"/>
        <v>2023</v>
      </c>
      <c r="I19" s="111">
        <f t="shared" si="0"/>
        <v>2024</v>
      </c>
      <c r="J19" s="110">
        <f t="shared" si="0"/>
        <v>2025</v>
      </c>
      <c r="K19" s="111">
        <f>+J19+1</f>
        <v>2026</v>
      </c>
    </row>
    <row r="20" spans="2:11" hidden="1" x14ac:dyDescent="0.5">
      <c r="B20" t="s">
        <v>142</v>
      </c>
      <c r="D20" s="112">
        <f>+D5</f>
        <v>60000000</v>
      </c>
      <c r="E20" s="80">
        <f t="shared" ref="E20:K20" si="1">+D20-E21</f>
        <v>57000000</v>
      </c>
      <c r="F20" s="80">
        <f t="shared" si="1"/>
        <v>53000000</v>
      </c>
      <c r="G20" s="80">
        <f t="shared" si="1"/>
        <v>48000000</v>
      </c>
      <c r="H20" s="80">
        <f t="shared" si="1"/>
        <v>43000000</v>
      </c>
      <c r="I20" s="80">
        <f t="shared" si="1"/>
        <v>37000000</v>
      </c>
      <c r="J20" s="87">
        <f t="shared" si="1"/>
        <v>30000000</v>
      </c>
      <c r="K20" s="80">
        <f t="shared" si="1"/>
        <v>0</v>
      </c>
    </row>
    <row r="21" spans="2:11" hidden="1" x14ac:dyDescent="0.5">
      <c r="B21" t="s">
        <v>143</v>
      </c>
      <c r="D21" s="113" t="s">
        <v>144</v>
      </c>
      <c r="E21" s="215">
        <v>3000000</v>
      </c>
      <c r="F21" s="215">
        <v>4000000</v>
      </c>
      <c r="G21" s="215">
        <v>5000000</v>
      </c>
      <c r="H21" s="215">
        <v>5000000</v>
      </c>
      <c r="I21" s="215">
        <f>+H21+1000000</f>
        <v>6000000</v>
      </c>
      <c r="J21" s="216">
        <v>7000000</v>
      </c>
      <c r="K21" s="215">
        <f>+J20</f>
        <v>30000000</v>
      </c>
    </row>
    <row r="22" spans="2:11" hidden="1" x14ac:dyDescent="0.5">
      <c r="B22" t="s">
        <v>145</v>
      </c>
      <c r="D22" s="115">
        <f>+F5</f>
        <v>7.3593149782850142E-2</v>
      </c>
      <c r="E22" s="80">
        <f t="shared" ref="E22:K22" si="2">+D20*E26</f>
        <v>3750000</v>
      </c>
      <c r="F22" s="80">
        <f t="shared" si="2"/>
        <v>3847500.0000000005</v>
      </c>
      <c r="G22" s="80">
        <f t="shared" si="2"/>
        <v>3842500.0000000005</v>
      </c>
      <c r="H22" s="80">
        <f t="shared" si="2"/>
        <v>3960000</v>
      </c>
      <c r="I22" s="80">
        <f t="shared" si="2"/>
        <v>3547500</v>
      </c>
      <c r="J22" s="87">
        <f t="shared" si="2"/>
        <v>3052500</v>
      </c>
      <c r="K22" s="80">
        <f t="shared" si="2"/>
        <v>2475000</v>
      </c>
    </row>
    <row r="23" spans="2:11" ht="14.7" hidden="1" thickBot="1" x14ac:dyDescent="0.55000000000000004">
      <c r="B23" t="s">
        <v>146</v>
      </c>
      <c r="C23" s="116">
        <f>IRR(D23:K23)</f>
        <v>7.3593149782850142E-2</v>
      </c>
      <c r="D23" s="117">
        <f>-D20</f>
        <v>-60000000</v>
      </c>
      <c r="E23" s="72">
        <f t="shared" ref="E23:K23" si="3">+E21+E22</f>
        <v>6750000</v>
      </c>
      <c r="F23" s="72">
        <f t="shared" si="3"/>
        <v>7847500</v>
      </c>
      <c r="G23" s="72">
        <f t="shared" si="3"/>
        <v>8842500</v>
      </c>
      <c r="H23" s="72">
        <f t="shared" si="3"/>
        <v>8960000</v>
      </c>
      <c r="I23" s="72">
        <f t="shared" si="3"/>
        <v>9547500</v>
      </c>
      <c r="J23" s="118">
        <f t="shared" si="3"/>
        <v>10052500</v>
      </c>
      <c r="K23" s="72">
        <f t="shared" si="3"/>
        <v>32475000</v>
      </c>
    </row>
    <row r="24" spans="2:11" ht="14.7" hidden="1" thickTop="1" x14ac:dyDescent="0.5">
      <c r="B24" s="108" t="s">
        <v>147</v>
      </c>
      <c r="C24" s="119"/>
      <c r="D24" s="120">
        <f>+[1]Sheet1!P6</f>
        <v>2.2499999999999999E-2</v>
      </c>
      <c r="E24" s="121">
        <f t="shared" ref="E24:K24" si="4">+D24+E25</f>
        <v>2.2499999999999999E-2</v>
      </c>
      <c r="F24" s="121">
        <f t="shared" si="4"/>
        <v>2.75E-2</v>
      </c>
      <c r="G24" s="121">
        <f t="shared" si="4"/>
        <v>3.2500000000000001E-2</v>
      </c>
      <c r="H24" s="121">
        <f t="shared" si="4"/>
        <v>4.2500000000000003E-2</v>
      </c>
      <c r="I24" s="121">
        <f t="shared" si="4"/>
        <v>4.2500000000000003E-2</v>
      </c>
      <c r="J24" s="120">
        <f t="shared" si="4"/>
        <v>4.2500000000000003E-2</v>
      </c>
      <c r="K24" s="121">
        <f t="shared" si="4"/>
        <v>4.2500000000000003E-2</v>
      </c>
    </row>
    <row r="25" spans="2:11" hidden="1" x14ac:dyDescent="0.5">
      <c r="B25" s="122" t="s">
        <v>148</v>
      </c>
      <c r="C25" s="119"/>
      <c r="D25" s="120"/>
      <c r="E25" s="123">
        <v>0</v>
      </c>
      <c r="F25" s="123">
        <v>5.0000000000000001E-3</v>
      </c>
      <c r="G25" s="123">
        <v>5.0000000000000001E-3</v>
      </c>
      <c r="H25" s="123">
        <v>0.01</v>
      </c>
      <c r="I25" s="121">
        <v>0</v>
      </c>
      <c r="J25" s="120">
        <v>0</v>
      </c>
      <c r="K25" s="121">
        <v>0</v>
      </c>
    </row>
    <row r="26" spans="2:11" hidden="1" x14ac:dyDescent="0.5">
      <c r="B26" s="122" t="s">
        <v>149</v>
      </c>
      <c r="C26" s="119"/>
      <c r="D26" s="120"/>
      <c r="E26" s="123">
        <f>+E24+[1]Sheet1!$Q$6</f>
        <v>6.25E-2</v>
      </c>
      <c r="F26" s="123">
        <f>+F24+[1]Sheet1!$Q$6</f>
        <v>6.7500000000000004E-2</v>
      </c>
      <c r="G26" s="123">
        <f>+G24+[1]Sheet1!$Q$6</f>
        <v>7.2500000000000009E-2</v>
      </c>
      <c r="H26" s="123">
        <f>+H24+[1]Sheet1!$Q$6</f>
        <v>8.2500000000000004E-2</v>
      </c>
      <c r="I26" s="121">
        <f>+I24+[1]Sheet1!$Q$6</f>
        <v>8.2500000000000004E-2</v>
      </c>
      <c r="J26" s="120">
        <f>+J24+[1]Sheet1!$Q$6</f>
        <v>8.2500000000000004E-2</v>
      </c>
      <c r="K26" s="121">
        <f>+K24+[1]Sheet1!$Q$6</f>
        <v>8.2500000000000004E-2</v>
      </c>
    </row>
    <row r="27" spans="2:11" hidden="1" x14ac:dyDescent="0.5">
      <c r="C27" s="116"/>
      <c r="D27" s="124"/>
      <c r="J27" s="124"/>
    </row>
    <row r="28" spans="2:11" hidden="1" x14ac:dyDescent="0.5">
      <c r="B28" s="108" t="s">
        <v>150</v>
      </c>
      <c r="C28" s="125"/>
      <c r="D28" s="124"/>
      <c r="J28" s="124"/>
    </row>
    <row r="29" spans="2:11" hidden="1" x14ac:dyDescent="0.5">
      <c r="B29" t="s">
        <v>151</v>
      </c>
      <c r="C29" s="116"/>
      <c r="D29" s="112">
        <f>+D6</f>
        <v>40000000</v>
      </c>
      <c r="E29" s="80">
        <f t="shared" ref="E29:K29" si="5">+D29-E30</f>
        <v>40000000</v>
      </c>
      <c r="F29" s="80">
        <f t="shared" si="5"/>
        <v>40000000</v>
      </c>
      <c r="G29" s="80">
        <f t="shared" si="5"/>
        <v>40000000</v>
      </c>
      <c r="H29" s="80">
        <f t="shared" si="5"/>
        <v>40000000</v>
      </c>
      <c r="I29" s="80">
        <f t="shared" si="5"/>
        <v>40000000</v>
      </c>
      <c r="J29" s="87">
        <f t="shared" si="5"/>
        <v>40000000</v>
      </c>
      <c r="K29" s="80">
        <f t="shared" si="5"/>
        <v>0</v>
      </c>
    </row>
    <row r="30" spans="2:11" hidden="1" x14ac:dyDescent="0.5">
      <c r="B30" t="s">
        <v>143</v>
      </c>
      <c r="C30" s="116"/>
      <c r="D30" s="113" t="s">
        <v>152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6">
        <v>0</v>
      </c>
      <c r="K30" s="215">
        <f>+J29</f>
        <v>40000000</v>
      </c>
    </row>
    <row r="31" spans="2:11" hidden="1" x14ac:dyDescent="0.5">
      <c r="B31" t="s">
        <v>145</v>
      </c>
      <c r="C31" s="116"/>
      <c r="D31" s="126">
        <f>+[1]Sheet1!Q9</f>
        <v>0.09</v>
      </c>
      <c r="E31" s="80">
        <f t="shared" ref="E31:K31" si="6">+D29*$D$31</f>
        <v>3600000</v>
      </c>
      <c r="F31" s="80">
        <f t="shared" si="6"/>
        <v>3600000</v>
      </c>
      <c r="G31" s="80">
        <f t="shared" si="6"/>
        <v>3600000</v>
      </c>
      <c r="H31" s="80">
        <f t="shared" si="6"/>
        <v>3600000</v>
      </c>
      <c r="I31" s="80">
        <f t="shared" si="6"/>
        <v>3600000</v>
      </c>
      <c r="J31" s="87">
        <f t="shared" si="6"/>
        <v>3600000</v>
      </c>
      <c r="K31" s="80">
        <f t="shared" si="6"/>
        <v>3600000</v>
      </c>
    </row>
    <row r="32" spans="2:11" ht="14.7" hidden="1" thickBot="1" x14ac:dyDescent="0.55000000000000004">
      <c r="B32" t="s">
        <v>146</v>
      </c>
      <c r="C32" s="116">
        <f>IRR(D32:K32)</f>
        <v>8.9999999999999858E-2</v>
      </c>
      <c r="D32" s="117">
        <f>-D29</f>
        <v>-40000000</v>
      </c>
      <c r="E32" s="72">
        <f t="shared" ref="E32:K32" si="7">+E30+E31</f>
        <v>3600000</v>
      </c>
      <c r="F32" s="72">
        <f t="shared" si="7"/>
        <v>3600000</v>
      </c>
      <c r="G32" s="72">
        <f t="shared" si="7"/>
        <v>3600000</v>
      </c>
      <c r="H32" s="72">
        <f t="shared" si="7"/>
        <v>3600000</v>
      </c>
      <c r="I32" s="72">
        <f t="shared" si="7"/>
        <v>3600000</v>
      </c>
      <c r="J32" s="118">
        <f t="shared" si="7"/>
        <v>3600000</v>
      </c>
      <c r="K32" s="72">
        <f t="shared" si="7"/>
        <v>43600000</v>
      </c>
    </row>
    <row r="33" spans="2:11" ht="14.7" hidden="1" thickTop="1" x14ac:dyDescent="0.5">
      <c r="D33" s="124"/>
      <c r="E33" s="80"/>
      <c r="F33" s="80"/>
      <c r="G33" s="80"/>
      <c r="H33" s="80"/>
      <c r="I33" s="80"/>
      <c r="J33" s="87"/>
      <c r="K33" s="80"/>
    </row>
    <row r="34" spans="2:11" hidden="1" x14ac:dyDescent="0.5">
      <c r="B34" t="s">
        <v>153</v>
      </c>
      <c r="D34" s="124"/>
      <c r="E34" s="80">
        <f t="shared" ref="E34:K34" si="8">+E30+E31+E21+E22</f>
        <v>10350000</v>
      </c>
      <c r="F34" s="80">
        <f t="shared" si="8"/>
        <v>11447500</v>
      </c>
      <c r="G34" s="80">
        <f t="shared" si="8"/>
        <v>12442500</v>
      </c>
      <c r="H34" s="80">
        <f t="shared" si="8"/>
        <v>12560000</v>
      </c>
      <c r="I34" s="80">
        <f t="shared" si="8"/>
        <v>13147500</v>
      </c>
      <c r="J34" s="87">
        <f t="shared" si="8"/>
        <v>13652500</v>
      </c>
      <c r="K34" s="80">
        <f t="shared" si="8"/>
        <v>76075000</v>
      </c>
    </row>
    <row r="35" spans="2:11" ht="14.7" hidden="1" thickBot="1" x14ac:dyDescent="0.55000000000000004">
      <c r="B35" t="s">
        <v>154</v>
      </c>
      <c r="D35" s="127"/>
      <c r="E35" s="80">
        <f t="shared" ref="E35:K35" si="9">+E29+E20</f>
        <v>97000000</v>
      </c>
      <c r="F35" s="80">
        <f t="shared" si="9"/>
        <v>93000000</v>
      </c>
      <c r="G35" s="80">
        <f t="shared" si="9"/>
        <v>88000000</v>
      </c>
      <c r="H35" s="80">
        <f t="shared" si="9"/>
        <v>83000000</v>
      </c>
      <c r="I35" s="80">
        <f t="shared" si="9"/>
        <v>77000000</v>
      </c>
      <c r="J35" s="128">
        <f t="shared" si="9"/>
        <v>70000000</v>
      </c>
      <c r="K35" s="80">
        <f t="shared" si="9"/>
        <v>0</v>
      </c>
    </row>
    <row r="36" spans="2:11" ht="14.7" thickBot="1" x14ac:dyDescent="0.55000000000000004">
      <c r="B36" s="103"/>
      <c r="C36" s="103"/>
      <c r="D36" s="103"/>
      <c r="E36" s="100"/>
      <c r="F36" s="100"/>
      <c r="G36" s="100"/>
      <c r="H36" s="100"/>
      <c r="I36" s="100"/>
      <c r="J36" s="100"/>
      <c r="K36" s="100"/>
    </row>
    <row r="37" spans="2:11" ht="14.7" thickBot="1" x14ac:dyDescent="0.55000000000000004">
      <c r="B37" s="104" t="s">
        <v>155</v>
      </c>
      <c r="C37" s="104"/>
      <c r="D37" s="105"/>
      <c r="E37" s="105"/>
      <c r="F37" s="105"/>
      <c r="G37" s="105"/>
      <c r="H37" s="105"/>
      <c r="I37" s="105"/>
      <c r="J37" s="106"/>
      <c r="K37" s="107"/>
    </row>
    <row r="38" spans="2:11" x14ac:dyDescent="0.5">
      <c r="B38" s="22" t="s">
        <v>156</v>
      </c>
      <c r="C38" s="129" t="s">
        <v>157</v>
      </c>
      <c r="D38" s="130" t="s">
        <v>158</v>
      </c>
      <c r="E38" s="131" t="s">
        <v>159</v>
      </c>
      <c r="F38" s="131" t="s">
        <v>160</v>
      </c>
      <c r="G38" s="131" t="s">
        <v>161</v>
      </c>
      <c r="H38" s="131" t="s">
        <v>162</v>
      </c>
      <c r="I38" s="131" t="s">
        <v>163</v>
      </c>
      <c r="J38" s="130" t="s">
        <v>164</v>
      </c>
    </row>
    <row r="39" spans="2:11" ht="14.7" thickBot="1" x14ac:dyDescent="0.55000000000000004">
      <c r="C39" s="132" t="s">
        <v>165</v>
      </c>
      <c r="D39" s="133">
        <v>2019</v>
      </c>
      <c r="E39" s="134">
        <f t="shared" ref="E39:K39" si="10">+D39+1</f>
        <v>2020</v>
      </c>
      <c r="F39" s="134">
        <f t="shared" si="10"/>
        <v>2021</v>
      </c>
      <c r="G39" s="134">
        <f t="shared" si="10"/>
        <v>2022</v>
      </c>
      <c r="H39" s="134">
        <f t="shared" si="10"/>
        <v>2023</v>
      </c>
      <c r="I39" s="134">
        <f t="shared" si="10"/>
        <v>2024</v>
      </c>
      <c r="J39" s="135">
        <f t="shared" si="10"/>
        <v>2025</v>
      </c>
      <c r="K39" s="134">
        <f t="shared" si="10"/>
        <v>2026</v>
      </c>
    </row>
    <row r="40" spans="2:11" x14ac:dyDescent="0.5">
      <c r="B40" t="s">
        <v>166</v>
      </c>
      <c r="C40" s="217">
        <v>6.5000000000000002E-2</v>
      </c>
      <c r="D40" s="124" t="s">
        <v>167</v>
      </c>
      <c r="E40" s="218">
        <v>40000000</v>
      </c>
      <c r="F40" s="138">
        <f t="shared" ref="F40:K40" si="11">+E40*(1+$C$40)</f>
        <v>42600000</v>
      </c>
      <c r="G40" s="138">
        <f t="shared" si="11"/>
        <v>45369000</v>
      </c>
      <c r="H40" s="138">
        <f t="shared" si="11"/>
        <v>48317985</v>
      </c>
      <c r="I40" s="138">
        <f t="shared" si="11"/>
        <v>51458654.024999999</v>
      </c>
      <c r="J40" s="139">
        <f t="shared" si="11"/>
        <v>54803466.536624998</v>
      </c>
      <c r="K40" s="138">
        <f t="shared" si="11"/>
        <v>58365691.86150562</v>
      </c>
    </row>
    <row r="41" spans="2:11" x14ac:dyDescent="0.5">
      <c r="B41" t="s">
        <v>168</v>
      </c>
      <c r="C41" s="219">
        <v>0.35</v>
      </c>
      <c r="D41" s="141" t="s">
        <v>169</v>
      </c>
      <c r="E41" s="138">
        <f t="shared" ref="E41:K41" si="12">-E40*$C$41</f>
        <v>-14000000</v>
      </c>
      <c r="F41" s="138">
        <f t="shared" si="12"/>
        <v>-14909999.999999998</v>
      </c>
      <c r="G41" s="138">
        <f t="shared" si="12"/>
        <v>-15879149.999999998</v>
      </c>
      <c r="H41" s="138">
        <f t="shared" si="12"/>
        <v>-16911294.75</v>
      </c>
      <c r="I41" s="138">
        <f t="shared" si="12"/>
        <v>-18010528.908749998</v>
      </c>
      <c r="J41" s="139">
        <f t="shared" si="12"/>
        <v>-19181213.287818749</v>
      </c>
      <c r="K41" s="138">
        <f t="shared" si="12"/>
        <v>-20427992.151526965</v>
      </c>
    </row>
    <row r="42" spans="2:11" x14ac:dyDescent="0.5">
      <c r="B42" t="s">
        <v>170</v>
      </c>
      <c r="C42" s="219">
        <v>0.15</v>
      </c>
      <c r="D42" s="141" t="s">
        <v>169</v>
      </c>
      <c r="E42" s="218">
        <f>-C42*E40</f>
        <v>-6000000</v>
      </c>
      <c r="F42" s="138">
        <f t="shared" ref="F42:K42" si="13">-$C$42*F40</f>
        <v>-6390000</v>
      </c>
      <c r="G42" s="138">
        <f t="shared" si="13"/>
        <v>-6805350</v>
      </c>
      <c r="H42" s="138">
        <f t="shared" si="13"/>
        <v>-7247697.75</v>
      </c>
      <c r="I42" s="138">
        <f t="shared" si="13"/>
        <v>-7718798.1037499998</v>
      </c>
      <c r="J42" s="139">
        <f t="shared" si="13"/>
        <v>-8220519.9804937495</v>
      </c>
      <c r="K42" s="138">
        <f t="shared" si="13"/>
        <v>-8754853.779225843</v>
      </c>
    </row>
    <row r="43" spans="2:11" x14ac:dyDescent="0.5">
      <c r="B43" t="s">
        <v>171</v>
      </c>
      <c r="C43" s="142">
        <f>+E43/E40</f>
        <v>0.5</v>
      </c>
      <c r="D43" s="124"/>
      <c r="E43" s="143">
        <f t="shared" ref="E43:K43" si="14">SUM(E40:E42)</f>
        <v>20000000</v>
      </c>
      <c r="F43" s="144">
        <f t="shared" si="14"/>
        <v>21300000</v>
      </c>
      <c r="G43" s="144">
        <f t="shared" si="14"/>
        <v>22684500</v>
      </c>
      <c r="H43" s="144">
        <f t="shared" si="14"/>
        <v>24158992.5</v>
      </c>
      <c r="I43" s="144">
        <f t="shared" si="14"/>
        <v>25729327.012500003</v>
      </c>
      <c r="J43" s="145">
        <f t="shared" si="14"/>
        <v>27401733.268312503</v>
      </c>
      <c r="K43" s="144">
        <f t="shared" si="14"/>
        <v>29182845.930752814</v>
      </c>
    </row>
    <row r="44" spans="2:11" x14ac:dyDescent="0.5">
      <c r="B44" t="s">
        <v>172</v>
      </c>
      <c r="C44" s="217">
        <v>0.03</v>
      </c>
      <c r="D44" s="141" t="s">
        <v>169</v>
      </c>
      <c r="E44" s="138">
        <f t="shared" ref="E44:K44" si="15">-$C$44*E40</f>
        <v>-1200000</v>
      </c>
      <c r="F44" s="138">
        <f t="shared" si="15"/>
        <v>-1278000</v>
      </c>
      <c r="G44" s="138">
        <f t="shared" si="15"/>
        <v>-1361070</v>
      </c>
      <c r="H44" s="138">
        <f t="shared" si="15"/>
        <v>-1449539.55</v>
      </c>
      <c r="I44" s="138">
        <f t="shared" si="15"/>
        <v>-1543759.62075</v>
      </c>
      <c r="J44" s="139">
        <f t="shared" si="15"/>
        <v>-1644103.9960987498</v>
      </c>
      <c r="K44" s="138">
        <f t="shared" si="15"/>
        <v>-1750970.7558451686</v>
      </c>
    </row>
    <row r="45" spans="2:11" x14ac:dyDescent="0.5">
      <c r="B45" t="s">
        <v>173</v>
      </c>
      <c r="C45" s="220">
        <v>7</v>
      </c>
      <c r="D45" s="124" t="s">
        <v>174</v>
      </c>
      <c r="E45" s="147">
        <f>-$D$14/$C$45</f>
        <v>-535714.28571428568</v>
      </c>
      <c r="F45" s="148">
        <f>-$D$14/$C$45</f>
        <v>-535714.28571428568</v>
      </c>
      <c r="G45" s="148">
        <f>-$D$14/$C$45</f>
        <v>-535714.28571428568</v>
      </c>
      <c r="H45" s="148">
        <f>-$D$14/$C$45</f>
        <v>-535714.28571428568</v>
      </c>
      <c r="I45" s="148">
        <f>-$D$14/$C$45</f>
        <v>-535714.28571428568</v>
      </c>
      <c r="J45" s="149">
        <f>+I45*2</f>
        <v>-1071428.5714285714</v>
      </c>
      <c r="K45" s="148"/>
    </row>
    <row r="46" spans="2:11" x14ac:dyDescent="0.5">
      <c r="B46" t="s">
        <v>175</v>
      </c>
      <c r="D46" s="124"/>
      <c r="E46" s="138">
        <f t="shared" ref="E46:K46" si="16">SUM(E43:E45)</f>
        <v>18264285.714285713</v>
      </c>
      <c r="F46" s="138">
        <f t="shared" si="16"/>
        <v>19486285.714285713</v>
      </c>
      <c r="G46" s="138">
        <f t="shared" si="16"/>
        <v>20787715.714285713</v>
      </c>
      <c r="H46" s="138">
        <f t="shared" si="16"/>
        <v>22173738.664285712</v>
      </c>
      <c r="I46" s="138">
        <f t="shared" si="16"/>
        <v>23649853.106035717</v>
      </c>
      <c r="J46" s="139">
        <f t="shared" si="16"/>
        <v>24686200.700785182</v>
      </c>
      <c r="K46" s="138">
        <f t="shared" si="16"/>
        <v>27431875.174907647</v>
      </c>
    </row>
    <row r="47" spans="2:11" x14ac:dyDescent="0.5">
      <c r="B47" t="s">
        <v>176</v>
      </c>
      <c r="D47" s="124"/>
      <c r="E47" s="147">
        <v>0</v>
      </c>
      <c r="F47" s="148">
        <v>0</v>
      </c>
      <c r="G47" s="148">
        <v>0</v>
      </c>
      <c r="H47" s="148">
        <v>0</v>
      </c>
      <c r="I47" s="148">
        <v>0</v>
      </c>
      <c r="J47" s="149">
        <v>0</v>
      </c>
      <c r="K47" s="148">
        <v>0</v>
      </c>
    </row>
    <row r="48" spans="2:11" x14ac:dyDescent="0.5">
      <c r="B48" t="s">
        <v>177</v>
      </c>
      <c r="D48" s="124"/>
      <c r="E48" s="138">
        <f t="shared" ref="E48:K48" si="17">+E46-E47</f>
        <v>18264285.714285713</v>
      </c>
      <c r="F48" s="138">
        <f t="shared" si="17"/>
        <v>19486285.714285713</v>
      </c>
      <c r="G48" s="138">
        <f t="shared" si="17"/>
        <v>20787715.714285713</v>
      </c>
      <c r="H48" s="138">
        <f t="shared" si="17"/>
        <v>22173738.664285712</v>
      </c>
      <c r="I48" s="138">
        <f t="shared" si="17"/>
        <v>23649853.106035717</v>
      </c>
      <c r="J48" s="139">
        <f t="shared" si="17"/>
        <v>24686200.700785182</v>
      </c>
      <c r="K48" s="138">
        <f t="shared" si="17"/>
        <v>27431875.174907647</v>
      </c>
    </row>
    <row r="49" spans="2:11" x14ac:dyDescent="0.5">
      <c r="B49" t="s">
        <v>178</v>
      </c>
      <c r="C49" s="219">
        <v>0.36</v>
      </c>
      <c r="D49" s="141" t="s">
        <v>179</v>
      </c>
      <c r="E49" s="138">
        <f t="shared" ref="E49:K49" si="18">-$C$49*E46</f>
        <v>-6575142.8571428563</v>
      </c>
      <c r="F49" s="138">
        <f t="shared" si="18"/>
        <v>-7015062.8571428563</v>
      </c>
      <c r="G49" s="138">
        <f t="shared" si="18"/>
        <v>-7483577.6571428562</v>
      </c>
      <c r="H49" s="138">
        <f t="shared" si="18"/>
        <v>-7982545.9191428563</v>
      </c>
      <c r="I49" s="138">
        <f t="shared" si="18"/>
        <v>-8513947.1181728579</v>
      </c>
      <c r="J49" s="139">
        <f t="shared" si="18"/>
        <v>-8887032.252282666</v>
      </c>
      <c r="K49" s="138">
        <f t="shared" si="18"/>
        <v>-9875475.0629667528</v>
      </c>
    </row>
    <row r="50" spans="2:11" x14ac:dyDescent="0.5">
      <c r="B50" t="s">
        <v>180</v>
      </c>
      <c r="C50" s="219"/>
      <c r="D50" s="124"/>
      <c r="E50" s="138">
        <f t="shared" ref="E50:K50" si="19">-E44-E45</f>
        <v>1735714.2857142857</v>
      </c>
      <c r="F50" s="138">
        <f t="shared" si="19"/>
        <v>1813714.2857142857</v>
      </c>
      <c r="G50" s="138">
        <f t="shared" si="19"/>
        <v>1896784.2857142857</v>
      </c>
      <c r="H50" s="138">
        <f t="shared" si="19"/>
        <v>1985253.8357142857</v>
      </c>
      <c r="I50" s="138">
        <f t="shared" si="19"/>
        <v>2079473.9064642857</v>
      </c>
      <c r="J50" s="139">
        <f t="shared" si="19"/>
        <v>2715532.5675273212</v>
      </c>
      <c r="K50" s="138">
        <f t="shared" si="19"/>
        <v>1750970.7558451686</v>
      </c>
    </row>
    <row r="51" spans="2:11" x14ac:dyDescent="0.5">
      <c r="B51" t="s">
        <v>181</v>
      </c>
      <c r="C51" s="217">
        <v>0</v>
      </c>
      <c r="D51" s="141" t="s">
        <v>169</v>
      </c>
      <c r="E51" s="138">
        <f t="shared" ref="E51:K51" si="20">-$C$51*E40</f>
        <v>0</v>
      </c>
      <c r="F51" s="138">
        <f t="shared" si="20"/>
        <v>0</v>
      </c>
      <c r="G51" s="138">
        <f t="shared" si="20"/>
        <v>0</v>
      </c>
      <c r="H51" s="138">
        <f t="shared" si="20"/>
        <v>0</v>
      </c>
      <c r="I51" s="138">
        <f t="shared" si="20"/>
        <v>0</v>
      </c>
      <c r="J51" s="139">
        <f t="shared" si="20"/>
        <v>0</v>
      </c>
      <c r="K51" s="138">
        <f t="shared" si="20"/>
        <v>0</v>
      </c>
    </row>
    <row r="52" spans="2:11" x14ac:dyDescent="0.5">
      <c r="B52" t="s">
        <v>182</v>
      </c>
      <c r="C52" s="217">
        <v>0.02</v>
      </c>
      <c r="D52" s="141" t="s">
        <v>169</v>
      </c>
      <c r="E52" s="138">
        <f t="shared" ref="E52:K52" si="21">-$C$52*E40</f>
        <v>-800000</v>
      </c>
      <c r="F52" s="138">
        <f t="shared" si="21"/>
        <v>-852000</v>
      </c>
      <c r="G52" s="138">
        <f t="shared" si="21"/>
        <v>-907380</v>
      </c>
      <c r="H52" s="138">
        <f t="shared" si="21"/>
        <v>-966359.70000000007</v>
      </c>
      <c r="I52" s="138">
        <f t="shared" si="21"/>
        <v>-1029173.0805</v>
      </c>
      <c r="J52" s="139">
        <f t="shared" si="21"/>
        <v>-1096069.3307324999</v>
      </c>
      <c r="K52" s="138">
        <f t="shared" si="21"/>
        <v>-1167313.8372301124</v>
      </c>
    </row>
    <row r="53" spans="2:11" ht="14.7" thickBot="1" x14ac:dyDescent="0.55000000000000004">
      <c r="B53" t="s">
        <v>183</v>
      </c>
      <c r="D53" s="124"/>
      <c r="E53" s="150">
        <f t="shared" ref="E53:K53" si="22">SUM(E48:E52)</f>
        <v>12624857.142857142</v>
      </c>
      <c r="F53" s="150">
        <f t="shared" si="22"/>
        <v>13432937.142857142</v>
      </c>
      <c r="G53" s="150">
        <f t="shared" si="22"/>
        <v>14293542.342857143</v>
      </c>
      <c r="H53" s="150">
        <f t="shared" si="22"/>
        <v>15210086.880857142</v>
      </c>
      <c r="I53" s="150">
        <f t="shared" si="22"/>
        <v>16186206.813827146</v>
      </c>
      <c r="J53" s="151">
        <f t="shared" si="22"/>
        <v>17418631.68529734</v>
      </c>
      <c r="K53" s="150">
        <f t="shared" si="22"/>
        <v>18140057.030555952</v>
      </c>
    </row>
    <row r="54" spans="2:11" ht="14.7" thickTop="1" x14ac:dyDescent="0.5">
      <c r="D54" s="124"/>
      <c r="E54" s="138"/>
      <c r="F54" s="138"/>
      <c r="G54" s="138"/>
      <c r="H54" s="138"/>
      <c r="I54" s="138"/>
      <c r="J54" s="139"/>
      <c r="K54" s="138"/>
    </row>
    <row r="55" spans="2:11" x14ac:dyDescent="0.5">
      <c r="B55" t="s">
        <v>184</v>
      </c>
      <c r="D55" s="124"/>
      <c r="E55" s="138">
        <f t="shared" ref="E55:K55" si="23">-E34</f>
        <v>-10350000</v>
      </c>
      <c r="F55" s="138">
        <f t="shared" si="23"/>
        <v>-11447500</v>
      </c>
      <c r="G55" s="138">
        <f t="shared" si="23"/>
        <v>-12442500</v>
      </c>
      <c r="H55" s="138">
        <f t="shared" si="23"/>
        <v>-12560000</v>
      </c>
      <c r="I55" s="138">
        <f t="shared" si="23"/>
        <v>-13147500</v>
      </c>
      <c r="J55" s="139">
        <f t="shared" si="23"/>
        <v>-13652500</v>
      </c>
      <c r="K55" s="138">
        <f t="shared" si="23"/>
        <v>-76075000</v>
      </c>
    </row>
    <row r="56" spans="2:11" ht="14.7" thickBot="1" x14ac:dyDescent="0.55000000000000004">
      <c r="B56" t="s">
        <v>185</v>
      </c>
      <c r="D56" s="124"/>
      <c r="E56" s="152">
        <f t="shared" ref="E56:K56" si="24">+E53+E55</f>
        <v>2274857.1428571418</v>
      </c>
      <c r="F56" s="152">
        <f t="shared" si="24"/>
        <v>1985437.1428571418</v>
      </c>
      <c r="G56" s="152">
        <f t="shared" si="24"/>
        <v>1851042.3428571429</v>
      </c>
      <c r="H56" s="152">
        <f t="shared" si="24"/>
        <v>2650086.8808571417</v>
      </c>
      <c r="I56" s="152">
        <f t="shared" si="24"/>
        <v>3038706.8138271458</v>
      </c>
      <c r="J56" s="117">
        <f t="shared" si="24"/>
        <v>3766131.6852973402</v>
      </c>
      <c r="K56" s="152">
        <f t="shared" si="24"/>
        <v>-57934942.969444051</v>
      </c>
    </row>
    <row r="57" spans="2:11" ht="14.7" thickTop="1" x14ac:dyDescent="0.5">
      <c r="D57" s="124"/>
      <c r="J57" s="124"/>
    </row>
    <row r="58" spans="2:11" ht="14.7" thickBot="1" x14ac:dyDescent="0.55000000000000004">
      <c r="B58" s="34" t="s">
        <v>186</v>
      </c>
      <c r="C58" s="108"/>
      <c r="D58" s="124"/>
      <c r="J58" s="124"/>
    </row>
    <row r="59" spans="2:11" x14ac:dyDescent="0.5">
      <c r="B59" t="s">
        <v>187</v>
      </c>
      <c r="C59" s="108"/>
      <c r="D59" s="154">
        <f>+I9</f>
        <v>6.9375</v>
      </c>
      <c r="J59" s="139">
        <f>+D59*J43</f>
        <v>190099524.54891798</v>
      </c>
    </row>
    <row r="60" spans="2:11" ht="14.7" thickBot="1" x14ac:dyDescent="0.55000000000000004">
      <c r="B60" t="s">
        <v>244</v>
      </c>
      <c r="C60" s="108"/>
      <c r="D60" s="156">
        <f>+H9</f>
        <v>9.2839135687650023E-2</v>
      </c>
      <c r="J60" s="87">
        <f>+K53/($D$60-$C$60)</f>
        <v>195392351.47111613</v>
      </c>
    </row>
    <row r="61" spans="2:11" ht="14.7" thickBot="1" x14ac:dyDescent="0.55000000000000004">
      <c r="B61" s="108" t="s">
        <v>190</v>
      </c>
      <c r="C61" s="108"/>
      <c r="D61" s="124"/>
      <c r="J61" s="157">
        <f>+(J59+J60)/2</f>
        <v>192745938.01001704</v>
      </c>
    </row>
    <row r="62" spans="2:11" ht="15" thickTop="1" thickBot="1" x14ac:dyDescent="0.55000000000000004">
      <c r="B62" t="s">
        <v>192</v>
      </c>
      <c r="C62" s="108"/>
      <c r="D62" s="124"/>
      <c r="J62" s="158">
        <f>+J20+J29</f>
        <v>70000000</v>
      </c>
    </row>
    <row r="63" spans="2:11" x14ac:dyDescent="0.5">
      <c r="B63" t="s">
        <v>194</v>
      </c>
      <c r="D63" s="139"/>
      <c r="J63" s="139">
        <f>+J61-J62</f>
        <v>122745938.01001704</v>
      </c>
    </row>
    <row r="64" spans="2:11" x14ac:dyDescent="0.5">
      <c r="D64" s="124"/>
      <c r="J64" s="124"/>
    </row>
    <row r="65" spans="2:10" ht="14.7" thickBot="1" x14ac:dyDescent="0.55000000000000004">
      <c r="B65" t="s">
        <v>185</v>
      </c>
      <c r="D65" s="171">
        <f>-D8</f>
        <v>-38750000</v>
      </c>
      <c r="E65" s="172">
        <f>+E56+E61-E62</f>
        <v>2274857.1428571418</v>
      </c>
      <c r="F65" s="172">
        <f>+F56+F61-F62</f>
        <v>1985437.1428571418</v>
      </c>
      <c r="G65" s="172">
        <f>+G56+G61-G62</f>
        <v>1851042.3428571429</v>
      </c>
      <c r="H65" s="172">
        <f>+H56+H61-H62</f>
        <v>2650086.8808571417</v>
      </c>
      <c r="I65" s="172">
        <f>+I56+I61-I62</f>
        <v>3038706.8138271458</v>
      </c>
      <c r="J65" s="171">
        <f>+J63+J56</f>
        <v>126512069.69531438</v>
      </c>
    </row>
    <row r="66" spans="2:10" ht="14.7" thickTop="1" x14ac:dyDescent="0.5">
      <c r="D66" s="138"/>
      <c r="E66" s="175" t="s">
        <v>197</v>
      </c>
      <c r="F66" s="175" t="s">
        <v>197</v>
      </c>
      <c r="G66" s="175" t="s">
        <v>197</v>
      </c>
      <c r="H66" s="175" t="s">
        <v>197</v>
      </c>
      <c r="I66" s="175" t="s">
        <v>197</v>
      </c>
      <c r="J66" s="176" t="s">
        <v>197</v>
      </c>
    </row>
    <row r="67" spans="2:10" ht="14.7" thickBot="1" x14ac:dyDescent="0.55000000000000004">
      <c r="B67" s="178" t="s">
        <v>198</v>
      </c>
      <c r="C67" s="178"/>
      <c r="D67" s="179">
        <f>+F8</f>
        <v>0.20003749999999998</v>
      </c>
      <c r="E67" s="180">
        <f>(1/(1+$D67))^1</f>
        <v>0.83330729248044322</v>
      </c>
      <c r="F67" s="180">
        <f>(1/(1+$D67))^2</f>
        <v>0.69440104370108691</v>
      </c>
      <c r="G67" s="180">
        <f>(1/(1+$D67))^3</f>
        <v>0.5786494536221467</v>
      </c>
      <c r="H67" s="180">
        <f>(1/(1+$D67))^4</f>
        <v>0.48219280949315879</v>
      </c>
      <c r="I67" s="180">
        <f>(1/(1+$D67))^5</f>
        <v>0.40181478453228231</v>
      </c>
      <c r="J67" s="180">
        <f>(1/(1+$D67))^6</f>
        <v>0.33483519017720881</v>
      </c>
    </row>
    <row r="68" spans="2:10" ht="14.7" thickBot="1" x14ac:dyDescent="0.55000000000000004">
      <c r="B68" s="178" t="s">
        <v>199</v>
      </c>
      <c r="C68" s="178"/>
      <c r="D68" s="181">
        <f>SUM(E68:J68)</f>
        <v>49204992.389301814</v>
      </c>
      <c r="E68" s="182">
        <f t="shared" ref="E68:J68" si="25">+E67*E65</f>
        <v>1895655.0464940816</v>
      </c>
      <c r="F68" s="182">
        <f t="shared" si="25"/>
        <v>1378689.6242029034</v>
      </c>
      <c r="G68" s="182">
        <f t="shared" si="25"/>
        <v>1071104.6403257442</v>
      </c>
      <c r="H68" s="182">
        <f t="shared" si="25"/>
        <v>1277852.8384814672</v>
      </c>
      <c r="I68" s="182">
        <f t="shared" si="25"/>
        <v>1220997.3236547327</v>
      </c>
      <c r="J68" s="182">
        <f t="shared" si="25"/>
        <v>42360692.916142888</v>
      </c>
    </row>
    <row r="69" spans="2:10" x14ac:dyDescent="0.5">
      <c r="B69" s="178"/>
      <c r="C69" s="178"/>
      <c r="D69" s="178"/>
      <c r="E69" s="182"/>
      <c r="F69" s="182"/>
      <c r="G69" s="182"/>
      <c r="H69" s="182"/>
      <c r="I69" s="182"/>
      <c r="J69" s="182"/>
    </row>
    <row r="70" spans="2:10" x14ac:dyDescent="0.5">
      <c r="B70" s="178" t="s">
        <v>200</v>
      </c>
      <c r="C70" s="178"/>
      <c r="D70" s="184">
        <f>+D65</f>
        <v>-38750000</v>
      </c>
      <c r="E70" s="185"/>
    </row>
    <row r="71" spans="2:10" ht="14.7" thickBot="1" x14ac:dyDescent="0.55000000000000004">
      <c r="B71" s="178" t="s">
        <v>202</v>
      </c>
      <c r="C71" s="178"/>
      <c r="D71" s="150">
        <f>+D68+D70</f>
        <v>10454992.389301814</v>
      </c>
    </row>
    <row r="72" spans="2:10" ht="15" thickTop="1" thickBot="1" x14ac:dyDescent="0.55000000000000004">
      <c r="B72" s="178"/>
      <c r="C72" s="178"/>
      <c r="D72" s="189"/>
      <c r="E72" s="185"/>
    </row>
    <row r="73" spans="2:10" ht="14.7" thickBot="1" x14ac:dyDescent="0.55000000000000004">
      <c r="B73" s="178" t="s">
        <v>195</v>
      </c>
      <c r="C73" s="178"/>
      <c r="D73" s="194">
        <f>IRR(D65:J65)</f>
        <v>0.25312296376182863</v>
      </c>
    </row>
    <row r="74" spans="2:10" x14ac:dyDescent="0.5">
      <c r="J74" t="s">
        <v>247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084E-9B5F-4226-A28A-14E3D2FD5712}">
  <dimension ref="A1:R121"/>
  <sheetViews>
    <sheetView topLeftCell="D50" workbookViewId="0">
      <selection activeCell="J66" sqref="J66"/>
    </sheetView>
  </sheetViews>
  <sheetFormatPr defaultRowHeight="14.35" x14ac:dyDescent="0.5"/>
  <cols>
    <col min="1" max="1" width="3" customWidth="1"/>
    <col min="2" max="2" width="1.1171875" customWidth="1"/>
    <col min="3" max="3" width="34.1171875" customWidth="1"/>
    <col min="4" max="4" width="10.41015625" customWidth="1"/>
    <col min="5" max="5" width="13.703125" customWidth="1"/>
    <col min="6" max="12" width="14.17578125" customWidth="1"/>
    <col min="13" max="13" width="12.29296875" customWidth="1"/>
    <col min="14" max="14" width="13.41015625" customWidth="1"/>
    <col min="15" max="16" width="12.29296875" customWidth="1"/>
    <col min="17" max="17" width="12.703125" customWidth="1"/>
    <col min="18" max="18" width="11" customWidth="1"/>
    <col min="19" max="23" width="12.41015625" customWidth="1"/>
    <col min="256" max="256" width="3" customWidth="1"/>
    <col min="257" max="257" width="1.1171875" customWidth="1"/>
    <col min="258" max="258" width="30.64453125" customWidth="1"/>
    <col min="259" max="259" width="10.41015625" customWidth="1"/>
    <col min="260" max="260" width="13.703125" customWidth="1"/>
    <col min="261" max="261" width="8.29296875" customWidth="1"/>
    <col min="262" max="262" width="9.8203125" customWidth="1"/>
    <col min="263" max="263" width="11.05859375" customWidth="1"/>
    <col min="264" max="264" width="12.1171875" customWidth="1"/>
    <col min="265" max="265" width="8.64453125" customWidth="1"/>
    <col min="266" max="266" width="3" customWidth="1"/>
    <col min="267" max="267" width="13.41015625" customWidth="1"/>
    <col min="268" max="268" width="16.41015625" customWidth="1"/>
    <col min="269" max="269" width="12.29296875" customWidth="1"/>
    <col min="270" max="270" width="13.41015625" customWidth="1"/>
    <col min="271" max="272" width="12.29296875" customWidth="1"/>
    <col min="273" max="273" width="12.703125" customWidth="1"/>
    <col min="274" max="274" width="11" customWidth="1"/>
    <col min="275" max="279" width="12.41015625" customWidth="1"/>
    <col min="512" max="512" width="3" customWidth="1"/>
    <col min="513" max="513" width="1.1171875" customWidth="1"/>
    <col min="514" max="514" width="30.64453125" customWidth="1"/>
    <col min="515" max="515" width="10.41015625" customWidth="1"/>
    <col min="516" max="516" width="13.703125" customWidth="1"/>
    <col min="517" max="517" width="8.29296875" customWidth="1"/>
    <col min="518" max="518" width="9.8203125" customWidth="1"/>
    <col min="519" max="519" width="11.05859375" customWidth="1"/>
    <col min="520" max="520" width="12.1171875" customWidth="1"/>
    <col min="521" max="521" width="8.64453125" customWidth="1"/>
    <col min="522" max="522" width="3" customWidth="1"/>
    <col min="523" max="523" width="13.41015625" customWidth="1"/>
    <col min="524" max="524" width="16.41015625" customWidth="1"/>
    <col min="525" max="525" width="12.29296875" customWidth="1"/>
    <col min="526" max="526" width="13.41015625" customWidth="1"/>
    <col min="527" max="528" width="12.29296875" customWidth="1"/>
    <col min="529" max="529" width="12.703125" customWidth="1"/>
    <col min="530" max="530" width="11" customWidth="1"/>
    <col min="531" max="535" width="12.41015625" customWidth="1"/>
    <col min="768" max="768" width="3" customWidth="1"/>
    <col min="769" max="769" width="1.1171875" customWidth="1"/>
    <col min="770" max="770" width="30.64453125" customWidth="1"/>
    <col min="771" max="771" width="10.41015625" customWidth="1"/>
    <col min="772" max="772" width="13.703125" customWidth="1"/>
    <col min="773" max="773" width="8.29296875" customWidth="1"/>
    <col min="774" max="774" width="9.8203125" customWidth="1"/>
    <col min="775" max="775" width="11.05859375" customWidth="1"/>
    <col min="776" max="776" width="12.1171875" customWidth="1"/>
    <col min="777" max="777" width="8.64453125" customWidth="1"/>
    <col min="778" max="778" width="3" customWidth="1"/>
    <col min="779" max="779" width="13.41015625" customWidth="1"/>
    <col min="780" max="780" width="16.41015625" customWidth="1"/>
    <col min="781" max="781" width="12.29296875" customWidth="1"/>
    <col min="782" max="782" width="13.41015625" customWidth="1"/>
    <col min="783" max="784" width="12.29296875" customWidth="1"/>
    <col min="785" max="785" width="12.703125" customWidth="1"/>
    <col min="786" max="786" width="11" customWidth="1"/>
    <col min="787" max="791" width="12.41015625" customWidth="1"/>
    <col min="1024" max="1024" width="3" customWidth="1"/>
    <col min="1025" max="1025" width="1.1171875" customWidth="1"/>
    <col min="1026" max="1026" width="30.64453125" customWidth="1"/>
    <col min="1027" max="1027" width="10.41015625" customWidth="1"/>
    <col min="1028" max="1028" width="13.703125" customWidth="1"/>
    <col min="1029" max="1029" width="8.29296875" customWidth="1"/>
    <col min="1030" max="1030" width="9.8203125" customWidth="1"/>
    <col min="1031" max="1031" width="11.05859375" customWidth="1"/>
    <col min="1032" max="1032" width="12.1171875" customWidth="1"/>
    <col min="1033" max="1033" width="8.64453125" customWidth="1"/>
    <col min="1034" max="1034" width="3" customWidth="1"/>
    <col min="1035" max="1035" width="13.41015625" customWidth="1"/>
    <col min="1036" max="1036" width="16.41015625" customWidth="1"/>
    <col min="1037" max="1037" width="12.29296875" customWidth="1"/>
    <col min="1038" max="1038" width="13.41015625" customWidth="1"/>
    <col min="1039" max="1040" width="12.29296875" customWidth="1"/>
    <col min="1041" max="1041" width="12.703125" customWidth="1"/>
    <col min="1042" max="1042" width="11" customWidth="1"/>
    <col min="1043" max="1047" width="12.41015625" customWidth="1"/>
    <col min="1280" max="1280" width="3" customWidth="1"/>
    <col min="1281" max="1281" width="1.1171875" customWidth="1"/>
    <col min="1282" max="1282" width="30.64453125" customWidth="1"/>
    <col min="1283" max="1283" width="10.41015625" customWidth="1"/>
    <col min="1284" max="1284" width="13.703125" customWidth="1"/>
    <col min="1285" max="1285" width="8.29296875" customWidth="1"/>
    <col min="1286" max="1286" width="9.8203125" customWidth="1"/>
    <col min="1287" max="1287" width="11.05859375" customWidth="1"/>
    <col min="1288" max="1288" width="12.1171875" customWidth="1"/>
    <col min="1289" max="1289" width="8.64453125" customWidth="1"/>
    <col min="1290" max="1290" width="3" customWidth="1"/>
    <col min="1291" max="1291" width="13.41015625" customWidth="1"/>
    <col min="1292" max="1292" width="16.41015625" customWidth="1"/>
    <col min="1293" max="1293" width="12.29296875" customWidth="1"/>
    <col min="1294" max="1294" width="13.41015625" customWidth="1"/>
    <col min="1295" max="1296" width="12.29296875" customWidth="1"/>
    <col min="1297" max="1297" width="12.703125" customWidth="1"/>
    <col min="1298" max="1298" width="11" customWidth="1"/>
    <col min="1299" max="1303" width="12.41015625" customWidth="1"/>
    <col min="1536" max="1536" width="3" customWidth="1"/>
    <col min="1537" max="1537" width="1.1171875" customWidth="1"/>
    <col min="1538" max="1538" width="30.64453125" customWidth="1"/>
    <col min="1539" max="1539" width="10.41015625" customWidth="1"/>
    <col min="1540" max="1540" width="13.703125" customWidth="1"/>
    <col min="1541" max="1541" width="8.29296875" customWidth="1"/>
    <col min="1542" max="1542" width="9.8203125" customWidth="1"/>
    <col min="1543" max="1543" width="11.05859375" customWidth="1"/>
    <col min="1544" max="1544" width="12.1171875" customWidth="1"/>
    <col min="1545" max="1545" width="8.64453125" customWidth="1"/>
    <col min="1546" max="1546" width="3" customWidth="1"/>
    <col min="1547" max="1547" width="13.41015625" customWidth="1"/>
    <col min="1548" max="1548" width="16.41015625" customWidth="1"/>
    <col min="1549" max="1549" width="12.29296875" customWidth="1"/>
    <col min="1550" max="1550" width="13.41015625" customWidth="1"/>
    <col min="1551" max="1552" width="12.29296875" customWidth="1"/>
    <col min="1553" max="1553" width="12.703125" customWidth="1"/>
    <col min="1554" max="1554" width="11" customWidth="1"/>
    <col min="1555" max="1559" width="12.41015625" customWidth="1"/>
    <col min="1792" max="1792" width="3" customWidth="1"/>
    <col min="1793" max="1793" width="1.1171875" customWidth="1"/>
    <col min="1794" max="1794" width="30.64453125" customWidth="1"/>
    <col min="1795" max="1795" width="10.41015625" customWidth="1"/>
    <col min="1796" max="1796" width="13.703125" customWidth="1"/>
    <col min="1797" max="1797" width="8.29296875" customWidth="1"/>
    <col min="1798" max="1798" width="9.8203125" customWidth="1"/>
    <col min="1799" max="1799" width="11.05859375" customWidth="1"/>
    <col min="1800" max="1800" width="12.1171875" customWidth="1"/>
    <col min="1801" max="1801" width="8.64453125" customWidth="1"/>
    <col min="1802" max="1802" width="3" customWidth="1"/>
    <col min="1803" max="1803" width="13.41015625" customWidth="1"/>
    <col min="1804" max="1804" width="16.41015625" customWidth="1"/>
    <col min="1805" max="1805" width="12.29296875" customWidth="1"/>
    <col min="1806" max="1806" width="13.41015625" customWidth="1"/>
    <col min="1807" max="1808" width="12.29296875" customWidth="1"/>
    <col min="1809" max="1809" width="12.703125" customWidth="1"/>
    <col min="1810" max="1810" width="11" customWidth="1"/>
    <col min="1811" max="1815" width="12.41015625" customWidth="1"/>
    <col min="2048" max="2048" width="3" customWidth="1"/>
    <col min="2049" max="2049" width="1.1171875" customWidth="1"/>
    <col min="2050" max="2050" width="30.64453125" customWidth="1"/>
    <col min="2051" max="2051" width="10.41015625" customWidth="1"/>
    <col min="2052" max="2052" width="13.703125" customWidth="1"/>
    <col min="2053" max="2053" width="8.29296875" customWidth="1"/>
    <col min="2054" max="2054" width="9.8203125" customWidth="1"/>
    <col min="2055" max="2055" width="11.05859375" customWidth="1"/>
    <col min="2056" max="2056" width="12.1171875" customWidth="1"/>
    <col min="2057" max="2057" width="8.64453125" customWidth="1"/>
    <col min="2058" max="2058" width="3" customWidth="1"/>
    <col min="2059" max="2059" width="13.41015625" customWidth="1"/>
    <col min="2060" max="2060" width="16.41015625" customWidth="1"/>
    <col min="2061" max="2061" width="12.29296875" customWidth="1"/>
    <col min="2062" max="2062" width="13.41015625" customWidth="1"/>
    <col min="2063" max="2064" width="12.29296875" customWidth="1"/>
    <col min="2065" max="2065" width="12.703125" customWidth="1"/>
    <col min="2066" max="2066" width="11" customWidth="1"/>
    <col min="2067" max="2071" width="12.41015625" customWidth="1"/>
    <col min="2304" max="2304" width="3" customWidth="1"/>
    <col min="2305" max="2305" width="1.1171875" customWidth="1"/>
    <col min="2306" max="2306" width="30.64453125" customWidth="1"/>
    <col min="2307" max="2307" width="10.41015625" customWidth="1"/>
    <col min="2308" max="2308" width="13.703125" customWidth="1"/>
    <col min="2309" max="2309" width="8.29296875" customWidth="1"/>
    <col min="2310" max="2310" width="9.8203125" customWidth="1"/>
    <col min="2311" max="2311" width="11.05859375" customWidth="1"/>
    <col min="2312" max="2312" width="12.1171875" customWidth="1"/>
    <col min="2313" max="2313" width="8.64453125" customWidth="1"/>
    <col min="2314" max="2314" width="3" customWidth="1"/>
    <col min="2315" max="2315" width="13.41015625" customWidth="1"/>
    <col min="2316" max="2316" width="16.41015625" customWidth="1"/>
    <col min="2317" max="2317" width="12.29296875" customWidth="1"/>
    <col min="2318" max="2318" width="13.41015625" customWidth="1"/>
    <col min="2319" max="2320" width="12.29296875" customWidth="1"/>
    <col min="2321" max="2321" width="12.703125" customWidth="1"/>
    <col min="2322" max="2322" width="11" customWidth="1"/>
    <col min="2323" max="2327" width="12.41015625" customWidth="1"/>
    <col min="2560" max="2560" width="3" customWidth="1"/>
    <col min="2561" max="2561" width="1.1171875" customWidth="1"/>
    <col min="2562" max="2562" width="30.64453125" customWidth="1"/>
    <col min="2563" max="2563" width="10.41015625" customWidth="1"/>
    <col min="2564" max="2564" width="13.703125" customWidth="1"/>
    <col min="2565" max="2565" width="8.29296875" customWidth="1"/>
    <col min="2566" max="2566" width="9.8203125" customWidth="1"/>
    <col min="2567" max="2567" width="11.05859375" customWidth="1"/>
    <col min="2568" max="2568" width="12.1171875" customWidth="1"/>
    <col min="2569" max="2569" width="8.64453125" customWidth="1"/>
    <col min="2570" max="2570" width="3" customWidth="1"/>
    <col min="2571" max="2571" width="13.41015625" customWidth="1"/>
    <col min="2572" max="2572" width="16.41015625" customWidth="1"/>
    <col min="2573" max="2573" width="12.29296875" customWidth="1"/>
    <col min="2574" max="2574" width="13.41015625" customWidth="1"/>
    <col min="2575" max="2576" width="12.29296875" customWidth="1"/>
    <col min="2577" max="2577" width="12.703125" customWidth="1"/>
    <col min="2578" max="2578" width="11" customWidth="1"/>
    <col min="2579" max="2583" width="12.41015625" customWidth="1"/>
    <col min="2816" max="2816" width="3" customWidth="1"/>
    <col min="2817" max="2817" width="1.1171875" customWidth="1"/>
    <col min="2818" max="2818" width="30.64453125" customWidth="1"/>
    <col min="2819" max="2819" width="10.41015625" customWidth="1"/>
    <col min="2820" max="2820" width="13.703125" customWidth="1"/>
    <col min="2821" max="2821" width="8.29296875" customWidth="1"/>
    <col min="2822" max="2822" width="9.8203125" customWidth="1"/>
    <col min="2823" max="2823" width="11.05859375" customWidth="1"/>
    <col min="2824" max="2824" width="12.1171875" customWidth="1"/>
    <col min="2825" max="2825" width="8.64453125" customWidth="1"/>
    <col min="2826" max="2826" width="3" customWidth="1"/>
    <col min="2827" max="2827" width="13.41015625" customWidth="1"/>
    <col min="2828" max="2828" width="16.41015625" customWidth="1"/>
    <col min="2829" max="2829" width="12.29296875" customWidth="1"/>
    <col min="2830" max="2830" width="13.41015625" customWidth="1"/>
    <col min="2831" max="2832" width="12.29296875" customWidth="1"/>
    <col min="2833" max="2833" width="12.703125" customWidth="1"/>
    <col min="2834" max="2834" width="11" customWidth="1"/>
    <col min="2835" max="2839" width="12.41015625" customWidth="1"/>
    <col min="3072" max="3072" width="3" customWidth="1"/>
    <col min="3073" max="3073" width="1.1171875" customWidth="1"/>
    <col min="3074" max="3074" width="30.64453125" customWidth="1"/>
    <col min="3075" max="3075" width="10.41015625" customWidth="1"/>
    <col min="3076" max="3076" width="13.703125" customWidth="1"/>
    <col min="3077" max="3077" width="8.29296875" customWidth="1"/>
    <col min="3078" max="3078" width="9.8203125" customWidth="1"/>
    <col min="3079" max="3079" width="11.05859375" customWidth="1"/>
    <col min="3080" max="3080" width="12.1171875" customWidth="1"/>
    <col min="3081" max="3081" width="8.64453125" customWidth="1"/>
    <col min="3082" max="3082" width="3" customWidth="1"/>
    <col min="3083" max="3083" width="13.41015625" customWidth="1"/>
    <col min="3084" max="3084" width="16.41015625" customWidth="1"/>
    <col min="3085" max="3085" width="12.29296875" customWidth="1"/>
    <col min="3086" max="3086" width="13.41015625" customWidth="1"/>
    <col min="3087" max="3088" width="12.29296875" customWidth="1"/>
    <col min="3089" max="3089" width="12.703125" customWidth="1"/>
    <col min="3090" max="3090" width="11" customWidth="1"/>
    <col min="3091" max="3095" width="12.41015625" customWidth="1"/>
    <col min="3328" max="3328" width="3" customWidth="1"/>
    <col min="3329" max="3329" width="1.1171875" customWidth="1"/>
    <col min="3330" max="3330" width="30.64453125" customWidth="1"/>
    <col min="3331" max="3331" width="10.41015625" customWidth="1"/>
    <col min="3332" max="3332" width="13.703125" customWidth="1"/>
    <col min="3333" max="3333" width="8.29296875" customWidth="1"/>
    <col min="3334" max="3334" width="9.8203125" customWidth="1"/>
    <col min="3335" max="3335" width="11.05859375" customWidth="1"/>
    <col min="3336" max="3336" width="12.1171875" customWidth="1"/>
    <col min="3337" max="3337" width="8.64453125" customWidth="1"/>
    <col min="3338" max="3338" width="3" customWidth="1"/>
    <col min="3339" max="3339" width="13.41015625" customWidth="1"/>
    <col min="3340" max="3340" width="16.41015625" customWidth="1"/>
    <col min="3341" max="3341" width="12.29296875" customWidth="1"/>
    <col min="3342" max="3342" width="13.41015625" customWidth="1"/>
    <col min="3343" max="3344" width="12.29296875" customWidth="1"/>
    <col min="3345" max="3345" width="12.703125" customWidth="1"/>
    <col min="3346" max="3346" width="11" customWidth="1"/>
    <col min="3347" max="3351" width="12.41015625" customWidth="1"/>
    <col min="3584" max="3584" width="3" customWidth="1"/>
    <col min="3585" max="3585" width="1.1171875" customWidth="1"/>
    <col min="3586" max="3586" width="30.64453125" customWidth="1"/>
    <col min="3587" max="3587" width="10.41015625" customWidth="1"/>
    <col min="3588" max="3588" width="13.703125" customWidth="1"/>
    <col min="3589" max="3589" width="8.29296875" customWidth="1"/>
    <col min="3590" max="3590" width="9.8203125" customWidth="1"/>
    <col min="3591" max="3591" width="11.05859375" customWidth="1"/>
    <col min="3592" max="3592" width="12.1171875" customWidth="1"/>
    <col min="3593" max="3593" width="8.64453125" customWidth="1"/>
    <col min="3594" max="3594" width="3" customWidth="1"/>
    <col min="3595" max="3595" width="13.41015625" customWidth="1"/>
    <col min="3596" max="3596" width="16.41015625" customWidth="1"/>
    <col min="3597" max="3597" width="12.29296875" customWidth="1"/>
    <col min="3598" max="3598" width="13.41015625" customWidth="1"/>
    <col min="3599" max="3600" width="12.29296875" customWidth="1"/>
    <col min="3601" max="3601" width="12.703125" customWidth="1"/>
    <col min="3602" max="3602" width="11" customWidth="1"/>
    <col min="3603" max="3607" width="12.41015625" customWidth="1"/>
    <col min="3840" max="3840" width="3" customWidth="1"/>
    <col min="3841" max="3841" width="1.1171875" customWidth="1"/>
    <col min="3842" max="3842" width="30.64453125" customWidth="1"/>
    <col min="3843" max="3843" width="10.41015625" customWidth="1"/>
    <col min="3844" max="3844" width="13.703125" customWidth="1"/>
    <col min="3845" max="3845" width="8.29296875" customWidth="1"/>
    <col min="3846" max="3846" width="9.8203125" customWidth="1"/>
    <col min="3847" max="3847" width="11.05859375" customWidth="1"/>
    <col min="3848" max="3848" width="12.1171875" customWidth="1"/>
    <col min="3849" max="3849" width="8.64453125" customWidth="1"/>
    <col min="3850" max="3850" width="3" customWidth="1"/>
    <col min="3851" max="3851" width="13.41015625" customWidth="1"/>
    <col min="3852" max="3852" width="16.41015625" customWidth="1"/>
    <col min="3853" max="3853" width="12.29296875" customWidth="1"/>
    <col min="3854" max="3854" width="13.41015625" customWidth="1"/>
    <col min="3855" max="3856" width="12.29296875" customWidth="1"/>
    <col min="3857" max="3857" width="12.703125" customWidth="1"/>
    <col min="3858" max="3858" width="11" customWidth="1"/>
    <col min="3859" max="3863" width="12.41015625" customWidth="1"/>
    <col min="4096" max="4096" width="3" customWidth="1"/>
    <col min="4097" max="4097" width="1.1171875" customWidth="1"/>
    <col min="4098" max="4098" width="30.64453125" customWidth="1"/>
    <col min="4099" max="4099" width="10.41015625" customWidth="1"/>
    <col min="4100" max="4100" width="13.703125" customWidth="1"/>
    <col min="4101" max="4101" width="8.29296875" customWidth="1"/>
    <col min="4102" max="4102" width="9.8203125" customWidth="1"/>
    <col min="4103" max="4103" width="11.05859375" customWidth="1"/>
    <col min="4104" max="4104" width="12.1171875" customWidth="1"/>
    <col min="4105" max="4105" width="8.64453125" customWidth="1"/>
    <col min="4106" max="4106" width="3" customWidth="1"/>
    <col min="4107" max="4107" width="13.41015625" customWidth="1"/>
    <col min="4108" max="4108" width="16.41015625" customWidth="1"/>
    <col min="4109" max="4109" width="12.29296875" customWidth="1"/>
    <col min="4110" max="4110" width="13.41015625" customWidth="1"/>
    <col min="4111" max="4112" width="12.29296875" customWidth="1"/>
    <col min="4113" max="4113" width="12.703125" customWidth="1"/>
    <col min="4114" max="4114" width="11" customWidth="1"/>
    <col min="4115" max="4119" width="12.41015625" customWidth="1"/>
    <col min="4352" max="4352" width="3" customWidth="1"/>
    <col min="4353" max="4353" width="1.1171875" customWidth="1"/>
    <col min="4354" max="4354" width="30.64453125" customWidth="1"/>
    <col min="4355" max="4355" width="10.41015625" customWidth="1"/>
    <col min="4356" max="4356" width="13.703125" customWidth="1"/>
    <col min="4357" max="4357" width="8.29296875" customWidth="1"/>
    <col min="4358" max="4358" width="9.8203125" customWidth="1"/>
    <col min="4359" max="4359" width="11.05859375" customWidth="1"/>
    <col min="4360" max="4360" width="12.1171875" customWidth="1"/>
    <col min="4361" max="4361" width="8.64453125" customWidth="1"/>
    <col min="4362" max="4362" width="3" customWidth="1"/>
    <col min="4363" max="4363" width="13.41015625" customWidth="1"/>
    <col min="4364" max="4364" width="16.41015625" customWidth="1"/>
    <col min="4365" max="4365" width="12.29296875" customWidth="1"/>
    <col min="4366" max="4366" width="13.41015625" customWidth="1"/>
    <col min="4367" max="4368" width="12.29296875" customWidth="1"/>
    <col min="4369" max="4369" width="12.703125" customWidth="1"/>
    <col min="4370" max="4370" width="11" customWidth="1"/>
    <col min="4371" max="4375" width="12.41015625" customWidth="1"/>
    <col min="4608" max="4608" width="3" customWidth="1"/>
    <col min="4609" max="4609" width="1.1171875" customWidth="1"/>
    <col min="4610" max="4610" width="30.64453125" customWidth="1"/>
    <col min="4611" max="4611" width="10.41015625" customWidth="1"/>
    <col min="4612" max="4612" width="13.703125" customWidth="1"/>
    <col min="4613" max="4613" width="8.29296875" customWidth="1"/>
    <col min="4614" max="4614" width="9.8203125" customWidth="1"/>
    <col min="4615" max="4615" width="11.05859375" customWidth="1"/>
    <col min="4616" max="4616" width="12.1171875" customWidth="1"/>
    <col min="4617" max="4617" width="8.64453125" customWidth="1"/>
    <col min="4618" max="4618" width="3" customWidth="1"/>
    <col min="4619" max="4619" width="13.41015625" customWidth="1"/>
    <col min="4620" max="4620" width="16.41015625" customWidth="1"/>
    <col min="4621" max="4621" width="12.29296875" customWidth="1"/>
    <col min="4622" max="4622" width="13.41015625" customWidth="1"/>
    <col min="4623" max="4624" width="12.29296875" customWidth="1"/>
    <col min="4625" max="4625" width="12.703125" customWidth="1"/>
    <col min="4626" max="4626" width="11" customWidth="1"/>
    <col min="4627" max="4631" width="12.41015625" customWidth="1"/>
    <col min="4864" max="4864" width="3" customWidth="1"/>
    <col min="4865" max="4865" width="1.1171875" customWidth="1"/>
    <col min="4866" max="4866" width="30.64453125" customWidth="1"/>
    <col min="4867" max="4867" width="10.41015625" customWidth="1"/>
    <col min="4868" max="4868" width="13.703125" customWidth="1"/>
    <col min="4869" max="4869" width="8.29296875" customWidth="1"/>
    <col min="4870" max="4870" width="9.8203125" customWidth="1"/>
    <col min="4871" max="4871" width="11.05859375" customWidth="1"/>
    <col min="4872" max="4872" width="12.1171875" customWidth="1"/>
    <col min="4873" max="4873" width="8.64453125" customWidth="1"/>
    <col min="4874" max="4874" width="3" customWidth="1"/>
    <col min="4875" max="4875" width="13.41015625" customWidth="1"/>
    <col min="4876" max="4876" width="16.41015625" customWidth="1"/>
    <col min="4877" max="4877" width="12.29296875" customWidth="1"/>
    <col min="4878" max="4878" width="13.41015625" customWidth="1"/>
    <col min="4879" max="4880" width="12.29296875" customWidth="1"/>
    <col min="4881" max="4881" width="12.703125" customWidth="1"/>
    <col min="4882" max="4882" width="11" customWidth="1"/>
    <col min="4883" max="4887" width="12.41015625" customWidth="1"/>
    <col min="5120" max="5120" width="3" customWidth="1"/>
    <col min="5121" max="5121" width="1.1171875" customWidth="1"/>
    <col min="5122" max="5122" width="30.64453125" customWidth="1"/>
    <col min="5123" max="5123" width="10.41015625" customWidth="1"/>
    <col min="5124" max="5124" width="13.703125" customWidth="1"/>
    <col min="5125" max="5125" width="8.29296875" customWidth="1"/>
    <col min="5126" max="5126" width="9.8203125" customWidth="1"/>
    <col min="5127" max="5127" width="11.05859375" customWidth="1"/>
    <col min="5128" max="5128" width="12.1171875" customWidth="1"/>
    <col min="5129" max="5129" width="8.64453125" customWidth="1"/>
    <col min="5130" max="5130" width="3" customWidth="1"/>
    <col min="5131" max="5131" width="13.41015625" customWidth="1"/>
    <col min="5132" max="5132" width="16.41015625" customWidth="1"/>
    <col min="5133" max="5133" width="12.29296875" customWidth="1"/>
    <col min="5134" max="5134" width="13.41015625" customWidth="1"/>
    <col min="5135" max="5136" width="12.29296875" customWidth="1"/>
    <col min="5137" max="5137" width="12.703125" customWidth="1"/>
    <col min="5138" max="5138" width="11" customWidth="1"/>
    <col min="5139" max="5143" width="12.41015625" customWidth="1"/>
    <col min="5376" max="5376" width="3" customWidth="1"/>
    <col min="5377" max="5377" width="1.1171875" customWidth="1"/>
    <col min="5378" max="5378" width="30.64453125" customWidth="1"/>
    <col min="5379" max="5379" width="10.41015625" customWidth="1"/>
    <col min="5380" max="5380" width="13.703125" customWidth="1"/>
    <col min="5381" max="5381" width="8.29296875" customWidth="1"/>
    <col min="5382" max="5382" width="9.8203125" customWidth="1"/>
    <col min="5383" max="5383" width="11.05859375" customWidth="1"/>
    <col min="5384" max="5384" width="12.1171875" customWidth="1"/>
    <col min="5385" max="5385" width="8.64453125" customWidth="1"/>
    <col min="5386" max="5386" width="3" customWidth="1"/>
    <col min="5387" max="5387" width="13.41015625" customWidth="1"/>
    <col min="5388" max="5388" width="16.41015625" customWidth="1"/>
    <col min="5389" max="5389" width="12.29296875" customWidth="1"/>
    <col min="5390" max="5390" width="13.41015625" customWidth="1"/>
    <col min="5391" max="5392" width="12.29296875" customWidth="1"/>
    <col min="5393" max="5393" width="12.703125" customWidth="1"/>
    <col min="5394" max="5394" width="11" customWidth="1"/>
    <col min="5395" max="5399" width="12.41015625" customWidth="1"/>
    <col min="5632" max="5632" width="3" customWidth="1"/>
    <col min="5633" max="5633" width="1.1171875" customWidth="1"/>
    <col min="5634" max="5634" width="30.64453125" customWidth="1"/>
    <col min="5635" max="5635" width="10.41015625" customWidth="1"/>
    <col min="5636" max="5636" width="13.703125" customWidth="1"/>
    <col min="5637" max="5637" width="8.29296875" customWidth="1"/>
    <col min="5638" max="5638" width="9.8203125" customWidth="1"/>
    <col min="5639" max="5639" width="11.05859375" customWidth="1"/>
    <col min="5640" max="5640" width="12.1171875" customWidth="1"/>
    <col min="5641" max="5641" width="8.64453125" customWidth="1"/>
    <col min="5642" max="5642" width="3" customWidth="1"/>
    <col min="5643" max="5643" width="13.41015625" customWidth="1"/>
    <col min="5644" max="5644" width="16.41015625" customWidth="1"/>
    <col min="5645" max="5645" width="12.29296875" customWidth="1"/>
    <col min="5646" max="5646" width="13.41015625" customWidth="1"/>
    <col min="5647" max="5648" width="12.29296875" customWidth="1"/>
    <col min="5649" max="5649" width="12.703125" customWidth="1"/>
    <col min="5650" max="5650" width="11" customWidth="1"/>
    <col min="5651" max="5655" width="12.41015625" customWidth="1"/>
    <col min="5888" max="5888" width="3" customWidth="1"/>
    <col min="5889" max="5889" width="1.1171875" customWidth="1"/>
    <col min="5890" max="5890" width="30.64453125" customWidth="1"/>
    <col min="5891" max="5891" width="10.41015625" customWidth="1"/>
    <col min="5892" max="5892" width="13.703125" customWidth="1"/>
    <col min="5893" max="5893" width="8.29296875" customWidth="1"/>
    <col min="5894" max="5894" width="9.8203125" customWidth="1"/>
    <col min="5895" max="5895" width="11.05859375" customWidth="1"/>
    <col min="5896" max="5896" width="12.1171875" customWidth="1"/>
    <col min="5897" max="5897" width="8.64453125" customWidth="1"/>
    <col min="5898" max="5898" width="3" customWidth="1"/>
    <col min="5899" max="5899" width="13.41015625" customWidth="1"/>
    <col min="5900" max="5900" width="16.41015625" customWidth="1"/>
    <col min="5901" max="5901" width="12.29296875" customWidth="1"/>
    <col min="5902" max="5902" width="13.41015625" customWidth="1"/>
    <col min="5903" max="5904" width="12.29296875" customWidth="1"/>
    <col min="5905" max="5905" width="12.703125" customWidth="1"/>
    <col min="5906" max="5906" width="11" customWidth="1"/>
    <col min="5907" max="5911" width="12.41015625" customWidth="1"/>
    <col min="6144" max="6144" width="3" customWidth="1"/>
    <col min="6145" max="6145" width="1.1171875" customWidth="1"/>
    <col min="6146" max="6146" width="30.64453125" customWidth="1"/>
    <col min="6147" max="6147" width="10.41015625" customWidth="1"/>
    <col min="6148" max="6148" width="13.703125" customWidth="1"/>
    <col min="6149" max="6149" width="8.29296875" customWidth="1"/>
    <col min="6150" max="6150" width="9.8203125" customWidth="1"/>
    <col min="6151" max="6151" width="11.05859375" customWidth="1"/>
    <col min="6152" max="6152" width="12.1171875" customWidth="1"/>
    <col min="6153" max="6153" width="8.64453125" customWidth="1"/>
    <col min="6154" max="6154" width="3" customWidth="1"/>
    <col min="6155" max="6155" width="13.41015625" customWidth="1"/>
    <col min="6156" max="6156" width="16.41015625" customWidth="1"/>
    <col min="6157" max="6157" width="12.29296875" customWidth="1"/>
    <col min="6158" max="6158" width="13.41015625" customWidth="1"/>
    <col min="6159" max="6160" width="12.29296875" customWidth="1"/>
    <col min="6161" max="6161" width="12.703125" customWidth="1"/>
    <col min="6162" max="6162" width="11" customWidth="1"/>
    <col min="6163" max="6167" width="12.41015625" customWidth="1"/>
    <col min="6400" max="6400" width="3" customWidth="1"/>
    <col min="6401" max="6401" width="1.1171875" customWidth="1"/>
    <col min="6402" max="6402" width="30.64453125" customWidth="1"/>
    <col min="6403" max="6403" width="10.41015625" customWidth="1"/>
    <col min="6404" max="6404" width="13.703125" customWidth="1"/>
    <col min="6405" max="6405" width="8.29296875" customWidth="1"/>
    <col min="6406" max="6406" width="9.8203125" customWidth="1"/>
    <col min="6407" max="6407" width="11.05859375" customWidth="1"/>
    <col min="6408" max="6408" width="12.1171875" customWidth="1"/>
    <col min="6409" max="6409" width="8.64453125" customWidth="1"/>
    <col min="6410" max="6410" width="3" customWidth="1"/>
    <col min="6411" max="6411" width="13.41015625" customWidth="1"/>
    <col min="6412" max="6412" width="16.41015625" customWidth="1"/>
    <col min="6413" max="6413" width="12.29296875" customWidth="1"/>
    <col min="6414" max="6414" width="13.41015625" customWidth="1"/>
    <col min="6415" max="6416" width="12.29296875" customWidth="1"/>
    <col min="6417" max="6417" width="12.703125" customWidth="1"/>
    <col min="6418" max="6418" width="11" customWidth="1"/>
    <col min="6419" max="6423" width="12.41015625" customWidth="1"/>
    <col min="6656" max="6656" width="3" customWidth="1"/>
    <col min="6657" max="6657" width="1.1171875" customWidth="1"/>
    <col min="6658" max="6658" width="30.64453125" customWidth="1"/>
    <col min="6659" max="6659" width="10.41015625" customWidth="1"/>
    <col min="6660" max="6660" width="13.703125" customWidth="1"/>
    <col min="6661" max="6661" width="8.29296875" customWidth="1"/>
    <col min="6662" max="6662" width="9.8203125" customWidth="1"/>
    <col min="6663" max="6663" width="11.05859375" customWidth="1"/>
    <col min="6664" max="6664" width="12.1171875" customWidth="1"/>
    <col min="6665" max="6665" width="8.64453125" customWidth="1"/>
    <col min="6666" max="6666" width="3" customWidth="1"/>
    <col min="6667" max="6667" width="13.41015625" customWidth="1"/>
    <col min="6668" max="6668" width="16.41015625" customWidth="1"/>
    <col min="6669" max="6669" width="12.29296875" customWidth="1"/>
    <col min="6670" max="6670" width="13.41015625" customWidth="1"/>
    <col min="6671" max="6672" width="12.29296875" customWidth="1"/>
    <col min="6673" max="6673" width="12.703125" customWidth="1"/>
    <col min="6674" max="6674" width="11" customWidth="1"/>
    <col min="6675" max="6679" width="12.41015625" customWidth="1"/>
    <col min="6912" max="6912" width="3" customWidth="1"/>
    <col min="6913" max="6913" width="1.1171875" customWidth="1"/>
    <col min="6914" max="6914" width="30.64453125" customWidth="1"/>
    <col min="6915" max="6915" width="10.41015625" customWidth="1"/>
    <col min="6916" max="6916" width="13.703125" customWidth="1"/>
    <col min="6917" max="6917" width="8.29296875" customWidth="1"/>
    <col min="6918" max="6918" width="9.8203125" customWidth="1"/>
    <col min="6919" max="6919" width="11.05859375" customWidth="1"/>
    <col min="6920" max="6920" width="12.1171875" customWidth="1"/>
    <col min="6921" max="6921" width="8.64453125" customWidth="1"/>
    <col min="6922" max="6922" width="3" customWidth="1"/>
    <col min="6923" max="6923" width="13.41015625" customWidth="1"/>
    <col min="6924" max="6924" width="16.41015625" customWidth="1"/>
    <col min="6925" max="6925" width="12.29296875" customWidth="1"/>
    <col min="6926" max="6926" width="13.41015625" customWidth="1"/>
    <col min="6927" max="6928" width="12.29296875" customWidth="1"/>
    <col min="6929" max="6929" width="12.703125" customWidth="1"/>
    <col min="6930" max="6930" width="11" customWidth="1"/>
    <col min="6931" max="6935" width="12.41015625" customWidth="1"/>
    <col min="7168" max="7168" width="3" customWidth="1"/>
    <col min="7169" max="7169" width="1.1171875" customWidth="1"/>
    <col min="7170" max="7170" width="30.64453125" customWidth="1"/>
    <col min="7171" max="7171" width="10.41015625" customWidth="1"/>
    <col min="7172" max="7172" width="13.703125" customWidth="1"/>
    <col min="7173" max="7173" width="8.29296875" customWidth="1"/>
    <col min="7174" max="7174" width="9.8203125" customWidth="1"/>
    <col min="7175" max="7175" width="11.05859375" customWidth="1"/>
    <col min="7176" max="7176" width="12.1171875" customWidth="1"/>
    <col min="7177" max="7177" width="8.64453125" customWidth="1"/>
    <col min="7178" max="7178" width="3" customWidth="1"/>
    <col min="7179" max="7179" width="13.41015625" customWidth="1"/>
    <col min="7180" max="7180" width="16.41015625" customWidth="1"/>
    <col min="7181" max="7181" width="12.29296875" customWidth="1"/>
    <col min="7182" max="7182" width="13.41015625" customWidth="1"/>
    <col min="7183" max="7184" width="12.29296875" customWidth="1"/>
    <col min="7185" max="7185" width="12.703125" customWidth="1"/>
    <col min="7186" max="7186" width="11" customWidth="1"/>
    <col min="7187" max="7191" width="12.41015625" customWidth="1"/>
    <col min="7424" max="7424" width="3" customWidth="1"/>
    <col min="7425" max="7425" width="1.1171875" customWidth="1"/>
    <col min="7426" max="7426" width="30.64453125" customWidth="1"/>
    <col min="7427" max="7427" width="10.41015625" customWidth="1"/>
    <col min="7428" max="7428" width="13.703125" customWidth="1"/>
    <col min="7429" max="7429" width="8.29296875" customWidth="1"/>
    <col min="7430" max="7430" width="9.8203125" customWidth="1"/>
    <col min="7431" max="7431" width="11.05859375" customWidth="1"/>
    <col min="7432" max="7432" width="12.1171875" customWidth="1"/>
    <col min="7433" max="7433" width="8.64453125" customWidth="1"/>
    <col min="7434" max="7434" width="3" customWidth="1"/>
    <col min="7435" max="7435" width="13.41015625" customWidth="1"/>
    <col min="7436" max="7436" width="16.41015625" customWidth="1"/>
    <col min="7437" max="7437" width="12.29296875" customWidth="1"/>
    <col min="7438" max="7438" width="13.41015625" customWidth="1"/>
    <col min="7439" max="7440" width="12.29296875" customWidth="1"/>
    <col min="7441" max="7441" width="12.703125" customWidth="1"/>
    <col min="7442" max="7442" width="11" customWidth="1"/>
    <col min="7443" max="7447" width="12.41015625" customWidth="1"/>
    <col min="7680" max="7680" width="3" customWidth="1"/>
    <col min="7681" max="7681" width="1.1171875" customWidth="1"/>
    <col min="7682" max="7682" width="30.64453125" customWidth="1"/>
    <col min="7683" max="7683" width="10.41015625" customWidth="1"/>
    <col min="7684" max="7684" width="13.703125" customWidth="1"/>
    <col min="7685" max="7685" width="8.29296875" customWidth="1"/>
    <col min="7686" max="7686" width="9.8203125" customWidth="1"/>
    <col min="7687" max="7687" width="11.05859375" customWidth="1"/>
    <col min="7688" max="7688" width="12.1171875" customWidth="1"/>
    <col min="7689" max="7689" width="8.64453125" customWidth="1"/>
    <col min="7690" max="7690" width="3" customWidth="1"/>
    <col min="7691" max="7691" width="13.41015625" customWidth="1"/>
    <col min="7692" max="7692" width="16.41015625" customWidth="1"/>
    <col min="7693" max="7693" width="12.29296875" customWidth="1"/>
    <col min="7694" max="7694" width="13.41015625" customWidth="1"/>
    <col min="7695" max="7696" width="12.29296875" customWidth="1"/>
    <col min="7697" max="7697" width="12.703125" customWidth="1"/>
    <col min="7698" max="7698" width="11" customWidth="1"/>
    <col min="7699" max="7703" width="12.41015625" customWidth="1"/>
    <col min="7936" max="7936" width="3" customWidth="1"/>
    <col min="7937" max="7937" width="1.1171875" customWidth="1"/>
    <col min="7938" max="7938" width="30.64453125" customWidth="1"/>
    <col min="7939" max="7939" width="10.41015625" customWidth="1"/>
    <col min="7940" max="7940" width="13.703125" customWidth="1"/>
    <col min="7941" max="7941" width="8.29296875" customWidth="1"/>
    <col min="7942" max="7942" width="9.8203125" customWidth="1"/>
    <col min="7943" max="7943" width="11.05859375" customWidth="1"/>
    <col min="7944" max="7944" width="12.1171875" customWidth="1"/>
    <col min="7945" max="7945" width="8.64453125" customWidth="1"/>
    <col min="7946" max="7946" width="3" customWidth="1"/>
    <col min="7947" max="7947" width="13.41015625" customWidth="1"/>
    <col min="7948" max="7948" width="16.41015625" customWidth="1"/>
    <col min="7949" max="7949" width="12.29296875" customWidth="1"/>
    <col min="7950" max="7950" width="13.41015625" customWidth="1"/>
    <col min="7951" max="7952" width="12.29296875" customWidth="1"/>
    <col min="7953" max="7953" width="12.703125" customWidth="1"/>
    <col min="7954" max="7954" width="11" customWidth="1"/>
    <col min="7955" max="7959" width="12.41015625" customWidth="1"/>
    <col min="8192" max="8192" width="3" customWidth="1"/>
    <col min="8193" max="8193" width="1.1171875" customWidth="1"/>
    <col min="8194" max="8194" width="30.64453125" customWidth="1"/>
    <col min="8195" max="8195" width="10.41015625" customWidth="1"/>
    <col min="8196" max="8196" width="13.703125" customWidth="1"/>
    <col min="8197" max="8197" width="8.29296875" customWidth="1"/>
    <col min="8198" max="8198" width="9.8203125" customWidth="1"/>
    <col min="8199" max="8199" width="11.05859375" customWidth="1"/>
    <col min="8200" max="8200" width="12.1171875" customWidth="1"/>
    <col min="8201" max="8201" width="8.64453125" customWidth="1"/>
    <col min="8202" max="8202" width="3" customWidth="1"/>
    <col min="8203" max="8203" width="13.41015625" customWidth="1"/>
    <col min="8204" max="8204" width="16.41015625" customWidth="1"/>
    <col min="8205" max="8205" width="12.29296875" customWidth="1"/>
    <col min="8206" max="8206" width="13.41015625" customWidth="1"/>
    <col min="8207" max="8208" width="12.29296875" customWidth="1"/>
    <col min="8209" max="8209" width="12.703125" customWidth="1"/>
    <col min="8210" max="8210" width="11" customWidth="1"/>
    <col min="8211" max="8215" width="12.41015625" customWidth="1"/>
    <col min="8448" max="8448" width="3" customWidth="1"/>
    <col min="8449" max="8449" width="1.1171875" customWidth="1"/>
    <col min="8450" max="8450" width="30.64453125" customWidth="1"/>
    <col min="8451" max="8451" width="10.41015625" customWidth="1"/>
    <col min="8452" max="8452" width="13.703125" customWidth="1"/>
    <col min="8453" max="8453" width="8.29296875" customWidth="1"/>
    <col min="8454" max="8454" width="9.8203125" customWidth="1"/>
    <col min="8455" max="8455" width="11.05859375" customWidth="1"/>
    <col min="8456" max="8456" width="12.1171875" customWidth="1"/>
    <col min="8457" max="8457" width="8.64453125" customWidth="1"/>
    <col min="8458" max="8458" width="3" customWidth="1"/>
    <col min="8459" max="8459" width="13.41015625" customWidth="1"/>
    <col min="8460" max="8460" width="16.41015625" customWidth="1"/>
    <col min="8461" max="8461" width="12.29296875" customWidth="1"/>
    <col min="8462" max="8462" width="13.41015625" customWidth="1"/>
    <col min="8463" max="8464" width="12.29296875" customWidth="1"/>
    <col min="8465" max="8465" width="12.703125" customWidth="1"/>
    <col min="8466" max="8466" width="11" customWidth="1"/>
    <col min="8467" max="8471" width="12.41015625" customWidth="1"/>
    <col min="8704" max="8704" width="3" customWidth="1"/>
    <col min="8705" max="8705" width="1.1171875" customWidth="1"/>
    <col min="8706" max="8706" width="30.64453125" customWidth="1"/>
    <col min="8707" max="8707" width="10.41015625" customWidth="1"/>
    <col min="8708" max="8708" width="13.703125" customWidth="1"/>
    <col min="8709" max="8709" width="8.29296875" customWidth="1"/>
    <col min="8710" max="8710" width="9.8203125" customWidth="1"/>
    <col min="8711" max="8711" width="11.05859375" customWidth="1"/>
    <col min="8712" max="8712" width="12.1171875" customWidth="1"/>
    <col min="8713" max="8713" width="8.64453125" customWidth="1"/>
    <col min="8714" max="8714" width="3" customWidth="1"/>
    <col min="8715" max="8715" width="13.41015625" customWidth="1"/>
    <col min="8716" max="8716" width="16.41015625" customWidth="1"/>
    <col min="8717" max="8717" width="12.29296875" customWidth="1"/>
    <col min="8718" max="8718" width="13.41015625" customWidth="1"/>
    <col min="8719" max="8720" width="12.29296875" customWidth="1"/>
    <col min="8721" max="8721" width="12.703125" customWidth="1"/>
    <col min="8722" max="8722" width="11" customWidth="1"/>
    <col min="8723" max="8727" width="12.41015625" customWidth="1"/>
    <col min="8960" max="8960" width="3" customWidth="1"/>
    <col min="8961" max="8961" width="1.1171875" customWidth="1"/>
    <col min="8962" max="8962" width="30.64453125" customWidth="1"/>
    <col min="8963" max="8963" width="10.41015625" customWidth="1"/>
    <col min="8964" max="8964" width="13.703125" customWidth="1"/>
    <col min="8965" max="8965" width="8.29296875" customWidth="1"/>
    <col min="8966" max="8966" width="9.8203125" customWidth="1"/>
    <col min="8967" max="8967" width="11.05859375" customWidth="1"/>
    <col min="8968" max="8968" width="12.1171875" customWidth="1"/>
    <col min="8969" max="8969" width="8.64453125" customWidth="1"/>
    <col min="8970" max="8970" width="3" customWidth="1"/>
    <col min="8971" max="8971" width="13.41015625" customWidth="1"/>
    <col min="8972" max="8972" width="16.41015625" customWidth="1"/>
    <col min="8973" max="8973" width="12.29296875" customWidth="1"/>
    <col min="8974" max="8974" width="13.41015625" customWidth="1"/>
    <col min="8975" max="8976" width="12.29296875" customWidth="1"/>
    <col min="8977" max="8977" width="12.703125" customWidth="1"/>
    <col min="8978" max="8978" width="11" customWidth="1"/>
    <col min="8979" max="8983" width="12.41015625" customWidth="1"/>
    <col min="9216" max="9216" width="3" customWidth="1"/>
    <col min="9217" max="9217" width="1.1171875" customWidth="1"/>
    <col min="9218" max="9218" width="30.64453125" customWidth="1"/>
    <col min="9219" max="9219" width="10.41015625" customWidth="1"/>
    <col min="9220" max="9220" width="13.703125" customWidth="1"/>
    <col min="9221" max="9221" width="8.29296875" customWidth="1"/>
    <col min="9222" max="9222" width="9.8203125" customWidth="1"/>
    <col min="9223" max="9223" width="11.05859375" customWidth="1"/>
    <col min="9224" max="9224" width="12.1171875" customWidth="1"/>
    <col min="9225" max="9225" width="8.64453125" customWidth="1"/>
    <col min="9226" max="9226" width="3" customWidth="1"/>
    <col min="9227" max="9227" width="13.41015625" customWidth="1"/>
    <col min="9228" max="9228" width="16.41015625" customWidth="1"/>
    <col min="9229" max="9229" width="12.29296875" customWidth="1"/>
    <col min="9230" max="9230" width="13.41015625" customWidth="1"/>
    <col min="9231" max="9232" width="12.29296875" customWidth="1"/>
    <col min="9233" max="9233" width="12.703125" customWidth="1"/>
    <col min="9234" max="9234" width="11" customWidth="1"/>
    <col min="9235" max="9239" width="12.41015625" customWidth="1"/>
    <col min="9472" max="9472" width="3" customWidth="1"/>
    <col min="9473" max="9473" width="1.1171875" customWidth="1"/>
    <col min="9474" max="9474" width="30.64453125" customWidth="1"/>
    <col min="9475" max="9475" width="10.41015625" customWidth="1"/>
    <col min="9476" max="9476" width="13.703125" customWidth="1"/>
    <col min="9477" max="9477" width="8.29296875" customWidth="1"/>
    <col min="9478" max="9478" width="9.8203125" customWidth="1"/>
    <col min="9479" max="9479" width="11.05859375" customWidth="1"/>
    <col min="9480" max="9480" width="12.1171875" customWidth="1"/>
    <col min="9481" max="9481" width="8.64453125" customWidth="1"/>
    <col min="9482" max="9482" width="3" customWidth="1"/>
    <col min="9483" max="9483" width="13.41015625" customWidth="1"/>
    <col min="9484" max="9484" width="16.41015625" customWidth="1"/>
    <col min="9485" max="9485" width="12.29296875" customWidth="1"/>
    <col min="9486" max="9486" width="13.41015625" customWidth="1"/>
    <col min="9487" max="9488" width="12.29296875" customWidth="1"/>
    <col min="9489" max="9489" width="12.703125" customWidth="1"/>
    <col min="9490" max="9490" width="11" customWidth="1"/>
    <col min="9491" max="9495" width="12.41015625" customWidth="1"/>
    <col min="9728" max="9728" width="3" customWidth="1"/>
    <col min="9729" max="9729" width="1.1171875" customWidth="1"/>
    <col min="9730" max="9730" width="30.64453125" customWidth="1"/>
    <col min="9731" max="9731" width="10.41015625" customWidth="1"/>
    <col min="9732" max="9732" width="13.703125" customWidth="1"/>
    <col min="9733" max="9733" width="8.29296875" customWidth="1"/>
    <col min="9734" max="9734" width="9.8203125" customWidth="1"/>
    <col min="9735" max="9735" width="11.05859375" customWidth="1"/>
    <col min="9736" max="9736" width="12.1171875" customWidth="1"/>
    <col min="9737" max="9737" width="8.64453125" customWidth="1"/>
    <col min="9738" max="9738" width="3" customWidth="1"/>
    <col min="9739" max="9739" width="13.41015625" customWidth="1"/>
    <col min="9740" max="9740" width="16.41015625" customWidth="1"/>
    <col min="9741" max="9741" width="12.29296875" customWidth="1"/>
    <col min="9742" max="9742" width="13.41015625" customWidth="1"/>
    <col min="9743" max="9744" width="12.29296875" customWidth="1"/>
    <col min="9745" max="9745" width="12.703125" customWidth="1"/>
    <col min="9746" max="9746" width="11" customWidth="1"/>
    <col min="9747" max="9751" width="12.41015625" customWidth="1"/>
    <col min="9984" max="9984" width="3" customWidth="1"/>
    <col min="9985" max="9985" width="1.1171875" customWidth="1"/>
    <col min="9986" max="9986" width="30.64453125" customWidth="1"/>
    <col min="9987" max="9987" width="10.41015625" customWidth="1"/>
    <col min="9988" max="9988" width="13.703125" customWidth="1"/>
    <col min="9989" max="9989" width="8.29296875" customWidth="1"/>
    <col min="9990" max="9990" width="9.8203125" customWidth="1"/>
    <col min="9991" max="9991" width="11.05859375" customWidth="1"/>
    <col min="9992" max="9992" width="12.1171875" customWidth="1"/>
    <col min="9993" max="9993" width="8.64453125" customWidth="1"/>
    <col min="9994" max="9994" width="3" customWidth="1"/>
    <col min="9995" max="9995" width="13.41015625" customWidth="1"/>
    <col min="9996" max="9996" width="16.41015625" customWidth="1"/>
    <col min="9997" max="9997" width="12.29296875" customWidth="1"/>
    <col min="9998" max="9998" width="13.41015625" customWidth="1"/>
    <col min="9999" max="10000" width="12.29296875" customWidth="1"/>
    <col min="10001" max="10001" width="12.703125" customWidth="1"/>
    <col min="10002" max="10002" width="11" customWidth="1"/>
    <col min="10003" max="10007" width="12.41015625" customWidth="1"/>
    <col min="10240" max="10240" width="3" customWidth="1"/>
    <col min="10241" max="10241" width="1.1171875" customWidth="1"/>
    <col min="10242" max="10242" width="30.64453125" customWidth="1"/>
    <col min="10243" max="10243" width="10.41015625" customWidth="1"/>
    <col min="10244" max="10244" width="13.703125" customWidth="1"/>
    <col min="10245" max="10245" width="8.29296875" customWidth="1"/>
    <col min="10246" max="10246" width="9.8203125" customWidth="1"/>
    <col min="10247" max="10247" width="11.05859375" customWidth="1"/>
    <col min="10248" max="10248" width="12.1171875" customWidth="1"/>
    <col min="10249" max="10249" width="8.64453125" customWidth="1"/>
    <col min="10250" max="10250" width="3" customWidth="1"/>
    <col min="10251" max="10251" width="13.41015625" customWidth="1"/>
    <col min="10252" max="10252" width="16.41015625" customWidth="1"/>
    <col min="10253" max="10253" width="12.29296875" customWidth="1"/>
    <col min="10254" max="10254" width="13.41015625" customWidth="1"/>
    <col min="10255" max="10256" width="12.29296875" customWidth="1"/>
    <col min="10257" max="10257" width="12.703125" customWidth="1"/>
    <col min="10258" max="10258" width="11" customWidth="1"/>
    <col min="10259" max="10263" width="12.41015625" customWidth="1"/>
    <col min="10496" max="10496" width="3" customWidth="1"/>
    <col min="10497" max="10497" width="1.1171875" customWidth="1"/>
    <col min="10498" max="10498" width="30.64453125" customWidth="1"/>
    <col min="10499" max="10499" width="10.41015625" customWidth="1"/>
    <col min="10500" max="10500" width="13.703125" customWidth="1"/>
    <col min="10501" max="10501" width="8.29296875" customWidth="1"/>
    <col min="10502" max="10502" width="9.8203125" customWidth="1"/>
    <col min="10503" max="10503" width="11.05859375" customWidth="1"/>
    <col min="10504" max="10504" width="12.1171875" customWidth="1"/>
    <col min="10505" max="10505" width="8.64453125" customWidth="1"/>
    <col min="10506" max="10506" width="3" customWidth="1"/>
    <col min="10507" max="10507" width="13.41015625" customWidth="1"/>
    <col min="10508" max="10508" width="16.41015625" customWidth="1"/>
    <col min="10509" max="10509" width="12.29296875" customWidth="1"/>
    <col min="10510" max="10510" width="13.41015625" customWidth="1"/>
    <col min="10511" max="10512" width="12.29296875" customWidth="1"/>
    <col min="10513" max="10513" width="12.703125" customWidth="1"/>
    <col min="10514" max="10514" width="11" customWidth="1"/>
    <col min="10515" max="10519" width="12.41015625" customWidth="1"/>
    <col min="10752" max="10752" width="3" customWidth="1"/>
    <col min="10753" max="10753" width="1.1171875" customWidth="1"/>
    <col min="10754" max="10754" width="30.64453125" customWidth="1"/>
    <col min="10755" max="10755" width="10.41015625" customWidth="1"/>
    <col min="10756" max="10756" width="13.703125" customWidth="1"/>
    <col min="10757" max="10757" width="8.29296875" customWidth="1"/>
    <col min="10758" max="10758" width="9.8203125" customWidth="1"/>
    <col min="10759" max="10759" width="11.05859375" customWidth="1"/>
    <col min="10760" max="10760" width="12.1171875" customWidth="1"/>
    <col min="10761" max="10761" width="8.64453125" customWidth="1"/>
    <col min="10762" max="10762" width="3" customWidth="1"/>
    <col min="10763" max="10763" width="13.41015625" customWidth="1"/>
    <col min="10764" max="10764" width="16.41015625" customWidth="1"/>
    <col min="10765" max="10765" width="12.29296875" customWidth="1"/>
    <col min="10766" max="10766" width="13.41015625" customWidth="1"/>
    <col min="10767" max="10768" width="12.29296875" customWidth="1"/>
    <col min="10769" max="10769" width="12.703125" customWidth="1"/>
    <col min="10770" max="10770" width="11" customWidth="1"/>
    <col min="10771" max="10775" width="12.41015625" customWidth="1"/>
    <col min="11008" max="11008" width="3" customWidth="1"/>
    <col min="11009" max="11009" width="1.1171875" customWidth="1"/>
    <col min="11010" max="11010" width="30.64453125" customWidth="1"/>
    <col min="11011" max="11011" width="10.41015625" customWidth="1"/>
    <col min="11012" max="11012" width="13.703125" customWidth="1"/>
    <col min="11013" max="11013" width="8.29296875" customWidth="1"/>
    <col min="11014" max="11014" width="9.8203125" customWidth="1"/>
    <col min="11015" max="11015" width="11.05859375" customWidth="1"/>
    <col min="11016" max="11016" width="12.1171875" customWidth="1"/>
    <col min="11017" max="11017" width="8.64453125" customWidth="1"/>
    <col min="11018" max="11018" width="3" customWidth="1"/>
    <col min="11019" max="11019" width="13.41015625" customWidth="1"/>
    <col min="11020" max="11020" width="16.41015625" customWidth="1"/>
    <col min="11021" max="11021" width="12.29296875" customWidth="1"/>
    <col min="11022" max="11022" width="13.41015625" customWidth="1"/>
    <col min="11023" max="11024" width="12.29296875" customWidth="1"/>
    <col min="11025" max="11025" width="12.703125" customWidth="1"/>
    <col min="11026" max="11026" width="11" customWidth="1"/>
    <col min="11027" max="11031" width="12.41015625" customWidth="1"/>
    <col min="11264" max="11264" width="3" customWidth="1"/>
    <col min="11265" max="11265" width="1.1171875" customWidth="1"/>
    <col min="11266" max="11266" width="30.64453125" customWidth="1"/>
    <col min="11267" max="11267" width="10.41015625" customWidth="1"/>
    <col min="11268" max="11268" width="13.703125" customWidth="1"/>
    <col min="11269" max="11269" width="8.29296875" customWidth="1"/>
    <col min="11270" max="11270" width="9.8203125" customWidth="1"/>
    <col min="11271" max="11271" width="11.05859375" customWidth="1"/>
    <col min="11272" max="11272" width="12.1171875" customWidth="1"/>
    <col min="11273" max="11273" width="8.64453125" customWidth="1"/>
    <col min="11274" max="11274" width="3" customWidth="1"/>
    <col min="11275" max="11275" width="13.41015625" customWidth="1"/>
    <col min="11276" max="11276" width="16.41015625" customWidth="1"/>
    <col min="11277" max="11277" width="12.29296875" customWidth="1"/>
    <col min="11278" max="11278" width="13.41015625" customWidth="1"/>
    <col min="11279" max="11280" width="12.29296875" customWidth="1"/>
    <col min="11281" max="11281" width="12.703125" customWidth="1"/>
    <col min="11282" max="11282" width="11" customWidth="1"/>
    <col min="11283" max="11287" width="12.41015625" customWidth="1"/>
    <col min="11520" max="11520" width="3" customWidth="1"/>
    <col min="11521" max="11521" width="1.1171875" customWidth="1"/>
    <col min="11522" max="11522" width="30.64453125" customWidth="1"/>
    <col min="11523" max="11523" width="10.41015625" customWidth="1"/>
    <col min="11524" max="11524" width="13.703125" customWidth="1"/>
    <col min="11525" max="11525" width="8.29296875" customWidth="1"/>
    <col min="11526" max="11526" width="9.8203125" customWidth="1"/>
    <col min="11527" max="11527" width="11.05859375" customWidth="1"/>
    <col min="11528" max="11528" width="12.1171875" customWidth="1"/>
    <col min="11529" max="11529" width="8.64453125" customWidth="1"/>
    <col min="11530" max="11530" width="3" customWidth="1"/>
    <col min="11531" max="11531" width="13.41015625" customWidth="1"/>
    <col min="11532" max="11532" width="16.41015625" customWidth="1"/>
    <col min="11533" max="11533" width="12.29296875" customWidth="1"/>
    <col min="11534" max="11534" width="13.41015625" customWidth="1"/>
    <col min="11535" max="11536" width="12.29296875" customWidth="1"/>
    <col min="11537" max="11537" width="12.703125" customWidth="1"/>
    <col min="11538" max="11538" width="11" customWidth="1"/>
    <col min="11539" max="11543" width="12.41015625" customWidth="1"/>
    <col min="11776" max="11776" width="3" customWidth="1"/>
    <col min="11777" max="11777" width="1.1171875" customWidth="1"/>
    <col min="11778" max="11778" width="30.64453125" customWidth="1"/>
    <col min="11779" max="11779" width="10.41015625" customWidth="1"/>
    <col min="11780" max="11780" width="13.703125" customWidth="1"/>
    <col min="11781" max="11781" width="8.29296875" customWidth="1"/>
    <col min="11782" max="11782" width="9.8203125" customWidth="1"/>
    <col min="11783" max="11783" width="11.05859375" customWidth="1"/>
    <col min="11784" max="11784" width="12.1171875" customWidth="1"/>
    <col min="11785" max="11785" width="8.64453125" customWidth="1"/>
    <col min="11786" max="11786" width="3" customWidth="1"/>
    <col min="11787" max="11787" width="13.41015625" customWidth="1"/>
    <col min="11788" max="11788" width="16.41015625" customWidth="1"/>
    <col min="11789" max="11789" width="12.29296875" customWidth="1"/>
    <col min="11790" max="11790" width="13.41015625" customWidth="1"/>
    <col min="11791" max="11792" width="12.29296875" customWidth="1"/>
    <col min="11793" max="11793" width="12.703125" customWidth="1"/>
    <col min="11794" max="11794" width="11" customWidth="1"/>
    <col min="11795" max="11799" width="12.41015625" customWidth="1"/>
    <col min="12032" max="12032" width="3" customWidth="1"/>
    <col min="12033" max="12033" width="1.1171875" customWidth="1"/>
    <col min="12034" max="12034" width="30.64453125" customWidth="1"/>
    <col min="12035" max="12035" width="10.41015625" customWidth="1"/>
    <col min="12036" max="12036" width="13.703125" customWidth="1"/>
    <col min="12037" max="12037" width="8.29296875" customWidth="1"/>
    <col min="12038" max="12038" width="9.8203125" customWidth="1"/>
    <col min="12039" max="12039" width="11.05859375" customWidth="1"/>
    <col min="12040" max="12040" width="12.1171875" customWidth="1"/>
    <col min="12041" max="12041" width="8.64453125" customWidth="1"/>
    <col min="12042" max="12042" width="3" customWidth="1"/>
    <col min="12043" max="12043" width="13.41015625" customWidth="1"/>
    <col min="12044" max="12044" width="16.41015625" customWidth="1"/>
    <col min="12045" max="12045" width="12.29296875" customWidth="1"/>
    <col min="12046" max="12046" width="13.41015625" customWidth="1"/>
    <col min="12047" max="12048" width="12.29296875" customWidth="1"/>
    <col min="12049" max="12049" width="12.703125" customWidth="1"/>
    <col min="12050" max="12050" width="11" customWidth="1"/>
    <col min="12051" max="12055" width="12.41015625" customWidth="1"/>
    <col min="12288" max="12288" width="3" customWidth="1"/>
    <col min="12289" max="12289" width="1.1171875" customWidth="1"/>
    <col min="12290" max="12290" width="30.64453125" customWidth="1"/>
    <col min="12291" max="12291" width="10.41015625" customWidth="1"/>
    <col min="12292" max="12292" width="13.703125" customWidth="1"/>
    <col min="12293" max="12293" width="8.29296875" customWidth="1"/>
    <col min="12294" max="12294" width="9.8203125" customWidth="1"/>
    <col min="12295" max="12295" width="11.05859375" customWidth="1"/>
    <col min="12296" max="12296" width="12.1171875" customWidth="1"/>
    <col min="12297" max="12297" width="8.64453125" customWidth="1"/>
    <col min="12298" max="12298" width="3" customWidth="1"/>
    <col min="12299" max="12299" width="13.41015625" customWidth="1"/>
    <col min="12300" max="12300" width="16.41015625" customWidth="1"/>
    <col min="12301" max="12301" width="12.29296875" customWidth="1"/>
    <col min="12302" max="12302" width="13.41015625" customWidth="1"/>
    <col min="12303" max="12304" width="12.29296875" customWidth="1"/>
    <col min="12305" max="12305" width="12.703125" customWidth="1"/>
    <col min="12306" max="12306" width="11" customWidth="1"/>
    <col min="12307" max="12311" width="12.41015625" customWidth="1"/>
    <col min="12544" max="12544" width="3" customWidth="1"/>
    <col min="12545" max="12545" width="1.1171875" customWidth="1"/>
    <col min="12546" max="12546" width="30.64453125" customWidth="1"/>
    <col min="12547" max="12547" width="10.41015625" customWidth="1"/>
    <col min="12548" max="12548" width="13.703125" customWidth="1"/>
    <col min="12549" max="12549" width="8.29296875" customWidth="1"/>
    <col min="12550" max="12550" width="9.8203125" customWidth="1"/>
    <col min="12551" max="12551" width="11.05859375" customWidth="1"/>
    <col min="12552" max="12552" width="12.1171875" customWidth="1"/>
    <col min="12553" max="12553" width="8.64453125" customWidth="1"/>
    <col min="12554" max="12554" width="3" customWidth="1"/>
    <col min="12555" max="12555" width="13.41015625" customWidth="1"/>
    <col min="12556" max="12556" width="16.41015625" customWidth="1"/>
    <col min="12557" max="12557" width="12.29296875" customWidth="1"/>
    <col min="12558" max="12558" width="13.41015625" customWidth="1"/>
    <col min="12559" max="12560" width="12.29296875" customWidth="1"/>
    <col min="12561" max="12561" width="12.703125" customWidth="1"/>
    <col min="12562" max="12562" width="11" customWidth="1"/>
    <col min="12563" max="12567" width="12.41015625" customWidth="1"/>
    <col min="12800" max="12800" width="3" customWidth="1"/>
    <col min="12801" max="12801" width="1.1171875" customWidth="1"/>
    <col min="12802" max="12802" width="30.64453125" customWidth="1"/>
    <col min="12803" max="12803" width="10.41015625" customWidth="1"/>
    <col min="12804" max="12804" width="13.703125" customWidth="1"/>
    <col min="12805" max="12805" width="8.29296875" customWidth="1"/>
    <col min="12806" max="12806" width="9.8203125" customWidth="1"/>
    <col min="12807" max="12807" width="11.05859375" customWidth="1"/>
    <col min="12808" max="12808" width="12.1171875" customWidth="1"/>
    <col min="12809" max="12809" width="8.64453125" customWidth="1"/>
    <col min="12810" max="12810" width="3" customWidth="1"/>
    <col min="12811" max="12811" width="13.41015625" customWidth="1"/>
    <col min="12812" max="12812" width="16.41015625" customWidth="1"/>
    <col min="12813" max="12813" width="12.29296875" customWidth="1"/>
    <col min="12814" max="12814" width="13.41015625" customWidth="1"/>
    <col min="12815" max="12816" width="12.29296875" customWidth="1"/>
    <col min="12817" max="12817" width="12.703125" customWidth="1"/>
    <col min="12818" max="12818" width="11" customWidth="1"/>
    <col min="12819" max="12823" width="12.41015625" customWidth="1"/>
    <col min="13056" max="13056" width="3" customWidth="1"/>
    <col min="13057" max="13057" width="1.1171875" customWidth="1"/>
    <col min="13058" max="13058" width="30.64453125" customWidth="1"/>
    <col min="13059" max="13059" width="10.41015625" customWidth="1"/>
    <col min="13060" max="13060" width="13.703125" customWidth="1"/>
    <col min="13061" max="13061" width="8.29296875" customWidth="1"/>
    <col min="13062" max="13062" width="9.8203125" customWidth="1"/>
    <col min="13063" max="13063" width="11.05859375" customWidth="1"/>
    <col min="13064" max="13064" width="12.1171875" customWidth="1"/>
    <col min="13065" max="13065" width="8.64453125" customWidth="1"/>
    <col min="13066" max="13066" width="3" customWidth="1"/>
    <col min="13067" max="13067" width="13.41015625" customWidth="1"/>
    <col min="13068" max="13068" width="16.41015625" customWidth="1"/>
    <col min="13069" max="13069" width="12.29296875" customWidth="1"/>
    <col min="13070" max="13070" width="13.41015625" customWidth="1"/>
    <col min="13071" max="13072" width="12.29296875" customWidth="1"/>
    <col min="13073" max="13073" width="12.703125" customWidth="1"/>
    <col min="13074" max="13074" width="11" customWidth="1"/>
    <col min="13075" max="13079" width="12.41015625" customWidth="1"/>
    <col min="13312" max="13312" width="3" customWidth="1"/>
    <col min="13313" max="13313" width="1.1171875" customWidth="1"/>
    <col min="13314" max="13314" width="30.64453125" customWidth="1"/>
    <col min="13315" max="13315" width="10.41015625" customWidth="1"/>
    <col min="13316" max="13316" width="13.703125" customWidth="1"/>
    <col min="13317" max="13317" width="8.29296875" customWidth="1"/>
    <col min="13318" max="13318" width="9.8203125" customWidth="1"/>
    <col min="13319" max="13319" width="11.05859375" customWidth="1"/>
    <col min="13320" max="13320" width="12.1171875" customWidth="1"/>
    <col min="13321" max="13321" width="8.64453125" customWidth="1"/>
    <col min="13322" max="13322" width="3" customWidth="1"/>
    <col min="13323" max="13323" width="13.41015625" customWidth="1"/>
    <col min="13324" max="13324" width="16.41015625" customWidth="1"/>
    <col min="13325" max="13325" width="12.29296875" customWidth="1"/>
    <col min="13326" max="13326" width="13.41015625" customWidth="1"/>
    <col min="13327" max="13328" width="12.29296875" customWidth="1"/>
    <col min="13329" max="13329" width="12.703125" customWidth="1"/>
    <col min="13330" max="13330" width="11" customWidth="1"/>
    <col min="13331" max="13335" width="12.41015625" customWidth="1"/>
    <col min="13568" max="13568" width="3" customWidth="1"/>
    <col min="13569" max="13569" width="1.1171875" customWidth="1"/>
    <col min="13570" max="13570" width="30.64453125" customWidth="1"/>
    <col min="13571" max="13571" width="10.41015625" customWidth="1"/>
    <col min="13572" max="13572" width="13.703125" customWidth="1"/>
    <col min="13573" max="13573" width="8.29296875" customWidth="1"/>
    <col min="13574" max="13574" width="9.8203125" customWidth="1"/>
    <col min="13575" max="13575" width="11.05859375" customWidth="1"/>
    <col min="13576" max="13576" width="12.1171875" customWidth="1"/>
    <col min="13577" max="13577" width="8.64453125" customWidth="1"/>
    <col min="13578" max="13578" width="3" customWidth="1"/>
    <col min="13579" max="13579" width="13.41015625" customWidth="1"/>
    <col min="13580" max="13580" width="16.41015625" customWidth="1"/>
    <col min="13581" max="13581" width="12.29296875" customWidth="1"/>
    <col min="13582" max="13582" width="13.41015625" customWidth="1"/>
    <col min="13583" max="13584" width="12.29296875" customWidth="1"/>
    <col min="13585" max="13585" width="12.703125" customWidth="1"/>
    <col min="13586" max="13586" width="11" customWidth="1"/>
    <col min="13587" max="13591" width="12.41015625" customWidth="1"/>
    <col min="13824" max="13824" width="3" customWidth="1"/>
    <col min="13825" max="13825" width="1.1171875" customWidth="1"/>
    <col min="13826" max="13826" width="30.64453125" customWidth="1"/>
    <col min="13827" max="13827" width="10.41015625" customWidth="1"/>
    <col min="13828" max="13828" width="13.703125" customWidth="1"/>
    <col min="13829" max="13829" width="8.29296875" customWidth="1"/>
    <col min="13830" max="13830" width="9.8203125" customWidth="1"/>
    <col min="13831" max="13831" width="11.05859375" customWidth="1"/>
    <col min="13832" max="13832" width="12.1171875" customWidth="1"/>
    <col min="13833" max="13833" width="8.64453125" customWidth="1"/>
    <col min="13834" max="13834" width="3" customWidth="1"/>
    <col min="13835" max="13835" width="13.41015625" customWidth="1"/>
    <col min="13836" max="13836" width="16.41015625" customWidth="1"/>
    <col min="13837" max="13837" width="12.29296875" customWidth="1"/>
    <col min="13838" max="13838" width="13.41015625" customWidth="1"/>
    <col min="13839" max="13840" width="12.29296875" customWidth="1"/>
    <col min="13841" max="13841" width="12.703125" customWidth="1"/>
    <col min="13842" max="13842" width="11" customWidth="1"/>
    <col min="13843" max="13847" width="12.41015625" customWidth="1"/>
    <col min="14080" max="14080" width="3" customWidth="1"/>
    <col min="14081" max="14081" width="1.1171875" customWidth="1"/>
    <col min="14082" max="14082" width="30.64453125" customWidth="1"/>
    <col min="14083" max="14083" width="10.41015625" customWidth="1"/>
    <col min="14084" max="14084" width="13.703125" customWidth="1"/>
    <col min="14085" max="14085" width="8.29296875" customWidth="1"/>
    <col min="14086" max="14086" width="9.8203125" customWidth="1"/>
    <col min="14087" max="14087" width="11.05859375" customWidth="1"/>
    <col min="14088" max="14088" width="12.1171875" customWidth="1"/>
    <col min="14089" max="14089" width="8.64453125" customWidth="1"/>
    <col min="14090" max="14090" width="3" customWidth="1"/>
    <col min="14091" max="14091" width="13.41015625" customWidth="1"/>
    <col min="14092" max="14092" width="16.41015625" customWidth="1"/>
    <col min="14093" max="14093" width="12.29296875" customWidth="1"/>
    <col min="14094" max="14094" width="13.41015625" customWidth="1"/>
    <col min="14095" max="14096" width="12.29296875" customWidth="1"/>
    <col min="14097" max="14097" width="12.703125" customWidth="1"/>
    <col min="14098" max="14098" width="11" customWidth="1"/>
    <col min="14099" max="14103" width="12.41015625" customWidth="1"/>
    <col min="14336" max="14336" width="3" customWidth="1"/>
    <col min="14337" max="14337" width="1.1171875" customWidth="1"/>
    <col min="14338" max="14338" width="30.64453125" customWidth="1"/>
    <col min="14339" max="14339" width="10.41015625" customWidth="1"/>
    <col min="14340" max="14340" width="13.703125" customWidth="1"/>
    <col min="14341" max="14341" width="8.29296875" customWidth="1"/>
    <col min="14342" max="14342" width="9.8203125" customWidth="1"/>
    <col min="14343" max="14343" width="11.05859375" customWidth="1"/>
    <col min="14344" max="14344" width="12.1171875" customWidth="1"/>
    <col min="14345" max="14345" width="8.64453125" customWidth="1"/>
    <col min="14346" max="14346" width="3" customWidth="1"/>
    <col min="14347" max="14347" width="13.41015625" customWidth="1"/>
    <col min="14348" max="14348" width="16.41015625" customWidth="1"/>
    <col min="14349" max="14349" width="12.29296875" customWidth="1"/>
    <col min="14350" max="14350" width="13.41015625" customWidth="1"/>
    <col min="14351" max="14352" width="12.29296875" customWidth="1"/>
    <col min="14353" max="14353" width="12.703125" customWidth="1"/>
    <col min="14354" max="14354" width="11" customWidth="1"/>
    <col min="14355" max="14359" width="12.41015625" customWidth="1"/>
    <col min="14592" max="14592" width="3" customWidth="1"/>
    <col min="14593" max="14593" width="1.1171875" customWidth="1"/>
    <col min="14594" max="14594" width="30.64453125" customWidth="1"/>
    <col min="14595" max="14595" width="10.41015625" customWidth="1"/>
    <col min="14596" max="14596" width="13.703125" customWidth="1"/>
    <col min="14597" max="14597" width="8.29296875" customWidth="1"/>
    <col min="14598" max="14598" width="9.8203125" customWidth="1"/>
    <col min="14599" max="14599" width="11.05859375" customWidth="1"/>
    <col min="14600" max="14600" width="12.1171875" customWidth="1"/>
    <col min="14601" max="14601" width="8.64453125" customWidth="1"/>
    <col min="14602" max="14602" width="3" customWidth="1"/>
    <col min="14603" max="14603" width="13.41015625" customWidth="1"/>
    <col min="14604" max="14604" width="16.41015625" customWidth="1"/>
    <col min="14605" max="14605" width="12.29296875" customWidth="1"/>
    <col min="14606" max="14606" width="13.41015625" customWidth="1"/>
    <col min="14607" max="14608" width="12.29296875" customWidth="1"/>
    <col min="14609" max="14609" width="12.703125" customWidth="1"/>
    <col min="14610" max="14610" width="11" customWidth="1"/>
    <col min="14611" max="14615" width="12.41015625" customWidth="1"/>
    <col min="14848" max="14848" width="3" customWidth="1"/>
    <col min="14849" max="14849" width="1.1171875" customWidth="1"/>
    <col min="14850" max="14850" width="30.64453125" customWidth="1"/>
    <col min="14851" max="14851" width="10.41015625" customWidth="1"/>
    <col min="14852" max="14852" width="13.703125" customWidth="1"/>
    <col min="14853" max="14853" width="8.29296875" customWidth="1"/>
    <col min="14854" max="14854" width="9.8203125" customWidth="1"/>
    <col min="14855" max="14855" width="11.05859375" customWidth="1"/>
    <col min="14856" max="14856" width="12.1171875" customWidth="1"/>
    <col min="14857" max="14857" width="8.64453125" customWidth="1"/>
    <col min="14858" max="14858" width="3" customWidth="1"/>
    <col min="14859" max="14859" width="13.41015625" customWidth="1"/>
    <col min="14860" max="14860" width="16.41015625" customWidth="1"/>
    <col min="14861" max="14861" width="12.29296875" customWidth="1"/>
    <col min="14862" max="14862" width="13.41015625" customWidth="1"/>
    <col min="14863" max="14864" width="12.29296875" customWidth="1"/>
    <col min="14865" max="14865" width="12.703125" customWidth="1"/>
    <col min="14866" max="14866" width="11" customWidth="1"/>
    <col min="14867" max="14871" width="12.41015625" customWidth="1"/>
    <col min="15104" max="15104" width="3" customWidth="1"/>
    <col min="15105" max="15105" width="1.1171875" customWidth="1"/>
    <col min="15106" max="15106" width="30.64453125" customWidth="1"/>
    <col min="15107" max="15107" width="10.41015625" customWidth="1"/>
    <col min="15108" max="15108" width="13.703125" customWidth="1"/>
    <col min="15109" max="15109" width="8.29296875" customWidth="1"/>
    <col min="15110" max="15110" width="9.8203125" customWidth="1"/>
    <col min="15111" max="15111" width="11.05859375" customWidth="1"/>
    <col min="15112" max="15112" width="12.1171875" customWidth="1"/>
    <col min="15113" max="15113" width="8.64453125" customWidth="1"/>
    <col min="15114" max="15114" width="3" customWidth="1"/>
    <col min="15115" max="15115" width="13.41015625" customWidth="1"/>
    <col min="15116" max="15116" width="16.41015625" customWidth="1"/>
    <col min="15117" max="15117" width="12.29296875" customWidth="1"/>
    <col min="15118" max="15118" width="13.41015625" customWidth="1"/>
    <col min="15119" max="15120" width="12.29296875" customWidth="1"/>
    <col min="15121" max="15121" width="12.703125" customWidth="1"/>
    <col min="15122" max="15122" width="11" customWidth="1"/>
    <col min="15123" max="15127" width="12.41015625" customWidth="1"/>
    <col min="15360" max="15360" width="3" customWidth="1"/>
    <col min="15361" max="15361" width="1.1171875" customWidth="1"/>
    <col min="15362" max="15362" width="30.64453125" customWidth="1"/>
    <col min="15363" max="15363" width="10.41015625" customWidth="1"/>
    <col min="15364" max="15364" width="13.703125" customWidth="1"/>
    <col min="15365" max="15365" width="8.29296875" customWidth="1"/>
    <col min="15366" max="15366" width="9.8203125" customWidth="1"/>
    <col min="15367" max="15367" width="11.05859375" customWidth="1"/>
    <col min="15368" max="15368" width="12.1171875" customWidth="1"/>
    <col min="15369" max="15369" width="8.64453125" customWidth="1"/>
    <col min="15370" max="15370" width="3" customWidth="1"/>
    <col min="15371" max="15371" width="13.41015625" customWidth="1"/>
    <col min="15372" max="15372" width="16.41015625" customWidth="1"/>
    <col min="15373" max="15373" width="12.29296875" customWidth="1"/>
    <col min="15374" max="15374" width="13.41015625" customWidth="1"/>
    <col min="15375" max="15376" width="12.29296875" customWidth="1"/>
    <col min="15377" max="15377" width="12.703125" customWidth="1"/>
    <col min="15378" max="15378" width="11" customWidth="1"/>
    <col min="15379" max="15383" width="12.41015625" customWidth="1"/>
    <col min="15616" max="15616" width="3" customWidth="1"/>
    <col min="15617" max="15617" width="1.1171875" customWidth="1"/>
    <col min="15618" max="15618" width="30.64453125" customWidth="1"/>
    <col min="15619" max="15619" width="10.41015625" customWidth="1"/>
    <col min="15620" max="15620" width="13.703125" customWidth="1"/>
    <col min="15621" max="15621" width="8.29296875" customWidth="1"/>
    <col min="15622" max="15622" width="9.8203125" customWidth="1"/>
    <col min="15623" max="15623" width="11.05859375" customWidth="1"/>
    <col min="15624" max="15624" width="12.1171875" customWidth="1"/>
    <col min="15625" max="15625" width="8.64453125" customWidth="1"/>
    <col min="15626" max="15626" width="3" customWidth="1"/>
    <col min="15627" max="15627" width="13.41015625" customWidth="1"/>
    <col min="15628" max="15628" width="16.41015625" customWidth="1"/>
    <col min="15629" max="15629" width="12.29296875" customWidth="1"/>
    <col min="15630" max="15630" width="13.41015625" customWidth="1"/>
    <col min="15631" max="15632" width="12.29296875" customWidth="1"/>
    <col min="15633" max="15633" width="12.703125" customWidth="1"/>
    <col min="15634" max="15634" width="11" customWidth="1"/>
    <col min="15635" max="15639" width="12.41015625" customWidth="1"/>
    <col min="15872" max="15872" width="3" customWidth="1"/>
    <col min="15873" max="15873" width="1.1171875" customWidth="1"/>
    <col min="15874" max="15874" width="30.64453125" customWidth="1"/>
    <col min="15875" max="15875" width="10.41015625" customWidth="1"/>
    <col min="15876" max="15876" width="13.703125" customWidth="1"/>
    <col min="15877" max="15877" width="8.29296875" customWidth="1"/>
    <col min="15878" max="15878" width="9.8203125" customWidth="1"/>
    <col min="15879" max="15879" width="11.05859375" customWidth="1"/>
    <col min="15880" max="15880" width="12.1171875" customWidth="1"/>
    <col min="15881" max="15881" width="8.64453125" customWidth="1"/>
    <col min="15882" max="15882" width="3" customWidth="1"/>
    <col min="15883" max="15883" width="13.41015625" customWidth="1"/>
    <col min="15884" max="15884" width="16.41015625" customWidth="1"/>
    <col min="15885" max="15885" width="12.29296875" customWidth="1"/>
    <col min="15886" max="15886" width="13.41015625" customWidth="1"/>
    <col min="15887" max="15888" width="12.29296875" customWidth="1"/>
    <col min="15889" max="15889" width="12.703125" customWidth="1"/>
    <col min="15890" max="15890" width="11" customWidth="1"/>
    <col min="15891" max="15895" width="12.41015625" customWidth="1"/>
    <col min="16128" max="16128" width="3" customWidth="1"/>
    <col min="16129" max="16129" width="1.1171875" customWidth="1"/>
    <col min="16130" max="16130" width="30.64453125" customWidth="1"/>
    <col min="16131" max="16131" width="10.41015625" customWidth="1"/>
    <col min="16132" max="16132" width="13.703125" customWidth="1"/>
    <col min="16133" max="16133" width="8.29296875" customWidth="1"/>
    <col min="16134" max="16134" width="9.8203125" customWidth="1"/>
    <col min="16135" max="16135" width="11.05859375" customWidth="1"/>
    <col min="16136" max="16136" width="12.1171875" customWidth="1"/>
    <col min="16137" max="16137" width="8.64453125" customWidth="1"/>
    <col min="16138" max="16138" width="3" customWidth="1"/>
    <col min="16139" max="16139" width="13.41015625" customWidth="1"/>
    <col min="16140" max="16140" width="16.41015625" customWidth="1"/>
    <col min="16141" max="16141" width="12.29296875" customWidth="1"/>
    <col min="16142" max="16142" width="13.41015625" customWidth="1"/>
    <col min="16143" max="16144" width="12.29296875" customWidth="1"/>
    <col min="16145" max="16145" width="12.703125" customWidth="1"/>
    <col min="16146" max="16146" width="11" customWidth="1"/>
    <col min="16147" max="16151" width="12.41015625" customWidth="1"/>
  </cols>
  <sheetData>
    <row r="1" spans="1:16" ht="22.7" x14ac:dyDescent="0.7">
      <c r="C1" s="21" t="s">
        <v>99</v>
      </c>
      <c r="D1" s="21"/>
    </row>
    <row r="2" spans="1:16" ht="12.75" customHeight="1" x14ac:dyDescent="0.55000000000000004">
      <c r="C2" s="22" t="s">
        <v>100</v>
      </c>
      <c r="D2" s="23"/>
      <c r="E2" s="24"/>
      <c r="F2" s="24"/>
      <c r="G2" s="25"/>
      <c r="H2" s="24"/>
      <c r="I2" s="26"/>
    </row>
    <row r="3" spans="1:16" ht="18" customHeight="1" thickBot="1" x14ac:dyDescent="0.55000000000000004">
      <c r="A3" s="27">
        <f>ROW()</f>
        <v>3</v>
      </c>
      <c r="C3" s="28" t="s">
        <v>101</v>
      </c>
      <c r="D3" s="28"/>
      <c r="E3" s="29"/>
      <c r="F3" s="29"/>
      <c r="G3" s="29"/>
      <c r="H3" s="29"/>
      <c r="I3" s="29"/>
      <c r="J3" s="29"/>
      <c r="K3" s="30" t="s">
        <v>102</v>
      </c>
      <c r="L3" s="29"/>
      <c r="M3" s="31"/>
      <c r="N3" s="32"/>
      <c r="O3" s="33"/>
      <c r="P3" s="33"/>
    </row>
    <row r="4" spans="1:16" ht="43.5" customHeight="1" thickBot="1" x14ac:dyDescent="0.55000000000000004">
      <c r="A4" s="27">
        <f>ROW()</f>
        <v>4</v>
      </c>
      <c r="C4" s="34" t="s">
        <v>103</v>
      </c>
      <c r="D4" s="35" t="s">
        <v>104</v>
      </c>
      <c r="E4" s="36" t="s">
        <v>105</v>
      </c>
      <c r="F4" s="37" t="s">
        <v>106</v>
      </c>
      <c r="G4" s="38" t="s">
        <v>203</v>
      </c>
      <c r="H4" s="38" t="s">
        <v>204</v>
      </c>
      <c r="I4" s="38" t="s">
        <v>109</v>
      </c>
      <c r="J4" s="38" t="s">
        <v>110</v>
      </c>
      <c r="K4" s="237" t="s">
        <v>111</v>
      </c>
      <c r="L4" s="238"/>
      <c r="M4" s="239"/>
      <c r="N4" s="240" t="s">
        <v>112</v>
      </c>
      <c r="O4" s="241"/>
      <c r="P4" s="242"/>
    </row>
    <row r="5" spans="1:16" ht="13.7" customHeight="1" thickBot="1" x14ac:dyDescent="0.55000000000000004">
      <c r="A5" s="27">
        <f>ROW()</f>
        <v>5</v>
      </c>
      <c r="C5" t="s">
        <v>205</v>
      </c>
      <c r="D5" s="39">
        <v>3</v>
      </c>
      <c r="E5" s="40">
        <f>+D5*'Fig. 5.10'!$E$10</f>
        <v>60000000</v>
      </c>
      <c r="F5" s="41">
        <f>+E5/$E$9</f>
        <v>0.44910179640718562</v>
      </c>
      <c r="G5" s="42">
        <f>+'Fig. 5.9'!B9</f>
        <v>7.3593149782850142E-2</v>
      </c>
      <c r="H5" s="42">
        <f>+G5*(1-'Fig. 5.9'!$D$2)</f>
        <v>7.3593149782850142E-2</v>
      </c>
      <c r="I5" s="43">
        <f>+F5*H5</f>
        <v>3.3050815770741079E-2</v>
      </c>
      <c r="J5" s="44">
        <f>+E5/'Fig. 5.10'!$E$10</f>
        <v>3</v>
      </c>
      <c r="K5" s="35" t="s">
        <v>114</v>
      </c>
      <c r="L5" s="35" t="s">
        <v>115</v>
      </c>
      <c r="M5" s="45" t="s">
        <v>116</v>
      </c>
      <c r="N5" s="46" t="s">
        <v>117</v>
      </c>
      <c r="O5" s="47" t="s">
        <v>118</v>
      </c>
      <c r="P5" s="48" t="s">
        <v>119</v>
      </c>
    </row>
    <row r="6" spans="1:16" ht="14.7" thickBot="1" x14ac:dyDescent="0.55000000000000004">
      <c r="A6" s="27">
        <f>ROW()</f>
        <v>6</v>
      </c>
      <c r="C6" t="s">
        <v>206</v>
      </c>
      <c r="D6" s="49"/>
      <c r="E6" s="50">
        <f>+E7-E5</f>
        <v>40000000</v>
      </c>
      <c r="F6" s="51">
        <f>+E6/$E$9</f>
        <v>0.29940119760479039</v>
      </c>
      <c r="G6" s="52">
        <f>+'Fig. 5.9'!B18</f>
        <v>8.9999999999999858E-2</v>
      </c>
      <c r="H6" s="52">
        <f>+G6*(1-'Fig. 5.9'!$D$2)</f>
        <v>8.9999999999999858E-2</v>
      </c>
      <c r="I6" s="53">
        <f>+F6*H6</f>
        <v>2.6946107784431093E-2</v>
      </c>
      <c r="J6" s="54">
        <f>+E6/'Fig. 5.10'!$E$10</f>
        <v>2</v>
      </c>
      <c r="K6" s="55">
        <v>2.2499999999999999E-2</v>
      </c>
      <c r="L6" s="56">
        <v>0.04</v>
      </c>
      <c r="M6" s="57">
        <f>+L6+K6</f>
        <v>6.25E-2</v>
      </c>
      <c r="N6" s="58">
        <v>1</v>
      </c>
      <c r="O6" s="59">
        <v>524351</v>
      </c>
      <c r="P6" s="60">
        <v>7.0300000000000001E-2</v>
      </c>
    </row>
    <row r="7" spans="1:16" ht="14.7" thickBot="1" x14ac:dyDescent="0.55000000000000004">
      <c r="A7" s="27">
        <f>ROW()</f>
        <v>7</v>
      </c>
      <c r="C7" t="s">
        <v>121</v>
      </c>
      <c r="D7" s="49">
        <v>5</v>
      </c>
      <c r="E7" s="40">
        <f>+D7*'Fig. 5.10'!$E$10</f>
        <v>100000000</v>
      </c>
      <c r="F7" s="41">
        <f>SUM(F5:F6)</f>
        <v>0.74850299401197606</v>
      </c>
      <c r="G7" s="61"/>
      <c r="H7" s="61"/>
      <c r="I7" s="43">
        <f>+I6+I5</f>
        <v>5.9996923555172173E-2</v>
      </c>
      <c r="J7" s="62">
        <f>+E7/'Fig. 5.10'!$E$10</f>
        <v>5</v>
      </c>
      <c r="N7" s="63"/>
      <c r="O7" s="64"/>
      <c r="P7" s="65"/>
    </row>
    <row r="8" spans="1:16" ht="15" customHeight="1" thickBot="1" x14ac:dyDescent="0.55000000000000004">
      <c r="A8" s="27">
        <f>ROW()</f>
        <v>8</v>
      </c>
      <c r="C8" t="s">
        <v>207</v>
      </c>
      <c r="D8" s="66"/>
      <c r="E8" s="50">
        <f>+E15-E7</f>
        <v>33600000</v>
      </c>
      <c r="F8" s="51">
        <f>+E8/$E$9</f>
        <v>0.25149700598802394</v>
      </c>
      <c r="G8" s="67">
        <f>+J16</f>
        <v>0.20003749999999998</v>
      </c>
      <c r="H8" s="68">
        <f>+G8</f>
        <v>0.20003749999999998</v>
      </c>
      <c r="I8" s="43">
        <f>+F8*H8</f>
        <v>5.0308832335329332E-2</v>
      </c>
      <c r="J8" s="54">
        <f>+E8/'Fig. 5.10'!$E$10</f>
        <v>1.68</v>
      </c>
      <c r="K8" s="243" t="s">
        <v>123</v>
      </c>
      <c r="L8" s="244"/>
      <c r="M8" s="245"/>
      <c r="N8" s="69">
        <v>2</v>
      </c>
      <c r="O8" s="50">
        <v>10343.764999999999</v>
      </c>
      <c r="P8" s="70">
        <v>8.0500000000000002E-2</v>
      </c>
    </row>
    <row r="9" spans="1:16" ht="14.7" thickBot="1" x14ac:dyDescent="0.55000000000000004">
      <c r="A9" s="27">
        <f>ROW()</f>
        <v>9</v>
      </c>
      <c r="C9" t="s">
        <v>124</v>
      </c>
      <c r="D9" s="71"/>
      <c r="E9" s="72">
        <f>+E8+E7</f>
        <v>133600000</v>
      </c>
      <c r="F9" s="73">
        <f>+E9/$E$9</f>
        <v>1</v>
      </c>
      <c r="I9" s="74">
        <f>+I8+I7</f>
        <v>0.11030575589050151</v>
      </c>
      <c r="J9" s="75">
        <f>+E9/'Fig. 5.10'!$E$10</f>
        <v>6.68</v>
      </c>
      <c r="K9" s="76"/>
      <c r="L9" s="77">
        <v>0.09</v>
      </c>
      <c r="M9" s="78"/>
      <c r="N9" s="58">
        <v>3</v>
      </c>
      <c r="O9" s="59">
        <v>4143.902</v>
      </c>
      <c r="P9" s="60">
        <v>8.4699999999999998E-2</v>
      </c>
    </row>
    <row r="10" spans="1:16" ht="14.25" customHeight="1" thickTop="1" thickBot="1" x14ac:dyDescent="0.55000000000000004">
      <c r="A10" s="27">
        <f>ROW()</f>
        <v>10</v>
      </c>
      <c r="E10" s="79"/>
      <c r="F10" s="79"/>
      <c r="G10" s="80"/>
      <c r="N10" s="58">
        <v>4</v>
      </c>
      <c r="O10" s="59">
        <v>2177.4479999999999</v>
      </c>
      <c r="P10" s="60">
        <v>8.7499999999999994E-2</v>
      </c>
    </row>
    <row r="11" spans="1:16" ht="53" customHeight="1" thickBot="1" x14ac:dyDescent="0.55000000000000004">
      <c r="A11" s="27">
        <f>ROW()</f>
        <v>11</v>
      </c>
      <c r="C11" s="81" t="s">
        <v>125</v>
      </c>
      <c r="D11" s="35" t="s">
        <v>126</v>
      </c>
      <c r="E11" s="36" t="s">
        <v>105</v>
      </c>
      <c r="F11" s="82" t="s">
        <v>127</v>
      </c>
      <c r="H11" s="228" t="s">
        <v>208</v>
      </c>
      <c r="I11" s="226"/>
      <c r="J11" s="227"/>
      <c r="N11" s="58">
        <v>5</v>
      </c>
      <c r="O11" s="59">
        <v>1327.5820000000001</v>
      </c>
      <c r="P11" s="60">
        <v>9.0300000000000005E-2</v>
      </c>
    </row>
    <row r="12" spans="1:16" x14ac:dyDescent="0.5">
      <c r="A12" s="27">
        <f>ROW()</f>
        <v>12</v>
      </c>
      <c r="C12" s="64" t="s">
        <v>128</v>
      </c>
      <c r="D12" s="49">
        <v>6</v>
      </c>
      <c r="E12" s="83">
        <f>+D12*'Fig. 5.10'!E10</f>
        <v>120000000</v>
      </c>
      <c r="F12" s="84">
        <f>+E12/$E$15</f>
        <v>0.89820359281437123</v>
      </c>
      <c r="H12" s="85" t="s">
        <v>129</v>
      </c>
      <c r="J12" s="86">
        <v>2.5999999999999999E-2</v>
      </c>
      <c r="N12" s="58">
        <v>6</v>
      </c>
      <c r="O12" s="59">
        <v>840</v>
      </c>
      <c r="P12" s="60">
        <v>9.1800000000000007E-2</v>
      </c>
    </row>
    <row r="13" spans="1:16" x14ac:dyDescent="0.5">
      <c r="A13" s="27">
        <f>ROW()</f>
        <v>13</v>
      </c>
      <c r="C13" s="64" t="s">
        <v>130</v>
      </c>
      <c r="D13" s="87"/>
      <c r="E13" s="80">
        <v>10000000</v>
      </c>
      <c r="F13" s="12"/>
      <c r="H13" s="85" t="s">
        <v>131</v>
      </c>
      <c r="J13" s="88">
        <v>1.575</v>
      </c>
      <c r="N13" s="58">
        <v>7</v>
      </c>
      <c r="O13" s="59">
        <v>537.69299999999998</v>
      </c>
      <c r="P13" s="60">
        <v>9.5799999999999996E-2</v>
      </c>
    </row>
    <row r="14" spans="1:16" x14ac:dyDescent="0.5">
      <c r="A14" s="27">
        <f>ROW()</f>
        <v>14</v>
      </c>
      <c r="C14" s="80" t="s">
        <v>132</v>
      </c>
      <c r="D14" s="89">
        <v>0.03</v>
      </c>
      <c r="E14" s="80">
        <f>+D14*E12</f>
        <v>3600000</v>
      </c>
      <c r="F14" s="84">
        <f>+E14/$E$15</f>
        <v>2.6946107784431138E-2</v>
      </c>
      <c r="H14" s="85" t="s">
        <v>133</v>
      </c>
      <c r="J14" s="90">
        <f>+P16</f>
        <v>0.1105</v>
      </c>
      <c r="N14" s="58">
        <v>8</v>
      </c>
      <c r="O14" s="59">
        <v>333.44200000000001</v>
      </c>
      <c r="P14" s="60">
        <v>9.9099999999999994E-2</v>
      </c>
    </row>
    <row r="15" spans="1:16" ht="12.75" customHeight="1" thickBot="1" x14ac:dyDescent="0.55000000000000004">
      <c r="A15" s="27">
        <f>ROW()</f>
        <v>15</v>
      </c>
      <c r="C15" s="80" t="s">
        <v>134</v>
      </c>
      <c r="D15" s="91"/>
      <c r="E15" s="72">
        <f>SUM(E12:E14)</f>
        <v>133600000</v>
      </c>
      <c r="F15" s="92">
        <f>+E15/$E$15</f>
        <v>1</v>
      </c>
      <c r="H15" s="85" t="s">
        <v>135</v>
      </c>
      <c r="J15" s="93">
        <v>0</v>
      </c>
      <c r="N15" s="58">
        <v>9</v>
      </c>
      <c r="O15" s="59">
        <v>192.59800000000001</v>
      </c>
      <c r="P15" s="60">
        <v>0.1043</v>
      </c>
    </row>
    <row r="16" spans="1:16" ht="12.75" customHeight="1" thickBot="1" x14ac:dyDescent="0.55000000000000004">
      <c r="A16" s="27">
        <f>ROW()</f>
        <v>16</v>
      </c>
      <c r="C16" s="80"/>
      <c r="D16" s="80"/>
      <c r="E16" s="80"/>
      <c r="H16" s="94" t="s">
        <v>136</v>
      </c>
      <c r="I16" s="95"/>
      <c r="J16" s="96">
        <f>+J12+(J13*J14)+J15</f>
        <v>0.20003749999999998</v>
      </c>
      <c r="N16" s="97">
        <v>10</v>
      </c>
      <c r="O16" s="98">
        <v>84.521000000000001</v>
      </c>
      <c r="P16" s="99">
        <v>0.1105</v>
      </c>
    </row>
    <row r="17" spans="1:15" ht="12" customHeight="1" thickBot="1" x14ac:dyDescent="0.55000000000000004">
      <c r="A17" s="27">
        <f>ROW()</f>
        <v>17</v>
      </c>
      <c r="M17" s="103"/>
      <c r="O17" s="80"/>
    </row>
    <row r="18" spans="1:15" ht="12.75" customHeight="1" x14ac:dyDescent="0.5">
      <c r="A18" s="27">
        <f>ROW()</f>
        <v>18</v>
      </c>
      <c r="O18" s="80"/>
    </row>
    <row r="19" spans="1:15" ht="15.75" customHeight="1" x14ac:dyDescent="0.5">
      <c r="A19" s="27">
        <f>ROW()</f>
        <v>19</v>
      </c>
      <c r="O19" s="80"/>
    </row>
    <row r="20" spans="1:15" ht="12.75" customHeight="1" x14ac:dyDescent="0.5">
      <c r="A20" s="27">
        <f>ROW()</f>
        <v>20</v>
      </c>
      <c r="O20" s="80"/>
    </row>
    <row r="21" spans="1:15" x14ac:dyDescent="0.5">
      <c r="A21" s="27">
        <f>ROW()</f>
        <v>21</v>
      </c>
      <c r="O21" s="80"/>
    </row>
    <row r="22" spans="1:15" x14ac:dyDescent="0.5">
      <c r="A22" s="27">
        <f>ROW()</f>
        <v>22</v>
      </c>
      <c r="O22" s="80"/>
    </row>
    <row r="23" spans="1:15" x14ac:dyDescent="0.5">
      <c r="A23" s="27">
        <f>ROW()</f>
        <v>23</v>
      </c>
      <c r="O23" s="80"/>
    </row>
    <row r="24" spans="1:15" x14ac:dyDescent="0.5">
      <c r="A24" s="27">
        <f>ROW()</f>
        <v>24</v>
      </c>
      <c r="O24" s="80"/>
    </row>
    <row r="25" spans="1:15" x14ac:dyDescent="0.5">
      <c r="A25" s="27">
        <f>ROW()</f>
        <v>25</v>
      </c>
      <c r="O25" s="80"/>
    </row>
    <row r="26" spans="1:15" x14ac:dyDescent="0.5">
      <c r="A26" s="27"/>
      <c r="O26" s="80"/>
    </row>
    <row r="27" spans="1:15" ht="8.25" customHeight="1" x14ac:dyDescent="0.5">
      <c r="A27" s="27">
        <f>ROW()</f>
        <v>27</v>
      </c>
      <c r="O27" s="80"/>
    </row>
    <row r="28" spans="1:15" x14ac:dyDescent="0.5">
      <c r="A28" s="27">
        <f>ROW()</f>
        <v>28</v>
      </c>
      <c r="O28" s="80"/>
    </row>
    <row r="29" spans="1:15" x14ac:dyDescent="0.5">
      <c r="A29" s="27">
        <f>ROW()</f>
        <v>29</v>
      </c>
      <c r="O29" s="80"/>
    </row>
    <row r="30" spans="1:15" x14ac:dyDescent="0.5">
      <c r="A30" s="27">
        <f>ROW()</f>
        <v>30</v>
      </c>
      <c r="O30" s="80"/>
    </row>
    <row r="31" spans="1:15" x14ac:dyDescent="0.5">
      <c r="A31" s="27">
        <f>ROW()</f>
        <v>31</v>
      </c>
      <c r="O31" s="80"/>
    </row>
    <row r="32" spans="1:15" x14ac:dyDescent="0.5">
      <c r="A32" s="27">
        <f>ROW()</f>
        <v>32</v>
      </c>
      <c r="O32" s="80"/>
    </row>
    <row r="33" spans="1:18" ht="9.75" customHeight="1" x14ac:dyDescent="0.5">
      <c r="A33" s="27">
        <f>ROW()</f>
        <v>33</v>
      </c>
      <c r="O33" s="80"/>
    </row>
    <row r="34" spans="1:18" x14ac:dyDescent="0.5">
      <c r="A34" s="27">
        <f>ROW()</f>
        <v>34</v>
      </c>
      <c r="O34" s="80"/>
    </row>
    <row r="35" spans="1:18" x14ac:dyDescent="0.5">
      <c r="A35" s="27">
        <f>ROW()</f>
        <v>35</v>
      </c>
      <c r="O35" s="80"/>
    </row>
    <row r="36" spans="1:18" ht="12" customHeight="1" x14ac:dyDescent="0.5">
      <c r="A36" s="27">
        <f>ROW()</f>
        <v>36</v>
      </c>
      <c r="O36" s="80"/>
    </row>
    <row r="37" spans="1:18" ht="15" customHeight="1" x14ac:dyDescent="0.5">
      <c r="A37" s="27">
        <f>ROW()</f>
        <v>37</v>
      </c>
      <c r="O37" s="80"/>
    </row>
    <row r="38" spans="1:18" ht="16.5" customHeight="1" x14ac:dyDescent="0.5">
      <c r="A38" s="27">
        <f>ROW()</f>
        <v>38</v>
      </c>
      <c r="O38" s="80"/>
    </row>
    <row r="39" spans="1:18" x14ac:dyDescent="0.5">
      <c r="A39" s="27">
        <f>ROW()</f>
        <v>39</v>
      </c>
      <c r="O39" s="80"/>
    </row>
    <row r="40" spans="1:18" x14ac:dyDescent="0.5">
      <c r="A40" s="27">
        <f>ROW()</f>
        <v>40</v>
      </c>
      <c r="O40" s="80"/>
    </row>
    <row r="41" spans="1:18" x14ac:dyDescent="0.5">
      <c r="A41" s="27">
        <f>ROW()</f>
        <v>41</v>
      </c>
      <c r="O41" s="80"/>
    </row>
    <row r="42" spans="1:18" x14ac:dyDescent="0.5">
      <c r="A42" s="27">
        <f>ROW()</f>
        <v>42</v>
      </c>
      <c r="O42" s="80"/>
    </row>
    <row r="43" spans="1:18" x14ac:dyDescent="0.5">
      <c r="A43" s="27">
        <f>ROW()</f>
        <v>43</v>
      </c>
      <c r="O43" s="80"/>
    </row>
    <row r="44" spans="1:18" x14ac:dyDescent="0.5">
      <c r="A44" s="27">
        <f>ROW()</f>
        <v>44</v>
      </c>
      <c r="O44" s="80"/>
    </row>
    <row r="45" spans="1:18" x14ac:dyDescent="0.5">
      <c r="A45" s="27">
        <f>ROW()</f>
        <v>45</v>
      </c>
      <c r="O45" s="80"/>
    </row>
    <row r="46" spans="1:18" x14ac:dyDescent="0.5">
      <c r="A46" s="27">
        <f>ROW()</f>
        <v>46</v>
      </c>
      <c r="O46" s="80"/>
    </row>
    <row r="47" spans="1:18" x14ac:dyDescent="0.5">
      <c r="A47" s="27">
        <f>ROW()</f>
        <v>47</v>
      </c>
      <c r="O47" s="80"/>
      <c r="R47" s="138"/>
    </row>
    <row r="48" spans="1:18" x14ac:dyDescent="0.5">
      <c r="A48" s="27">
        <f>ROW()</f>
        <v>48</v>
      </c>
      <c r="O48" s="80"/>
      <c r="R48" s="138"/>
    </row>
    <row r="49" spans="1:18" x14ac:dyDescent="0.5">
      <c r="A49" s="27">
        <f>ROW()</f>
        <v>49</v>
      </c>
      <c r="O49" s="80"/>
    </row>
    <row r="50" spans="1:18" x14ac:dyDescent="0.5">
      <c r="A50" s="27">
        <f>ROW()</f>
        <v>50</v>
      </c>
      <c r="O50" s="80"/>
    </row>
    <row r="51" spans="1:18" x14ac:dyDescent="0.5">
      <c r="A51" s="27">
        <f>ROW()</f>
        <v>51</v>
      </c>
      <c r="O51" s="80"/>
    </row>
    <row r="52" spans="1:18" x14ac:dyDescent="0.5">
      <c r="A52" s="27">
        <f>ROW()</f>
        <v>52</v>
      </c>
      <c r="O52" s="80"/>
    </row>
    <row r="53" spans="1:18" x14ac:dyDescent="0.5">
      <c r="A53" s="27">
        <f>ROW()</f>
        <v>53</v>
      </c>
      <c r="O53" s="80"/>
    </row>
    <row r="54" spans="1:18" ht="7.5" customHeight="1" x14ac:dyDescent="0.5">
      <c r="A54" s="27">
        <f>ROW()</f>
        <v>54</v>
      </c>
      <c r="O54" s="80"/>
    </row>
    <row r="55" spans="1:18" x14ac:dyDescent="0.5">
      <c r="A55" s="27">
        <f>ROW()</f>
        <v>55</v>
      </c>
      <c r="O55" s="80"/>
    </row>
    <row r="56" spans="1:18" x14ac:dyDescent="0.5">
      <c r="A56" s="27">
        <f>ROW()</f>
        <v>56</v>
      </c>
      <c r="O56" s="80"/>
    </row>
    <row r="57" spans="1:18" ht="9" customHeight="1" x14ac:dyDescent="0.5">
      <c r="A57" s="27">
        <f>ROW()</f>
        <v>57</v>
      </c>
      <c r="O57" s="80"/>
    </row>
    <row r="58" spans="1:18" x14ac:dyDescent="0.5">
      <c r="A58" s="27">
        <f>ROW()</f>
        <v>58</v>
      </c>
    </row>
    <row r="59" spans="1:18" x14ac:dyDescent="0.5">
      <c r="A59" s="27">
        <f>ROW()</f>
        <v>59</v>
      </c>
    </row>
    <row r="60" spans="1:18" ht="17.25" customHeight="1" thickBot="1" x14ac:dyDescent="0.55000000000000004">
      <c r="A60" s="27">
        <f>ROW()</f>
        <v>60</v>
      </c>
    </row>
    <row r="61" spans="1:18" ht="16.5" customHeight="1" x14ac:dyDescent="0.5">
      <c r="A61" s="27">
        <f>ROW()</f>
        <v>61</v>
      </c>
      <c r="M61" s="229" t="s">
        <v>191</v>
      </c>
      <c r="N61" s="230"/>
      <c r="O61" s="230"/>
      <c r="P61" s="230"/>
      <c r="Q61" s="230"/>
      <c r="R61" s="231"/>
    </row>
    <row r="62" spans="1:18" x14ac:dyDescent="0.5">
      <c r="A62" s="27">
        <f>ROW()</f>
        <v>62</v>
      </c>
      <c r="M62" s="235"/>
      <c r="N62" s="236"/>
      <c r="O62" s="159" t="s">
        <v>193</v>
      </c>
      <c r="P62" s="159"/>
      <c r="Q62" s="159"/>
      <c r="R62" s="160"/>
    </row>
    <row r="63" spans="1:18" ht="14.7" thickBot="1" x14ac:dyDescent="0.55000000000000004">
      <c r="A63" s="27">
        <f>ROW()</f>
        <v>63</v>
      </c>
      <c r="M63" s="161" t="s">
        <v>195</v>
      </c>
      <c r="N63" s="162">
        <f>+'Fig. 5.10'!D40</f>
        <v>0.28773254360319478</v>
      </c>
      <c r="O63" s="163">
        <v>6</v>
      </c>
      <c r="P63" s="163">
        <v>6.5</v>
      </c>
      <c r="Q63" s="164">
        <v>7</v>
      </c>
      <c r="R63" s="165">
        <v>7.5</v>
      </c>
    </row>
    <row r="64" spans="1:18" ht="13.5" customHeight="1" thickBot="1" x14ac:dyDescent="0.55000000000000004">
      <c r="A64" s="27">
        <f>ROW()</f>
        <v>64</v>
      </c>
      <c r="M64" s="232" t="s">
        <v>196</v>
      </c>
      <c r="N64" s="166">
        <f>+'Fig. 5.10'!C7</f>
        <v>6.5000000000000002E-2</v>
      </c>
      <c r="O64" s="167">
        <v>0.30536628210444605</v>
      </c>
      <c r="P64" s="168">
        <v>0.22931650177408414</v>
      </c>
      <c r="Q64" s="169">
        <v>0.17662256692029299</v>
      </c>
      <c r="R64" s="170">
        <v>0.13808988070710093</v>
      </c>
    </row>
    <row r="65" spans="1:18" x14ac:dyDescent="0.5">
      <c r="A65" s="27">
        <f>ROW()</f>
        <v>65</v>
      </c>
      <c r="M65" s="233"/>
      <c r="N65" s="173">
        <f>+N64+0.005</f>
        <v>7.0000000000000007E-2</v>
      </c>
      <c r="O65" s="168">
        <v>0.31552537330244679</v>
      </c>
      <c r="P65" s="168">
        <v>0.23900648834997962</v>
      </c>
      <c r="Q65" s="174">
        <v>0.18592438431643532</v>
      </c>
      <c r="R65" s="170">
        <v>0.14705113939881542</v>
      </c>
    </row>
    <row r="66" spans="1:18" x14ac:dyDescent="0.5">
      <c r="A66" s="27">
        <f>ROW()</f>
        <v>66</v>
      </c>
      <c r="M66" s="233"/>
      <c r="N66" s="173">
        <f t="shared" ref="N66:N72" si="0">+N65+0.005</f>
        <v>7.5000000000000011E-2</v>
      </c>
      <c r="O66" s="177">
        <v>0.33543050795139351</v>
      </c>
      <c r="P66" s="177">
        <v>0.25796968498088924</v>
      </c>
      <c r="Q66" s="174">
        <v>0.20411679053609455</v>
      </c>
      <c r="R66" s="170">
        <v>0.16457417236673089</v>
      </c>
    </row>
    <row r="67" spans="1:18" x14ac:dyDescent="0.5">
      <c r="A67" s="27">
        <f>ROW()</f>
        <v>67</v>
      </c>
      <c r="M67" s="233"/>
      <c r="N67" s="173">
        <f t="shared" si="0"/>
        <v>8.0000000000000016E-2</v>
      </c>
      <c r="O67" s="177">
        <v>0.36436264609296498</v>
      </c>
      <c r="P67" s="177">
        <v>0.28548379593816264</v>
      </c>
      <c r="Q67" s="177">
        <v>0.23048863810974463</v>
      </c>
      <c r="R67" s="170">
        <v>0.18996852125238517</v>
      </c>
    </row>
    <row r="68" spans="1:18" x14ac:dyDescent="0.5">
      <c r="A68" s="27">
        <f>ROW()</f>
        <v>68</v>
      </c>
      <c r="M68" s="233"/>
      <c r="N68" s="173">
        <f t="shared" si="0"/>
        <v>8.500000000000002E-2</v>
      </c>
      <c r="O68" s="177">
        <v>0.40145921631158843</v>
      </c>
      <c r="P68" s="177">
        <v>0.32068827536376299</v>
      </c>
      <c r="Q68" s="177">
        <v>0.26419545215757134</v>
      </c>
      <c r="R68" s="183">
        <v>0.22241496464420463</v>
      </c>
    </row>
    <row r="69" spans="1:18" ht="12.75" customHeight="1" x14ac:dyDescent="0.5">
      <c r="A69" s="27">
        <f>ROW()</f>
        <v>69</v>
      </c>
      <c r="M69" s="233"/>
      <c r="N69" s="173">
        <f t="shared" si="0"/>
        <v>9.0000000000000024E-2</v>
      </c>
      <c r="O69" s="177">
        <v>0.44586720967791527</v>
      </c>
      <c r="P69" s="177">
        <v>0.36273944174905237</v>
      </c>
      <c r="Q69" s="177">
        <v>0.30441271500579981</v>
      </c>
      <c r="R69" s="183">
        <v>0.26111446945985306</v>
      </c>
    </row>
    <row r="70" spans="1:18" x14ac:dyDescent="0.5">
      <c r="A70" s="27">
        <f>ROW()</f>
        <v>70</v>
      </c>
      <c r="M70" s="233"/>
      <c r="N70" s="173">
        <f t="shared" si="0"/>
        <v>9.5000000000000029E-2</v>
      </c>
      <c r="O70" s="177">
        <v>0.49684667656362702</v>
      </c>
      <c r="P70" s="177">
        <v>0.41091266896554601</v>
      </c>
      <c r="Q70" s="177">
        <v>0.35043558132826447</v>
      </c>
      <c r="R70" s="183">
        <v>0.30538476754951072</v>
      </c>
    </row>
    <row r="71" spans="1:18" x14ac:dyDescent="0.5">
      <c r="A71" s="27">
        <f>ROW()</f>
        <v>71</v>
      </c>
      <c r="M71" s="233"/>
      <c r="N71" s="173">
        <f t="shared" si="0"/>
        <v>0.10000000000000003</v>
      </c>
      <c r="O71" s="177">
        <v>0.55381788910972429</v>
      </c>
      <c r="P71" s="177">
        <v>0.46464650691724763</v>
      </c>
      <c r="Q71" s="177">
        <v>0.40172076210440966</v>
      </c>
      <c r="R71" s="183">
        <v>0.35470062466972374</v>
      </c>
    </row>
    <row r="72" spans="1:18" ht="14.25" customHeight="1" x14ac:dyDescent="0.5">
      <c r="A72" s="27">
        <f>ROW()</f>
        <v>72</v>
      </c>
      <c r="M72" s="233"/>
      <c r="N72" s="173">
        <f t="shared" si="0"/>
        <v>0.10500000000000004</v>
      </c>
      <c r="O72" s="177">
        <v>0.61636592752914976</v>
      </c>
      <c r="P72" s="177">
        <v>0.5235442546108704</v>
      </c>
      <c r="Q72" s="177">
        <v>0.45788666508934606</v>
      </c>
      <c r="R72" s="183">
        <v>0.40869362060821457</v>
      </c>
    </row>
    <row r="73" spans="1:18" ht="12.75" customHeight="1" thickBot="1" x14ac:dyDescent="0.55000000000000004">
      <c r="A73" s="27">
        <f>ROW()</f>
        <v>73</v>
      </c>
      <c r="M73" s="234"/>
      <c r="N73" s="199">
        <f>+N72+0.005</f>
        <v>0.11000000000000004</v>
      </c>
      <c r="O73" s="200">
        <v>0.60080336352101216</v>
      </c>
      <c r="P73" s="200">
        <v>0.52030007032193593</v>
      </c>
      <c r="Q73" s="200">
        <v>0.46241312973023779</v>
      </c>
      <c r="R73" s="201">
        <v>0.41831573229415281</v>
      </c>
    </row>
    <row r="86" spans="6:12" x14ac:dyDescent="0.5">
      <c r="F86" s="80"/>
      <c r="H86" s="80"/>
      <c r="I86" s="80"/>
      <c r="J86" s="80"/>
      <c r="K86" s="80"/>
      <c r="L86" s="80"/>
    </row>
    <row r="87" spans="6:12" x14ac:dyDescent="0.5">
      <c r="F87" s="80"/>
      <c r="H87" s="80"/>
      <c r="I87" s="80"/>
      <c r="J87" s="80"/>
      <c r="K87" s="80"/>
      <c r="L87" s="80"/>
    </row>
    <row r="88" spans="6:12" x14ac:dyDescent="0.5">
      <c r="F88" s="80"/>
      <c r="H88" s="80"/>
      <c r="I88" s="80"/>
      <c r="J88" s="80"/>
      <c r="K88" s="80"/>
      <c r="L88" s="80"/>
    </row>
    <row r="89" spans="6:12" x14ac:dyDescent="0.5">
      <c r="F89" s="80"/>
      <c r="H89" s="80"/>
      <c r="I89" s="80"/>
      <c r="J89" s="80"/>
      <c r="K89" s="80"/>
      <c r="L89" s="80"/>
    </row>
    <row r="90" spans="6:12" x14ac:dyDescent="0.5">
      <c r="F90" s="80"/>
      <c r="H90" s="80"/>
      <c r="I90" s="80"/>
      <c r="J90" s="80"/>
      <c r="K90" s="80"/>
      <c r="L90" s="80"/>
    </row>
    <row r="91" spans="6:12" x14ac:dyDescent="0.5">
      <c r="F91" s="80"/>
      <c r="H91" s="80"/>
    </row>
    <row r="92" spans="6:12" x14ac:dyDescent="0.5">
      <c r="F92" s="80"/>
    </row>
    <row r="93" spans="6:12" x14ac:dyDescent="0.5">
      <c r="F93" s="80"/>
    </row>
    <row r="94" spans="6:12" x14ac:dyDescent="0.5">
      <c r="F94" s="80"/>
    </row>
    <row r="95" spans="6:12" x14ac:dyDescent="0.5">
      <c r="F95" s="80"/>
    </row>
    <row r="96" spans="6:12" x14ac:dyDescent="0.5">
      <c r="F96" s="80"/>
    </row>
    <row r="97" spans="6:6" x14ac:dyDescent="0.5">
      <c r="F97" s="80"/>
    </row>
    <row r="98" spans="6:6" x14ac:dyDescent="0.5">
      <c r="F98" s="80"/>
    </row>
    <row r="99" spans="6:6" x14ac:dyDescent="0.5">
      <c r="F99" s="80"/>
    </row>
    <row r="100" spans="6:6" x14ac:dyDescent="0.5">
      <c r="F100" s="80"/>
    </row>
    <row r="101" spans="6:6" x14ac:dyDescent="0.5">
      <c r="F101" s="80"/>
    </row>
    <row r="102" spans="6:6" x14ac:dyDescent="0.5">
      <c r="F102" s="80"/>
    </row>
    <row r="103" spans="6:6" x14ac:dyDescent="0.5">
      <c r="F103" s="80"/>
    </row>
    <row r="104" spans="6:6" x14ac:dyDescent="0.5">
      <c r="F104" s="80"/>
    </row>
    <row r="105" spans="6:6" x14ac:dyDescent="0.5">
      <c r="F105" s="80"/>
    </row>
    <row r="106" spans="6:6" x14ac:dyDescent="0.5">
      <c r="F106" s="80"/>
    </row>
    <row r="107" spans="6:6" x14ac:dyDescent="0.5">
      <c r="F107" s="80"/>
    </row>
    <row r="108" spans="6:6" x14ac:dyDescent="0.5">
      <c r="F108" s="80"/>
    </row>
    <row r="109" spans="6:6" x14ac:dyDescent="0.5">
      <c r="F109" s="80"/>
    </row>
    <row r="110" spans="6:6" x14ac:dyDescent="0.5">
      <c r="F110" s="80"/>
    </row>
    <row r="111" spans="6:6" x14ac:dyDescent="0.5">
      <c r="F111" s="80"/>
    </row>
    <row r="112" spans="6:6" x14ac:dyDescent="0.5">
      <c r="F112" s="80"/>
    </row>
    <row r="113" spans="6:6" x14ac:dyDescent="0.5">
      <c r="F113" s="80"/>
    </row>
    <row r="114" spans="6:6" x14ac:dyDescent="0.5">
      <c r="F114" s="80"/>
    </row>
    <row r="115" spans="6:6" x14ac:dyDescent="0.5">
      <c r="F115" s="80"/>
    </row>
    <row r="116" spans="6:6" x14ac:dyDescent="0.5">
      <c r="F116" s="80"/>
    </row>
    <row r="117" spans="6:6" x14ac:dyDescent="0.5">
      <c r="F117" s="80"/>
    </row>
    <row r="118" spans="6:6" x14ac:dyDescent="0.5">
      <c r="F118" s="80"/>
    </row>
    <row r="119" spans="6:6" x14ac:dyDescent="0.5">
      <c r="F119" s="80"/>
    </row>
    <row r="120" spans="6:6" x14ac:dyDescent="0.5">
      <c r="F120" s="80"/>
    </row>
    <row r="121" spans="6:6" x14ac:dyDescent="0.5">
      <c r="F121" s="80"/>
    </row>
  </sheetData>
  <mergeCells count="7">
    <mergeCell ref="H11:J11"/>
    <mergeCell ref="M61:R61"/>
    <mergeCell ref="M64:M73"/>
    <mergeCell ref="M62:N62"/>
    <mergeCell ref="K4:M4"/>
    <mergeCell ref="N4:P4"/>
    <mergeCell ref="K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C715-6C52-43A0-8750-EFB7189BD2AA}">
  <dimension ref="A4:S74"/>
  <sheetViews>
    <sheetView topLeftCell="A18" workbookViewId="0">
      <selection activeCell="E41" sqref="E41"/>
    </sheetView>
  </sheetViews>
  <sheetFormatPr defaultRowHeight="14.35" x14ac:dyDescent="0.5"/>
  <sheetData>
    <row r="4" spans="1:6" ht="14.7" thickBot="1" x14ac:dyDescent="0.55000000000000004">
      <c r="A4" s="30" t="s">
        <v>102</v>
      </c>
      <c r="B4" s="29"/>
      <c r="C4" s="31"/>
      <c r="D4" s="32"/>
      <c r="E4" s="33"/>
      <c r="F4" s="33"/>
    </row>
    <row r="5" spans="1:6" ht="14.7" thickBot="1" x14ac:dyDescent="0.55000000000000004">
      <c r="A5" s="237" t="s">
        <v>111</v>
      </c>
      <c r="B5" s="246"/>
      <c r="C5" s="247"/>
      <c r="D5" s="240" t="s">
        <v>112</v>
      </c>
      <c r="E5" s="241"/>
      <c r="F5" s="242"/>
    </row>
    <row r="6" spans="1:6" ht="64.349999999999994" thickBot="1" x14ac:dyDescent="0.55000000000000004">
      <c r="A6" s="35" t="s">
        <v>114</v>
      </c>
      <c r="B6" s="35" t="s">
        <v>115</v>
      </c>
      <c r="C6" s="45" t="s">
        <v>116</v>
      </c>
      <c r="D6" s="46" t="s">
        <v>117</v>
      </c>
      <c r="E6" s="47" t="s">
        <v>118</v>
      </c>
      <c r="F6" s="48" t="s">
        <v>119</v>
      </c>
    </row>
    <row r="7" spans="1:6" ht="14.7" thickBot="1" x14ac:dyDescent="0.55000000000000004">
      <c r="A7" s="55">
        <v>2.2499999999999999E-2</v>
      </c>
      <c r="B7" s="56">
        <v>0.04</v>
      </c>
      <c r="C7" s="57">
        <f>+B7+A7</f>
        <v>6.25E-2</v>
      </c>
      <c r="D7" s="58">
        <v>1</v>
      </c>
      <c r="E7" s="59">
        <v>524351</v>
      </c>
      <c r="F7" s="60">
        <v>7.0300000000000001E-2</v>
      </c>
    </row>
    <row r="8" spans="1:6" ht="14.7" thickBot="1" x14ac:dyDescent="0.55000000000000004">
      <c r="D8" s="63"/>
      <c r="E8" s="64"/>
      <c r="F8" s="65"/>
    </row>
    <row r="9" spans="1:6" ht="14.7" thickBot="1" x14ac:dyDescent="0.55000000000000004">
      <c r="A9" s="243" t="s">
        <v>123</v>
      </c>
      <c r="B9" s="248"/>
      <c r="C9" s="249"/>
      <c r="D9" s="69">
        <v>2</v>
      </c>
      <c r="E9" s="50">
        <v>10343.764999999999</v>
      </c>
      <c r="F9" s="70">
        <v>8.0500000000000002E-2</v>
      </c>
    </row>
    <row r="10" spans="1:6" ht="14.7" thickBot="1" x14ac:dyDescent="0.55000000000000004">
      <c r="A10" s="76"/>
      <c r="B10" s="77">
        <v>0.09</v>
      </c>
      <c r="C10" s="78"/>
      <c r="D10" s="58">
        <v>3</v>
      </c>
      <c r="E10" s="59">
        <v>4143.902</v>
      </c>
      <c r="F10" s="60">
        <v>8.4699999999999998E-2</v>
      </c>
    </row>
    <row r="11" spans="1:6" x14ac:dyDescent="0.5">
      <c r="D11" s="58">
        <v>4</v>
      </c>
      <c r="E11" s="59">
        <v>2177.4479999999999</v>
      </c>
      <c r="F11" s="60">
        <v>8.7499999999999994E-2</v>
      </c>
    </row>
    <row r="12" spans="1:6" x14ac:dyDescent="0.5">
      <c r="D12" s="58">
        <v>5</v>
      </c>
      <c r="E12" s="59">
        <v>1327.5820000000001</v>
      </c>
      <c r="F12" s="60">
        <v>9.0300000000000005E-2</v>
      </c>
    </row>
    <row r="13" spans="1:6" x14ac:dyDescent="0.5">
      <c r="D13" s="58">
        <v>6</v>
      </c>
      <c r="E13" s="59">
        <v>840</v>
      </c>
      <c r="F13" s="60">
        <v>9.1800000000000007E-2</v>
      </c>
    </row>
    <row r="14" spans="1:6" x14ac:dyDescent="0.5">
      <c r="D14" s="58">
        <v>7</v>
      </c>
      <c r="E14" s="59">
        <v>537.69299999999998</v>
      </c>
      <c r="F14" s="60">
        <v>9.5799999999999996E-2</v>
      </c>
    </row>
    <row r="15" spans="1:6" x14ac:dyDescent="0.5">
      <c r="D15" s="58">
        <v>8</v>
      </c>
      <c r="E15" s="59">
        <v>333.44200000000001</v>
      </c>
      <c r="F15" s="60">
        <v>9.9099999999999994E-2</v>
      </c>
    </row>
    <row r="16" spans="1:6" x14ac:dyDescent="0.5">
      <c r="D16" s="58">
        <v>9</v>
      </c>
      <c r="E16" s="59">
        <v>192.59800000000001</v>
      </c>
      <c r="F16" s="60">
        <v>0.1043</v>
      </c>
    </row>
    <row r="17" spans="1:18" ht="14.7" thickBot="1" x14ac:dyDescent="0.55000000000000004">
      <c r="D17" s="97">
        <v>10</v>
      </c>
      <c r="E17" s="98">
        <v>84.521000000000001</v>
      </c>
      <c r="F17" s="99">
        <v>0.1105</v>
      </c>
    </row>
    <row r="18" spans="1:18" ht="14.7" thickBot="1" x14ac:dyDescent="0.55000000000000004"/>
    <row r="19" spans="1:18" ht="12.75" customHeight="1" thickBot="1" x14ac:dyDescent="0.55000000000000004">
      <c r="A19" s="27">
        <f>ROW()</f>
        <v>19</v>
      </c>
      <c r="C19" s="104" t="s">
        <v>138</v>
      </c>
      <c r="D19" s="104"/>
      <c r="E19" s="105"/>
      <c r="F19" s="105"/>
      <c r="G19" s="105"/>
      <c r="H19" s="105"/>
      <c r="I19" s="105"/>
      <c r="J19" s="105"/>
      <c r="K19" s="105"/>
      <c r="L19" s="106"/>
      <c r="M19" s="107"/>
      <c r="N19" s="105"/>
      <c r="O19" s="105"/>
      <c r="P19" s="105"/>
      <c r="Q19" s="105"/>
      <c r="R19" s="105"/>
    </row>
    <row r="20" spans="1:18" ht="15.75" customHeight="1" thickBot="1" x14ac:dyDescent="0.55000000000000004">
      <c r="A20" s="27">
        <f>ROW()</f>
        <v>20</v>
      </c>
      <c r="C20" s="108" t="s">
        <v>139</v>
      </c>
      <c r="D20" s="109" t="s">
        <v>140</v>
      </c>
      <c r="E20" s="110" t="s">
        <v>141</v>
      </c>
      <c r="F20" s="111">
        <f>+F40</f>
        <v>2020</v>
      </c>
      <c r="G20" s="111">
        <f>+G40</f>
        <v>2021</v>
      </c>
      <c r="H20" s="111">
        <f>+H40</f>
        <v>2022</v>
      </c>
      <c r="I20" s="111">
        <f>+I40</f>
        <v>2023</v>
      </c>
      <c r="J20" s="111">
        <f>+J40</f>
        <v>2024</v>
      </c>
      <c r="K20" s="111"/>
      <c r="L20" s="110">
        <f>+L40</f>
        <v>2025</v>
      </c>
      <c r="M20" s="111">
        <f t="shared" ref="M20:R20" si="0">+L20+1</f>
        <v>2026</v>
      </c>
      <c r="N20" s="111">
        <f t="shared" si="0"/>
        <v>2027</v>
      </c>
      <c r="O20" s="111">
        <f t="shared" si="0"/>
        <v>2028</v>
      </c>
      <c r="P20" s="111">
        <f t="shared" si="0"/>
        <v>2029</v>
      </c>
      <c r="Q20" s="111">
        <f t="shared" si="0"/>
        <v>2030</v>
      </c>
      <c r="R20" s="111">
        <f t="shared" si="0"/>
        <v>2031</v>
      </c>
    </row>
    <row r="21" spans="1:18" ht="12.75" customHeight="1" x14ac:dyDescent="0.5">
      <c r="A21" s="27">
        <f>ROW()</f>
        <v>21</v>
      </c>
      <c r="C21" t="s">
        <v>142</v>
      </c>
      <c r="E21" s="112">
        <f>+'Fig. 5.7'!D5</f>
        <v>60000000</v>
      </c>
      <c r="F21" s="80">
        <f>+E21-F22</f>
        <v>57000000</v>
      </c>
      <c r="G21" s="80">
        <f>+F21-G22</f>
        <v>53000000</v>
      </c>
      <c r="H21" s="80">
        <f>+G21-H22</f>
        <v>48000000</v>
      </c>
      <c r="I21" s="80">
        <f>+H21-I22</f>
        <v>43000000</v>
      </c>
      <c r="J21" s="80">
        <f>+I21-J22</f>
        <v>37000000</v>
      </c>
      <c r="K21" s="80"/>
      <c r="L21" s="87">
        <f>+J21-L22</f>
        <v>30000000</v>
      </c>
      <c r="M21" s="80">
        <f t="shared" ref="M21:R21" si="1">+L21-M22</f>
        <v>0</v>
      </c>
      <c r="N21" s="80">
        <f t="shared" si="1"/>
        <v>0</v>
      </c>
      <c r="O21" s="80">
        <f t="shared" si="1"/>
        <v>0</v>
      </c>
      <c r="P21" s="80">
        <f t="shared" si="1"/>
        <v>0</v>
      </c>
      <c r="Q21" s="80">
        <f t="shared" si="1"/>
        <v>0</v>
      </c>
      <c r="R21" s="80">
        <f t="shared" si="1"/>
        <v>0</v>
      </c>
    </row>
    <row r="22" spans="1:18" x14ac:dyDescent="0.5">
      <c r="A22" s="27">
        <f>ROW()</f>
        <v>22</v>
      </c>
      <c r="C22" t="s">
        <v>143</v>
      </c>
      <c r="E22" s="113" t="s">
        <v>144</v>
      </c>
      <c r="F22" s="40">
        <v>3000000</v>
      </c>
      <c r="G22" s="40">
        <v>4000000</v>
      </c>
      <c r="H22" s="40">
        <v>5000000</v>
      </c>
      <c r="I22" s="40">
        <v>5000000</v>
      </c>
      <c r="J22" s="40">
        <f>+I22+1000000</f>
        <v>6000000</v>
      </c>
      <c r="K22" s="40"/>
      <c r="L22" s="114">
        <v>7000000</v>
      </c>
      <c r="M22" s="40">
        <f t="shared" ref="M22:R22" si="2">+L21</f>
        <v>30000000</v>
      </c>
      <c r="N22" s="80">
        <f t="shared" si="2"/>
        <v>0</v>
      </c>
      <c r="O22" s="80">
        <f t="shared" si="2"/>
        <v>0</v>
      </c>
      <c r="P22" s="80">
        <f t="shared" si="2"/>
        <v>0</v>
      </c>
      <c r="Q22" s="80">
        <f t="shared" si="2"/>
        <v>0</v>
      </c>
      <c r="R22" s="80">
        <f t="shared" si="2"/>
        <v>0</v>
      </c>
    </row>
    <row r="23" spans="1:18" x14ac:dyDescent="0.5">
      <c r="A23" s="27">
        <f>ROW()</f>
        <v>23</v>
      </c>
      <c r="C23" t="s">
        <v>145</v>
      </c>
      <c r="E23" s="115">
        <f>+'Fig. 5.7'!F5</f>
        <v>7.3593149782850142E-2</v>
      </c>
      <c r="F23" s="80">
        <f>+E21*F27</f>
        <v>3750000</v>
      </c>
      <c r="G23" s="80">
        <f>+F21*G27</f>
        <v>3847500.0000000005</v>
      </c>
      <c r="H23" s="80">
        <f>+G21*H27</f>
        <v>3842500.0000000005</v>
      </c>
      <c r="I23" s="80">
        <f>+H21*I27</f>
        <v>3960000</v>
      </c>
      <c r="J23" s="80">
        <f>+I21*J27</f>
        <v>3547500</v>
      </c>
      <c r="K23" s="80"/>
      <c r="L23" s="87">
        <f>+J21*L27</f>
        <v>3052500</v>
      </c>
      <c r="M23" s="80">
        <f t="shared" ref="M23:R23" si="3">+L21*M27</f>
        <v>2475000</v>
      </c>
      <c r="N23" s="80">
        <f t="shared" si="3"/>
        <v>0</v>
      </c>
      <c r="O23" s="80">
        <f t="shared" si="3"/>
        <v>0</v>
      </c>
      <c r="P23" s="80">
        <f t="shared" si="3"/>
        <v>0</v>
      </c>
      <c r="Q23" s="80">
        <f t="shared" si="3"/>
        <v>0</v>
      </c>
      <c r="R23" s="80">
        <f t="shared" si="3"/>
        <v>0</v>
      </c>
    </row>
    <row r="24" spans="1:18" ht="14.7" thickBot="1" x14ac:dyDescent="0.55000000000000004">
      <c r="A24" s="27">
        <f>ROW()</f>
        <v>24</v>
      </c>
      <c r="C24" t="s">
        <v>146</v>
      </c>
      <c r="D24" s="116">
        <f>IRR(E24:O24)</f>
        <v>7.3593149782850142E-2</v>
      </c>
      <c r="E24" s="117">
        <f>-E21</f>
        <v>-60000000</v>
      </c>
      <c r="F24" s="72">
        <f>+F22+F23</f>
        <v>6750000</v>
      </c>
      <c r="G24" s="72">
        <f>+G22+G23</f>
        <v>7847500</v>
      </c>
      <c r="H24" s="72">
        <f>+H22+H23</f>
        <v>8842500</v>
      </c>
      <c r="I24" s="72">
        <f>+I22+I23</f>
        <v>8960000</v>
      </c>
      <c r="J24" s="72">
        <f>+J22+J23</f>
        <v>9547500</v>
      </c>
      <c r="K24" s="72"/>
      <c r="L24" s="118">
        <f t="shared" ref="L24:R24" si="4">+L22+L23</f>
        <v>10052500</v>
      </c>
      <c r="M24" s="72">
        <f t="shared" si="4"/>
        <v>32475000</v>
      </c>
      <c r="N24" s="72">
        <f t="shared" si="4"/>
        <v>0</v>
      </c>
      <c r="O24" s="72">
        <f t="shared" si="4"/>
        <v>0</v>
      </c>
      <c r="P24" s="72">
        <f t="shared" si="4"/>
        <v>0</v>
      </c>
      <c r="Q24" s="72">
        <f t="shared" si="4"/>
        <v>0</v>
      </c>
      <c r="R24" s="72">
        <f t="shared" si="4"/>
        <v>0</v>
      </c>
    </row>
    <row r="25" spans="1:18" ht="14.7" thickTop="1" x14ac:dyDescent="0.5">
      <c r="A25" s="27">
        <f>ROW()</f>
        <v>25</v>
      </c>
      <c r="C25" s="108" t="s">
        <v>147</v>
      </c>
      <c r="D25" s="119"/>
      <c r="E25" s="120">
        <f>+'DO NOT USE 2'!A7</f>
        <v>2.2499999999999999E-2</v>
      </c>
      <c r="F25" s="121">
        <f>+E25+F26</f>
        <v>2.2499999999999999E-2</v>
      </c>
      <c r="G25" s="121">
        <f>+F25+G26</f>
        <v>2.75E-2</v>
      </c>
      <c r="H25" s="121">
        <f>+G25+H26</f>
        <v>3.2500000000000001E-2</v>
      </c>
      <c r="I25" s="121">
        <f>+H25+I26</f>
        <v>4.2500000000000003E-2</v>
      </c>
      <c r="J25" s="121">
        <f>+I25+J26</f>
        <v>4.2500000000000003E-2</v>
      </c>
      <c r="K25" s="121"/>
      <c r="L25" s="120">
        <f>+J25+L26</f>
        <v>4.2500000000000003E-2</v>
      </c>
      <c r="M25" s="121">
        <f t="shared" ref="M25:R25" si="5">+L25+M26</f>
        <v>4.2500000000000003E-2</v>
      </c>
      <c r="N25" s="121">
        <f t="shared" si="5"/>
        <v>4.2500000000000003E-2</v>
      </c>
      <c r="O25" s="121">
        <f t="shared" si="5"/>
        <v>4.2500000000000003E-2</v>
      </c>
      <c r="P25" s="121">
        <f t="shared" si="5"/>
        <v>4.2500000000000003E-2</v>
      </c>
      <c r="Q25" s="121">
        <f t="shared" si="5"/>
        <v>4.2500000000000003E-2</v>
      </c>
      <c r="R25" s="121">
        <f t="shared" si="5"/>
        <v>4.2500000000000003E-2</v>
      </c>
    </row>
    <row r="26" spans="1:18" x14ac:dyDescent="0.5">
      <c r="A26" s="27">
        <f>ROW()</f>
        <v>26</v>
      </c>
      <c r="C26" s="122" t="s">
        <v>148</v>
      </c>
      <c r="D26" s="119"/>
      <c r="E26" s="120"/>
      <c r="F26" s="123">
        <v>0</v>
      </c>
      <c r="G26" s="123">
        <v>5.0000000000000001E-3</v>
      </c>
      <c r="H26" s="123">
        <v>5.0000000000000001E-3</v>
      </c>
      <c r="I26" s="123">
        <v>0.01</v>
      </c>
      <c r="J26" s="121">
        <v>0</v>
      </c>
      <c r="K26" s="121"/>
      <c r="L26" s="120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</row>
    <row r="27" spans="1:18" x14ac:dyDescent="0.5">
      <c r="A27" s="27"/>
      <c r="C27" s="122" t="s">
        <v>149</v>
      </c>
      <c r="D27" s="119"/>
      <c r="E27" s="120"/>
      <c r="F27" s="123">
        <f>+F25+'DO NOT USE 2'!$B$7</f>
        <v>6.25E-2</v>
      </c>
      <c r="G27" s="123">
        <f>+G25+'DO NOT USE 2'!$B$7</f>
        <v>6.7500000000000004E-2</v>
      </c>
      <c r="H27" s="123">
        <f>+H25+'DO NOT USE 2'!$B$7</f>
        <v>7.2500000000000009E-2</v>
      </c>
      <c r="I27" s="123">
        <f>+I25+'DO NOT USE 2'!$B$7</f>
        <v>8.2500000000000004E-2</v>
      </c>
      <c r="J27" s="121">
        <f>+J25+'DO NOT USE 2'!$B$7</f>
        <v>8.2500000000000004E-2</v>
      </c>
      <c r="K27" s="121"/>
      <c r="L27" s="120">
        <f>+L25+'DO NOT USE 2'!$B$7</f>
        <v>8.2500000000000004E-2</v>
      </c>
      <c r="M27" s="121">
        <f>+M25+'DO NOT USE 2'!$B$7</f>
        <v>8.2500000000000004E-2</v>
      </c>
      <c r="N27" s="121">
        <f>+N25+'DO NOT USE 2'!$B$7</f>
        <v>8.2500000000000004E-2</v>
      </c>
      <c r="O27" s="121">
        <f>+O25+'DO NOT USE 2'!$B$7</f>
        <v>8.2500000000000004E-2</v>
      </c>
      <c r="P27" s="121">
        <f>+P25+'DO NOT USE 2'!$B$7</f>
        <v>8.2500000000000004E-2</v>
      </c>
      <c r="Q27" s="121">
        <f>+Q25+'DO NOT USE 2'!$B$7</f>
        <v>8.2500000000000004E-2</v>
      </c>
      <c r="R27" s="121">
        <f>+R25+'DO NOT USE 2'!$B$7</f>
        <v>8.2500000000000004E-2</v>
      </c>
    </row>
    <row r="28" spans="1:18" ht="8.25" customHeight="1" x14ac:dyDescent="0.5">
      <c r="A28" s="27">
        <f>ROW()</f>
        <v>28</v>
      </c>
      <c r="D28" s="116"/>
      <c r="E28" s="124"/>
      <c r="L28" s="124"/>
    </row>
    <row r="29" spans="1:18" x14ac:dyDescent="0.5">
      <c r="A29" s="27">
        <f>ROW()</f>
        <v>29</v>
      </c>
      <c r="C29" s="108" t="s">
        <v>150</v>
      </c>
      <c r="D29" s="125"/>
      <c r="E29" s="124"/>
      <c r="L29" s="124"/>
    </row>
    <row r="30" spans="1:18" x14ac:dyDescent="0.5">
      <c r="A30" s="27">
        <f>ROW()</f>
        <v>30</v>
      </c>
      <c r="C30" t="s">
        <v>151</v>
      </c>
      <c r="D30" s="116"/>
      <c r="E30" s="112">
        <f>+'Fig. 5.7'!D6</f>
        <v>40000000</v>
      </c>
      <c r="F30" s="80">
        <f>+E30-F31</f>
        <v>40000000</v>
      </c>
      <c r="G30" s="80">
        <f>+F30-G31</f>
        <v>40000000</v>
      </c>
      <c r="H30" s="80">
        <f>+G30-H31</f>
        <v>40000000</v>
      </c>
      <c r="I30" s="80">
        <f>+H30-I31</f>
        <v>40000000</v>
      </c>
      <c r="J30" s="80">
        <f>+I30-J31</f>
        <v>40000000</v>
      </c>
      <c r="K30" s="80"/>
      <c r="L30" s="87">
        <f>+J30-L31</f>
        <v>40000000</v>
      </c>
      <c r="M30" s="80">
        <f>+L30-M31</f>
        <v>40000000</v>
      </c>
      <c r="N30" s="80">
        <f>+M30-N31</f>
        <v>40000000</v>
      </c>
      <c r="O30" s="80">
        <f>+N30-O31</f>
        <v>40000000</v>
      </c>
      <c r="P30" s="80">
        <f>+O30-P31</f>
        <v>0</v>
      </c>
      <c r="Q30" s="80"/>
      <c r="R30" s="80"/>
    </row>
    <row r="31" spans="1:18" x14ac:dyDescent="0.5">
      <c r="A31" s="27">
        <f>ROW()</f>
        <v>31</v>
      </c>
      <c r="C31" t="s">
        <v>143</v>
      </c>
      <c r="D31" s="116"/>
      <c r="E31" s="113" t="s">
        <v>152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/>
      <c r="L31" s="114">
        <v>0</v>
      </c>
      <c r="M31" s="40">
        <v>0</v>
      </c>
      <c r="N31" s="40">
        <v>0</v>
      </c>
      <c r="O31" s="40">
        <v>0</v>
      </c>
      <c r="P31" s="40">
        <f>+O30</f>
        <v>40000000</v>
      </c>
      <c r="Q31" s="40"/>
      <c r="R31" s="40"/>
    </row>
    <row r="32" spans="1:18" x14ac:dyDescent="0.5">
      <c r="A32" s="27">
        <f>ROW()</f>
        <v>32</v>
      </c>
      <c r="C32" t="s">
        <v>145</v>
      </c>
      <c r="D32" s="116"/>
      <c r="E32" s="126">
        <f>+'DO NOT USE 2'!B10</f>
        <v>0.09</v>
      </c>
      <c r="F32" s="80">
        <f>+E30*$E$32</f>
        <v>3600000</v>
      </c>
      <c r="G32" s="80">
        <f>+F30*$E$32</f>
        <v>3600000</v>
      </c>
      <c r="H32" s="80">
        <f>+G30*$E$32</f>
        <v>3600000</v>
      </c>
      <c r="I32" s="80">
        <f>+H30*$E$32</f>
        <v>3600000</v>
      </c>
      <c r="J32" s="80">
        <f>+I30*$E$32</f>
        <v>3600000</v>
      </c>
      <c r="K32" s="80"/>
      <c r="L32" s="87">
        <f>+J30*$E$32</f>
        <v>3600000</v>
      </c>
      <c r="M32" s="80">
        <f t="shared" ref="M32:R32" si="6">+L30*$E$32</f>
        <v>3600000</v>
      </c>
      <c r="N32" s="80">
        <f t="shared" si="6"/>
        <v>3600000</v>
      </c>
      <c r="O32" s="80">
        <f t="shared" si="6"/>
        <v>3600000</v>
      </c>
      <c r="P32" s="80">
        <f t="shared" si="6"/>
        <v>3600000</v>
      </c>
      <c r="Q32" s="80">
        <f t="shared" si="6"/>
        <v>0</v>
      </c>
      <c r="R32" s="80">
        <f t="shared" si="6"/>
        <v>0</v>
      </c>
    </row>
    <row r="33" spans="1:19" ht="14.7" thickBot="1" x14ac:dyDescent="0.55000000000000004">
      <c r="A33" s="27">
        <f>ROW()</f>
        <v>33</v>
      </c>
      <c r="C33" t="s">
        <v>146</v>
      </c>
      <c r="D33" s="116">
        <f>IRR(E33:R33)</f>
        <v>9.000000000000008E-2</v>
      </c>
      <c r="E33" s="117">
        <f>-E30</f>
        <v>-40000000</v>
      </c>
      <c r="F33" s="72">
        <f>+F31+F32</f>
        <v>3600000</v>
      </c>
      <c r="G33" s="72">
        <f>+G31+G32</f>
        <v>3600000</v>
      </c>
      <c r="H33" s="72">
        <f>+H31+H32</f>
        <v>3600000</v>
      </c>
      <c r="I33" s="72">
        <f>+I31+I32</f>
        <v>3600000</v>
      </c>
      <c r="J33" s="72">
        <f>+J31+J32</f>
        <v>3600000</v>
      </c>
      <c r="K33" s="72"/>
      <c r="L33" s="118">
        <f t="shared" ref="L33:R33" si="7">+L31+L32</f>
        <v>3600000</v>
      </c>
      <c r="M33" s="72">
        <f t="shared" si="7"/>
        <v>3600000</v>
      </c>
      <c r="N33" s="72">
        <f t="shared" si="7"/>
        <v>3600000</v>
      </c>
      <c r="O33" s="72">
        <f t="shared" si="7"/>
        <v>3600000</v>
      </c>
      <c r="P33" s="72">
        <f t="shared" si="7"/>
        <v>43600000</v>
      </c>
      <c r="Q33" s="72">
        <f t="shared" si="7"/>
        <v>0</v>
      </c>
      <c r="R33" s="72">
        <f t="shared" si="7"/>
        <v>0</v>
      </c>
    </row>
    <row r="34" spans="1:19" ht="9.75" customHeight="1" thickTop="1" x14ac:dyDescent="0.5">
      <c r="A34" s="27">
        <f>ROW()</f>
        <v>34</v>
      </c>
      <c r="E34" s="124"/>
      <c r="F34" s="80"/>
      <c r="G34" s="80"/>
      <c r="H34" s="80"/>
      <c r="I34" s="80"/>
      <c r="J34" s="80"/>
      <c r="K34" s="80"/>
      <c r="L34" s="87"/>
      <c r="M34" s="80"/>
      <c r="N34" s="80"/>
      <c r="O34" s="80"/>
    </row>
    <row r="35" spans="1:19" x14ac:dyDescent="0.5">
      <c r="A35" s="27">
        <f>ROW()</f>
        <v>35</v>
      </c>
      <c r="C35" t="s">
        <v>153</v>
      </c>
      <c r="E35" s="124"/>
      <c r="F35" s="80">
        <f>+F31+F32+F22+F23</f>
        <v>10350000</v>
      </c>
      <c r="G35" s="80">
        <f>+G31+G32+G22+G23</f>
        <v>11447500</v>
      </c>
      <c r="H35" s="80">
        <f>+H31+H32+H22+H23</f>
        <v>12442500</v>
      </c>
      <c r="I35" s="80">
        <f>+I31+I32+I22+I23</f>
        <v>12560000</v>
      </c>
      <c r="J35" s="80">
        <f>+J31+J32+J22+J23</f>
        <v>13147500</v>
      </c>
      <c r="K35" s="80"/>
      <c r="L35" s="87">
        <f t="shared" ref="L35:R35" si="8">+L31+L32+L22+L23</f>
        <v>13652500</v>
      </c>
      <c r="M35" s="80">
        <f t="shared" si="8"/>
        <v>36075000</v>
      </c>
      <c r="N35" s="80">
        <f t="shared" si="8"/>
        <v>3600000</v>
      </c>
      <c r="O35" s="80">
        <f t="shared" si="8"/>
        <v>3600000</v>
      </c>
      <c r="P35" s="80">
        <f t="shared" si="8"/>
        <v>43600000</v>
      </c>
      <c r="Q35" s="80">
        <f t="shared" si="8"/>
        <v>0</v>
      </c>
      <c r="R35" s="80">
        <f t="shared" si="8"/>
        <v>0</v>
      </c>
    </row>
    <row r="36" spans="1:19" ht="14.7" thickBot="1" x14ac:dyDescent="0.55000000000000004">
      <c r="A36" s="27">
        <f>ROW()</f>
        <v>36</v>
      </c>
      <c r="C36" t="s">
        <v>154</v>
      </c>
      <c r="E36" s="127"/>
      <c r="F36" s="80">
        <f>+F30+F21</f>
        <v>97000000</v>
      </c>
      <c r="G36" s="80">
        <f>+G30+G21</f>
        <v>93000000</v>
      </c>
      <c r="H36" s="80">
        <f>+H30+H21</f>
        <v>88000000</v>
      </c>
      <c r="I36" s="80">
        <f>+I30+I21</f>
        <v>83000000</v>
      </c>
      <c r="J36" s="80">
        <f>+J30+J21</f>
        <v>77000000</v>
      </c>
      <c r="K36" s="80"/>
      <c r="L36" s="128">
        <f t="shared" ref="L36:R36" si="9">+L30+L21</f>
        <v>70000000</v>
      </c>
      <c r="M36" s="80">
        <f t="shared" si="9"/>
        <v>40000000</v>
      </c>
      <c r="N36" s="80">
        <f t="shared" si="9"/>
        <v>40000000</v>
      </c>
      <c r="O36" s="80">
        <f t="shared" si="9"/>
        <v>40000000</v>
      </c>
      <c r="P36" s="80">
        <f t="shared" si="9"/>
        <v>0</v>
      </c>
      <c r="Q36" s="80">
        <f t="shared" si="9"/>
        <v>0</v>
      </c>
      <c r="R36" s="80">
        <f t="shared" si="9"/>
        <v>0</v>
      </c>
    </row>
    <row r="37" spans="1:19" ht="12" customHeight="1" thickBot="1" x14ac:dyDescent="0.55000000000000004">
      <c r="A37" s="27">
        <f>ROW()</f>
        <v>37</v>
      </c>
      <c r="C37" s="103"/>
      <c r="D37" s="103"/>
      <c r="E37" s="103"/>
      <c r="F37" s="100"/>
      <c r="G37" s="100"/>
      <c r="H37" s="100"/>
      <c r="I37" s="100"/>
      <c r="J37" s="100"/>
      <c r="K37" s="100"/>
      <c r="L37" s="91"/>
      <c r="M37" s="100"/>
      <c r="N37" s="103"/>
      <c r="O37" s="103"/>
    </row>
    <row r="38" spans="1:19" ht="15" customHeight="1" thickBot="1" x14ac:dyDescent="0.55000000000000004">
      <c r="A38" s="27">
        <f>ROW()</f>
        <v>38</v>
      </c>
      <c r="C38" s="104" t="s">
        <v>155</v>
      </c>
      <c r="D38" s="104"/>
      <c r="E38" s="105"/>
      <c r="F38" s="105"/>
      <c r="G38" s="105"/>
      <c r="H38" s="105"/>
      <c r="I38" s="105"/>
      <c r="J38" s="105"/>
      <c r="K38" s="105"/>
      <c r="L38" s="106"/>
      <c r="M38" s="107"/>
      <c r="N38" s="105"/>
      <c r="O38" s="105"/>
      <c r="P38" s="105"/>
      <c r="Q38" s="105"/>
      <c r="R38" s="105"/>
    </row>
    <row r="39" spans="1:19" ht="16.5" customHeight="1" x14ac:dyDescent="0.5">
      <c r="A39" s="27">
        <f>ROW()</f>
        <v>39</v>
      </c>
      <c r="C39" s="22" t="s">
        <v>156</v>
      </c>
      <c r="D39" s="129" t="s">
        <v>157</v>
      </c>
      <c r="E39" s="130" t="s">
        <v>158</v>
      </c>
      <c r="F39" s="131" t="s">
        <v>159</v>
      </c>
      <c r="G39" s="131" t="s">
        <v>160</v>
      </c>
      <c r="H39" s="131" t="s">
        <v>161</v>
      </c>
      <c r="I39" s="131" t="s">
        <v>162</v>
      </c>
      <c r="J39" s="131" t="s">
        <v>163</v>
      </c>
      <c r="K39" s="131"/>
      <c r="L39" s="130" t="s">
        <v>164</v>
      </c>
    </row>
    <row r="40" spans="1:19" ht="14.7" thickBot="1" x14ac:dyDescent="0.55000000000000004">
      <c r="A40" s="27">
        <f>ROW()</f>
        <v>40</v>
      </c>
      <c r="D40" s="132" t="s">
        <v>165</v>
      </c>
      <c r="E40" s="133">
        <v>2019</v>
      </c>
      <c r="F40" s="134">
        <f>+E40+1</f>
        <v>2020</v>
      </c>
      <c r="G40" s="134">
        <f>+F40+1</f>
        <v>2021</v>
      </c>
      <c r="H40" s="134">
        <f>+G40+1</f>
        <v>2022</v>
      </c>
      <c r="I40" s="134">
        <f>+H40+1</f>
        <v>2023</v>
      </c>
      <c r="J40" s="134">
        <f>+I40+1</f>
        <v>2024</v>
      </c>
      <c r="K40" s="134"/>
      <c r="L40" s="135">
        <f>+J40+1</f>
        <v>2025</v>
      </c>
      <c r="M40" s="134">
        <f t="shared" ref="M40:R40" si="10">+L40+1</f>
        <v>2026</v>
      </c>
      <c r="N40" s="134">
        <f t="shared" si="10"/>
        <v>2027</v>
      </c>
      <c r="O40" s="134">
        <f t="shared" si="10"/>
        <v>2028</v>
      </c>
      <c r="P40" s="134">
        <f t="shared" si="10"/>
        <v>2029</v>
      </c>
      <c r="Q40" s="134">
        <f t="shared" si="10"/>
        <v>2030</v>
      </c>
      <c r="R40" s="134">
        <f t="shared" si="10"/>
        <v>2031</v>
      </c>
    </row>
    <row r="41" spans="1:19" x14ac:dyDescent="0.5">
      <c r="A41" s="27">
        <f>ROW()</f>
        <v>41</v>
      </c>
      <c r="C41" t="s">
        <v>166</v>
      </c>
      <c r="D41" s="136">
        <v>0.05</v>
      </c>
      <c r="E41" s="124" t="s">
        <v>167</v>
      </c>
      <c r="F41" s="137">
        <v>40000000</v>
      </c>
      <c r="G41" s="138">
        <f>+F41*(1+$D$41)</f>
        <v>42000000</v>
      </c>
      <c r="H41" s="138">
        <f>+G41*(1+$D$41)</f>
        <v>44100000</v>
      </c>
      <c r="I41" s="138">
        <f>+H41*(1+$D$41)</f>
        <v>46305000</v>
      </c>
      <c r="J41" s="138">
        <f>+I41*(1+$D$41)</f>
        <v>48620250</v>
      </c>
      <c r="K41" s="138"/>
      <c r="L41" s="139">
        <f>+J41*(1+$D$41)</f>
        <v>51051262.5</v>
      </c>
      <c r="M41" s="138">
        <f t="shared" ref="M41:R41" si="11">+L41*(1+$D$41)</f>
        <v>53603825.625</v>
      </c>
      <c r="N41" s="138">
        <f t="shared" si="11"/>
        <v>56284016.90625</v>
      </c>
      <c r="O41" s="138">
        <f t="shared" si="11"/>
        <v>59098217.751562506</v>
      </c>
      <c r="P41" s="138">
        <f t="shared" si="11"/>
        <v>62053128.639140636</v>
      </c>
      <c r="Q41" s="138">
        <f t="shared" si="11"/>
        <v>65155785.071097672</v>
      </c>
      <c r="R41" s="138">
        <f t="shared" si="11"/>
        <v>68413574.324652553</v>
      </c>
    </row>
    <row r="42" spans="1:19" x14ac:dyDescent="0.5">
      <c r="A42" s="27">
        <f>ROW()</f>
        <v>42</v>
      </c>
      <c r="C42" t="s">
        <v>168</v>
      </c>
      <c r="D42" s="140">
        <v>0.35</v>
      </c>
      <c r="E42" s="141" t="s">
        <v>169</v>
      </c>
      <c r="F42" s="138">
        <f>-F41*$D$42</f>
        <v>-14000000</v>
      </c>
      <c r="G42" s="138">
        <f>-G41*$D$42</f>
        <v>-14699999.999999998</v>
      </c>
      <c r="H42" s="138">
        <f>-H41*$D$42</f>
        <v>-15434999.999999998</v>
      </c>
      <c r="I42" s="138">
        <f>-I41*$D$42</f>
        <v>-16206749.999999998</v>
      </c>
      <c r="J42" s="138">
        <f>-J41*$D$42</f>
        <v>-17017087.5</v>
      </c>
      <c r="K42" s="138"/>
      <c r="L42" s="139">
        <f t="shared" ref="L42:R42" si="12">-L41*$D$42</f>
        <v>-17867941.875</v>
      </c>
      <c r="M42" s="138">
        <f t="shared" si="12"/>
        <v>-18761338.96875</v>
      </c>
      <c r="N42" s="138">
        <f t="shared" si="12"/>
        <v>-19699405.917187497</v>
      </c>
      <c r="O42" s="138">
        <f t="shared" si="12"/>
        <v>-20684376.213046875</v>
      </c>
      <c r="P42" s="138">
        <f t="shared" si="12"/>
        <v>-21718595.02369922</v>
      </c>
      <c r="Q42" s="138">
        <f t="shared" si="12"/>
        <v>-22804524.774884183</v>
      </c>
      <c r="R42" s="138">
        <f t="shared" si="12"/>
        <v>-23944751.013628393</v>
      </c>
    </row>
    <row r="43" spans="1:19" x14ac:dyDescent="0.5">
      <c r="A43" s="27">
        <f>ROW()</f>
        <v>43</v>
      </c>
      <c r="C43" t="s">
        <v>170</v>
      </c>
      <c r="D43" s="140">
        <v>0.15</v>
      </c>
      <c r="E43" s="141" t="s">
        <v>169</v>
      </c>
      <c r="F43" s="137">
        <f>-D43*F41</f>
        <v>-6000000</v>
      </c>
      <c r="G43" s="138">
        <f>-$D$43*G41</f>
        <v>-6300000</v>
      </c>
      <c r="H43" s="138">
        <f>-$D$43*H41</f>
        <v>-6615000</v>
      </c>
      <c r="I43" s="138">
        <f>-$D$43*I41</f>
        <v>-6945750</v>
      </c>
      <c r="J43" s="138">
        <f>-$D$43*J41</f>
        <v>-7293037.5</v>
      </c>
      <c r="K43" s="138"/>
      <c r="L43" s="139">
        <f t="shared" ref="L43:R43" si="13">-$D$43*L41</f>
        <v>-7657689.375</v>
      </c>
      <c r="M43" s="138">
        <f t="shared" si="13"/>
        <v>-8040573.84375</v>
      </c>
      <c r="N43" s="138">
        <f t="shared" si="13"/>
        <v>-8442602.5359374993</v>
      </c>
      <c r="O43" s="138">
        <f t="shared" si="13"/>
        <v>-8864732.6627343763</v>
      </c>
      <c r="P43" s="138">
        <f t="shared" si="13"/>
        <v>-9307969.2958710957</v>
      </c>
      <c r="Q43" s="138">
        <f t="shared" si="13"/>
        <v>-9773367.7606646512</v>
      </c>
      <c r="R43" s="138">
        <f t="shared" si="13"/>
        <v>-10262036.148697883</v>
      </c>
    </row>
    <row r="44" spans="1:19" x14ac:dyDescent="0.5">
      <c r="A44" s="27">
        <f>ROW()</f>
        <v>44</v>
      </c>
      <c r="C44" t="s">
        <v>171</v>
      </c>
      <c r="D44" s="142">
        <f>+F44/F41</f>
        <v>0.5</v>
      </c>
      <c r="E44" s="124"/>
      <c r="F44" s="143">
        <f>SUM(F41:F43)</f>
        <v>20000000</v>
      </c>
      <c r="G44" s="144">
        <f>SUM(G41:G43)</f>
        <v>21000000</v>
      </c>
      <c r="H44" s="144">
        <f>SUM(H41:H43)</f>
        <v>22050000</v>
      </c>
      <c r="I44" s="144">
        <f>SUM(I41:I43)</f>
        <v>23152500</v>
      </c>
      <c r="J44" s="144">
        <f>SUM(J41:J43)</f>
        <v>24310125</v>
      </c>
      <c r="K44" s="144"/>
      <c r="L44" s="145">
        <f t="shared" ref="L44:R44" si="14">SUM(L41:L43)</f>
        <v>25525631.25</v>
      </c>
      <c r="M44" s="144">
        <f t="shared" si="14"/>
        <v>26801912.8125</v>
      </c>
      <c r="N44" s="144">
        <f t="shared" si="14"/>
        <v>28142008.453125004</v>
      </c>
      <c r="O44" s="144">
        <f t="shared" si="14"/>
        <v>29549108.875781253</v>
      </c>
      <c r="P44" s="144">
        <f t="shared" si="14"/>
        <v>31026564.319570318</v>
      </c>
      <c r="Q44" s="144">
        <f t="shared" si="14"/>
        <v>32577892.535548843</v>
      </c>
      <c r="R44" s="144">
        <f t="shared" si="14"/>
        <v>34206787.162326276</v>
      </c>
    </row>
    <row r="45" spans="1:19" x14ac:dyDescent="0.5">
      <c r="A45" s="27">
        <f>ROW()</f>
        <v>45</v>
      </c>
      <c r="C45" t="s">
        <v>172</v>
      </c>
      <c r="D45" s="136">
        <v>0.03</v>
      </c>
      <c r="E45" s="141" t="s">
        <v>169</v>
      </c>
      <c r="F45" s="138">
        <f>-$D$45*F41</f>
        <v>-1200000</v>
      </c>
      <c r="G45" s="138">
        <f>-$D$45*G41</f>
        <v>-1260000</v>
      </c>
      <c r="H45" s="138">
        <f>-$D$45*H41</f>
        <v>-1323000</v>
      </c>
      <c r="I45" s="138">
        <f>-$D$45*I41</f>
        <v>-1389150</v>
      </c>
      <c r="J45" s="138">
        <f>-$D$45*J41</f>
        <v>-1458607.5</v>
      </c>
      <c r="K45" s="138"/>
      <c r="L45" s="139">
        <f t="shared" ref="L45:R45" si="15">-$D$45*L41</f>
        <v>-1531537.875</v>
      </c>
      <c r="M45" s="138">
        <f t="shared" si="15"/>
        <v>-1608114.76875</v>
      </c>
      <c r="N45" s="138">
        <f t="shared" si="15"/>
        <v>-1688520.5071874999</v>
      </c>
      <c r="O45" s="138">
        <f t="shared" si="15"/>
        <v>-1772946.5325468751</v>
      </c>
      <c r="P45" s="138">
        <f t="shared" si="15"/>
        <v>-1861593.859174219</v>
      </c>
      <c r="Q45" s="138">
        <f t="shared" si="15"/>
        <v>-1954673.5521329301</v>
      </c>
      <c r="R45" s="138">
        <f t="shared" si="15"/>
        <v>-2052407.2297395766</v>
      </c>
    </row>
    <row r="46" spans="1:19" x14ac:dyDescent="0.5">
      <c r="A46" s="27">
        <f>ROW()</f>
        <v>46</v>
      </c>
      <c r="C46" t="s">
        <v>173</v>
      </c>
      <c r="D46" s="146">
        <v>7</v>
      </c>
      <c r="E46" s="124" t="s">
        <v>174</v>
      </c>
      <c r="F46" s="147">
        <f>-'Fig. 5.7'!$D$14/$D$46</f>
        <v>-514285.71428571426</v>
      </c>
      <c r="G46" s="148">
        <f>-'Fig. 5.7'!$D$14/$D$46</f>
        <v>-514285.71428571426</v>
      </c>
      <c r="H46" s="148">
        <f>-'Fig. 5.7'!$D$14/$D$46</f>
        <v>-514285.71428571426</v>
      </c>
      <c r="I46" s="148">
        <f>-'Fig. 5.7'!$D$14/$D$46</f>
        <v>-514285.71428571426</v>
      </c>
      <c r="J46" s="148">
        <f>-'Fig. 5.7'!$D$14/$D$46</f>
        <v>-514285.71428571426</v>
      </c>
      <c r="K46" s="148"/>
      <c r="L46" s="149">
        <f>+J46*2</f>
        <v>-1028571.4285714285</v>
      </c>
      <c r="M46" s="148"/>
      <c r="N46" s="148"/>
      <c r="O46" s="148"/>
      <c r="P46" s="148"/>
      <c r="Q46" s="148"/>
      <c r="R46" s="148"/>
    </row>
    <row r="47" spans="1:19" x14ac:dyDescent="0.5">
      <c r="A47" s="27">
        <f>ROW()</f>
        <v>47</v>
      </c>
      <c r="C47" t="s">
        <v>175</v>
      </c>
      <c r="E47" s="124"/>
      <c r="F47" s="138">
        <f>SUM(F44:F46)</f>
        <v>18285714.285714287</v>
      </c>
      <c r="G47" s="138">
        <f>SUM(G44:G46)</f>
        <v>19225714.285714287</v>
      </c>
      <c r="H47" s="138">
        <f>SUM(H44:H46)</f>
        <v>20212714.285714287</v>
      </c>
      <c r="I47" s="138">
        <f>SUM(I44:I46)</f>
        <v>21249064.285714287</v>
      </c>
      <c r="J47" s="138">
        <f>SUM(J44:J46)</f>
        <v>22337231.785714287</v>
      </c>
      <c r="K47" s="138"/>
      <c r="L47" s="139">
        <f t="shared" ref="L47:R47" si="16">SUM(L44:L46)</f>
        <v>22965521.946428571</v>
      </c>
      <c r="M47" s="138">
        <f t="shared" si="16"/>
        <v>25193798.043749999</v>
      </c>
      <c r="N47" s="138">
        <f t="shared" si="16"/>
        <v>26453487.945937503</v>
      </c>
      <c r="O47" s="138">
        <f t="shared" si="16"/>
        <v>27776162.343234379</v>
      </c>
      <c r="P47" s="138">
        <f t="shared" si="16"/>
        <v>29164970.4603961</v>
      </c>
      <c r="Q47" s="138">
        <f t="shared" si="16"/>
        <v>30623218.983415913</v>
      </c>
      <c r="R47" s="138">
        <f t="shared" si="16"/>
        <v>32154379.9325867</v>
      </c>
    </row>
    <row r="48" spans="1:19" x14ac:dyDescent="0.5">
      <c r="A48" s="27">
        <f>ROW()</f>
        <v>48</v>
      </c>
      <c r="C48" t="s">
        <v>176</v>
      </c>
      <c r="E48" s="124"/>
      <c r="F48" s="147">
        <v>0</v>
      </c>
      <c r="G48" s="148">
        <v>0</v>
      </c>
      <c r="H48" s="148">
        <v>0</v>
      </c>
      <c r="I48" s="148">
        <v>0</v>
      </c>
      <c r="J48" s="148">
        <v>0</v>
      </c>
      <c r="K48" s="148"/>
      <c r="L48" s="149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38"/>
    </row>
    <row r="49" spans="1:19" x14ac:dyDescent="0.5">
      <c r="A49" s="27">
        <f>ROW()</f>
        <v>49</v>
      </c>
      <c r="C49" t="s">
        <v>177</v>
      </c>
      <c r="E49" s="124"/>
      <c r="F49" s="138">
        <f>+F47-F48</f>
        <v>18285714.285714287</v>
      </c>
      <c r="G49" s="138">
        <f>+G47-G48</f>
        <v>19225714.285714287</v>
      </c>
      <c r="H49" s="138">
        <f>+H47-H48</f>
        <v>20212714.285714287</v>
      </c>
      <c r="I49" s="138">
        <f>+I47-I48</f>
        <v>21249064.285714287</v>
      </c>
      <c r="J49" s="138">
        <f>+J47-J48</f>
        <v>22337231.785714287</v>
      </c>
      <c r="K49" s="138"/>
      <c r="L49" s="139">
        <f t="shared" ref="L49:R49" si="17">+L47-L48</f>
        <v>22965521.946428571</v>
      </c>
      <c r="M49" s="138">
        <f t="shared" si="17"/>
        <v>25193798.043749999</v>
      </c>
      <c r="N49" s="138">
        <f t="shared" si="17"/>
        <v>26453487.945937503</v>
      </c>
      <c r="O49" s="138">
        <f t="shared" si="17"/>
        <v>27776162.343234379</v>
      </c>
      <c r="P49" s="138">
        <f t="shared" si="17"/>
        <v>29164970.4603961</v>
      </c>
      <c r="Q49" s="138">
        <f t="shared" si="17"/>
        <v>30623218.983415913</v>
      </c>
      <c r="R49" s="138">
        <f t="shared" si="17"/>
        <v>32154379.9325867</v>
      </c>
      <c r="S49" s="138"/>
    </row>
    <row r="50" spans="1:19" x14ac:dyDescent="0.5">
      <c r="A50" s="27">
        <f>ROW()</f>
        <v>50</v>
      </c>
      <c r="C50" t="s">
        <v>178</v>
      </c>
      <c r="D50" s="140">
        <v>0.36</v>
      </c>
      <c r="E50" s="141" t="s">
        <v>179</v>
      </c>
      <c r="F50" s="138">
        <f>-$D$50*F47</f>
        <v>-6582857.1428571427</v>
      </c>
      <c r="G50" s="138">
        <f>-$D$50*G47</f>
        <v>-6921257.1428571427</v>
      </c>
      <c r="H50" s="138">
        <f>-$D$50*H47</f>
        <v>-7276577.1428571427</v>
      </c>
      <c r="I50" s="138">
        <f>-$D$50*I47</f>
        <v>-7649663.1428571427</v>
      </c>
      <c r="J50" s="138">
        <f>-$D$50*J47</f>
        <v>-8041403.4428571435</v>
      </c>
      <c r="K50" s="138"/>
      <c r="L50" s="139">
        <f t="shared" ref="L50:R50" si="18">-$D$50*L47</f>
        <v>-8267587.9007142857</v>
      </c>
      <c r="M50" s="138">
        <f t="shared" si="18"/>
        <v>-9069767.2957499996</v>
      </c>
      <c r="N50" s="138">
        <f t="shared" si="18"/>
        <v>-9523255.6605374999</v>
      </c>
      <c r="O50" s="138">
        <f t="shared" si="18"/>
        <v>-9999418.4435643759</v>
      </c>
      <c r="P50" s="138">
        <f t="shared" si="18"/>
        <v>-10499389.365742596</v>
      </c>
      <c r="Q50" s="138">
        <f t="shared" si="18"/>
        <v>-11024358.834029729</v>
      </c>
      <c r="R50" s="138">
        <f t="shared" si="18"/>
        <v>-11575576.775731212</v>
      </c>
    </row>
    <row r="51" spans="1:19" x14ac:dyDescent="0.5">
      <c r="A51" s="27">
        <f>ROW()</f>
        <v>51</v>
      </c>
      <c r="C51" t="s">
        <v>180</v>
      </c>
      <c r="D51" s="140"/>
      <c r="E51" s="124"/>
      <c r="F51" s="138">
        <f>-F45-F46</f>
        <v>1714285.7142857143</v>
      </c>
      <c r="G51" s="138">
        <f>-G45-G46</f>
        <v>1774285.7142857143</v>
      </c>
      <c r="H51" s="138">
        <f>-H45-H46</f>
        <v>1837285.7142857143</v>
      </c>
      <c r="I51" s="138">
        <f>-I45-I46</f>
        <v>1903435.7142857143</v>
      </c>
      <c r="J51" s="138">
        <f>-J45-J46</f>
        <v>1972893.2142857143</v>
      </c>
      <c r="K51" s="138"/>
      <c r="L51" s="139">
        <f t="shared" ref="L51:R51" si="19">-L45-L46</f>
        <v>2560109.3035714286</v>
      </c>
      <c r="M51" s="138">
        <f t="shared" si="19"/>
        <v>1608114.76875</v>
      </c>
      <c r="N51" s="138">
        <f t="shared" si="19"/>
        <v>1688520.5071874999</v>
      </c>
      <c r="O51" s="138">
        <f t="shared" si="19"/>
        <v>1772946.5325468751</v>
      </c>
      <c r="P51" s="138">
        <f t="shared" si="19"/>
        <v>1861593.859174219</v>
      </c>
      <c r="Q51" s="138">
        <f t="shared" si="19"/>
        <v>1954673.5521329301</v>
      </c>
      <c r="R51" s="138">
        <f t="shared" si="19"/>
        <v>2052407.2297395766</v>
      </c>
    </row>
    <row r="52" spans="1:19" x14ac:dyDescent="0.5">
      <c r="A52" s="27">
        <f>ROW()</f>
        <v>52</v>
      </c>
      <c r="C52" t="s">
        <v>181</v>
      </c>
      <c r="D52" s="136">
        <v>0.01</v>
      </c>
      <c r="E52" s="141" t="s">
        <v>169</v>
      </c>
      <c r="F52" s="138">
        <f>-$D$52*F41</f>
        <v>-400000</v>
      </c>
      <c r="G52" s="138">
        <f>-$D$52*G41</f>
        <v>-420000</v>
      </c>
      <c r="H52" s="138">
        <f>-$D$52*H41</f>
        <v>-441000</v>
      </c>
      <c r="I52" s="138">
        <f>-$D$52*I41</f>
        <v>-463050</v>
      </c>
      <c r="J52" s="138">
        <f>-$D$52*J41</f>
        <v>-486202.5</v>
      </c>
      <c r="K52" s="138"/>
      <c r="L52" s="139">
        <f t="shared" ref="L52:R52" si="20">-$D$52*L41</f>
        <v>-510512.625</v>
      </c>
      <c r="M52" s="138">
        <f t="shared" si="20"/>
        <v>-536038.25624999998</v>
      </c>
      <c r="N52" s="138">
        <f t="shared" si="20"/>
        <v>-562840.1690625</v>
      </c>
      <c r="O52" s="138">
        <f t="shared" si="20"/>
        <v>-590982.17751562502</v>
      </c>
      <c r="P52" s="138">
        <f t="shared" si="20"/>
        <v>-620531.28639140632</v>
      </c>
      <c r="Q52" s="138">
        <f t="shared" si="20"/>
        <v>-651557.85071097675</v>
      </c>
      <c r="R52" s="138">
        <f t="shared" si="20"/>
        <v>-684135.74324652553</v>
      </c>
    </row>
    <row r="53" spans="1:19" x14ac:dyDescent="0.5">
      <c r="A53" s="27">
        <f>ROW()</f>
        <v>53</v>
      </c>
      <c r="C53" t="s">
        <v>182</v>
      </c>
      <c r="D53" s="136">
        <v>0.03</v>
      </c>
      <c r="E53" s="141" t="s">
        <v>169</v>
      </c>
      <c r="F53" s="138">
        <f>-$D$53*F41</f>
        <v>-1200000</v>
      </c>
      <c r="G53" s="138">
        <f>-$D$53*G41</f>
        <v>-1260000</v>
      </c>
      <c r="H53" s="138">
        <f>-$D$53*H41</f>
        <v>-1323000</v>
      </c>
      <c r="I53" s="138">
        <f>-$D$53*I41</f>
        <v>-1389150</v>
      </c>
      <c r="J53" s="138">
        <f>-$D$53*J41</f>
        <v>-1458607.5</v>
      </c>
      <c r="K53" s="138"/>
      <c r="L53" s="139">
        <f t="shared" ref="L53:R53" si="21">-$D$53*L41</f>
        <v>-1531537.875</v>
      </c>
      <c r="M53" s="138">
        <f t="shared" si="21"/>
        <v>-1608114.76875</v>
      </c>
      <c r="N53" s="138">
        <f t="shared" si="21"/>
        <v>-1688520.5071874999</v>
      </c>
      <c r="O53" s="138">
        <f t="shared" si="21"/>
        <v>-1772946.5325468751</v>
      </c>
      <c r="P53" s="138">
        <f t="shared" si="21"/>
        <v>-1861593.859174219</v>
      </c>
      <c r="Q53" s="138">
        <f t="shared" si="21"/>
        <v>-1954673.5521329301</v>
      </c>
      <c r="R53" s="138">
        <f t="shared" si="21"/>
        <v>-2052407.2297395766</v>
      </c>
    </row>
    <row r="54" spans="1:19" ht="14.7" thickBot="1" x14ac:dyDescent="0.55000000000000004">
      <c r="A54" s="27">
        <f>ROW()</f>
        <v>54</v>
      </c>
      <c r="C54" t="s">
        <v>183</v>
      </c>
      <c r="E54" s="124"/>
      <c r="F54" s="150">
        <f>SUM(F49:F53)</f>
        <v>11817142.85714286</v>
      </c>
      <c r="G54" s="150">
        <f>SUM(G49:G53)</f>
        <v>12398742.85714286</v>
      </c>
      <c r="H54" s="150">
        <f>SUM(H49:H53)</f>
        <v>13009422.85714286</v>
      </c>
      <c r="I54" s="150">
        <f>SUM(I49:I53)</f>
        <v>13650636.85714286</v>
      </c>
      <c r="J54" s="150">
        <f>SUM(J49:J53)</f>
        <v>14323911.557142859</v>
      </c>
      <c r="K54" s="150"/>
      <c r="L54" s="151">
        <f t="shared" ref="L54:R54" si="22">SUM(L49:L53)</f>
        <v>15215992.849285714</v>
      </c>
      <c r="M54" s="150">
        <f t="shared" si="22"/>
        <v>15587992.491749998</v>
      </c>
      <c r="N54" s="150">
        <f t="shared" si="22"/>
        <v>16367392.116337504</v>
      </c>
      <c r="O54" s="150">
        <f t="shared" si="22"/>
        <v>17185761.722154379</v>
      </c>
      <c r="P54" s="150">
        <f t="shared" si="22"/>
        <v>18045049.808262095</v>
      </c>
      <c r="Q54" s="150">
        <f t="shared" si="22"/>
        <v>18947302.298675206</v>
      </c>
      <c r="R54" s="150">
        <f t="shared" si="22"/>
        <v>19894667.413608961</v>
      </c>
    </row>
    <row r="55" spans="1:19" ht="7.5" customHeight="1" thickTop="1" x14ac:dyDescent="0.5">
      <c r="A55" s="27">
        <f>ROW()</f>
        <v>55</v>
      </c>
      <c r="E55" s="124"/>
      <c r="F55" s="138"/>
      <c r="G55" s="138"/>
      <c r="H55" s="138"/>
      <c r="I55" s="138"/>
      <c r="J55" s="138"/>
      <c r="K55" s="138"/>
      <c r="L55" s="139"/>
      <c r="M55" s="138"/>
      <c r="N55" s="138"/>
      <c r="O55" s="138"/>
      <c r="P55" s="138"/>
      <c r="Q55" s="138"/>
      <c r="R55" s="138"/>
    </row>
    <row r="56" spans="1:19" x14ac:dyDescent="0.5">
      <c r="A56" s="27">
        <f>ROW()</f>
        <v>56</v>
      </c>
      <c r="C56" t="s">
        <v>184</v>
      </c>
      <c r="E56" s="124"/>
      <c r="F56" s="138">
        <f>-F35</f>
        <v>-10350000</v>
      </c>
      <c r="G56" s="138">
        <f>-G35</f>
        <v>-11447500</v>
      </c>
      <c r="H56" s="138">
        <f>-H35</f>
        <v>-12442500</v>
      </c>
      <c r="I56" s="138">
        <f>-I35</f>
        <v>-12560000</v>
      </c>
      <c r="J56" s="138">
        <f>-J35</f>
        <v>-13147500</v>
      </c>
      <c r="K56" s="138"/>
      <c r="L56" s="139">
        <f t="shared" ref="L56:R56" si="23">-L35</f>
        <v>-13652500</v>
      </c>
      <c r="M56" s="138">
        <f t="shared" si="23"/>
        <v>-36075000</v>
      </c>
      <c r="N56" s="138">
        <f t="shared" si="23"/>
        <v>-3600000</v>
      </c>
      <c r="O56" s="138">
        <f t="shared" si="23"/>
        <v>-3600000</v>
      </c>
      <c r="P56" s="138">
        <f t="shared" si="23"/>
        <v>-43600000</v>
      </c>
      <c r="Q56" s="138">
        <f t="shared" si="23"/>
        <v>0</v>
      </c>
      <c r="R56" s="138">
        <f t="shared" si="23"/>
        <v>0</v>
      </c>
    </row>
    <row r="57" spans="1:19" ht="14.7" thickBot="1" x14ac:dyDescent="0.55000000000000004">
      <c r="A57" s="27">
        <f>ROW()</f>
        <v>57</v>
      </c>
      <c r="C57" t="s">
        <v>185</v>
      </c>
      <c r="E57" s="124"/>
      <c r="F57" s="152">
        <f>+F54+F56</f>
        <v>1467142.8571428601</v>
      </c>
      <c r="G57" s="152">
        <f>+G54+G56</f>
        <v>951242.85714286007</v>
      </c>
      <c r="H57" s="152">
        <f>+H54+H56</f>
        <v>566922.85714286007</v>
      </c>
      <c r="I57" s="152">
        <f>+I54+I56</f>
        <v>1090636.8571428601</v>
      </c>
      <c r="J57" s="152">
        <f>+J54+J56</f>
        <v>1176411.5571428593</v>
      </c>
      <c r="K57" s="152"/>
      <c r="L57" s="117">
        <f t="shared" ref="L57:R57" si="24">+L54+L56</f>
        <v>1563492.8492857143</v>
      </c>
      <c r="M57" s="152">
        <f t="shared" si="24"/>
        <v>-20487007.508250002</v>
      </c>
      <c r="N57" s="152">
        <f t="shared" si="24"/>
        <v>12767392.116337504</v>
      </c>
      <c r="O57" s="152">
        <f t="shared" si="24"/>
        <v>13585761.722154379</v>
      </c>
      <c r="P57" s="152">
        <f t="shared" si="24"/>
        <v>-25554950.191737905</v>
      </c>
      <c r="Q57" s="152">
        <f t="shared" si="24"/>
        <v>18947302.298675206</v>
      </c>
      <c r="R57" s="152">
        <f t="shared" si="24"/>
        <v>19894667.413608961</v>
      </c>
    </row>
    <row r="58" spans="1:19" ht="9" customHeight="1" thickTop="1" x14ac:dyDescent="0.5">
      <c r="A58" s="27">
        <f>ROW()</f>
        <v>58</v>
      </c>
      <c r="E58" s="124"/>
      <c r="L58" s="124"/>
    </row>
    <row r="59" spans="1:19" ht="14.7" thickBot="1" x14ac:dyDescent="0.55000000000000004">
      <c r="A59" s="27">
        <f>ROW()</f>
        <v>59</v>
      </c>
      <c r="C59" s="34" t="s">
        <v>186</v>
      </c>
      <c r="D59" s="108"/>
      <c r="E59" s="124"/>
      <c r="L59" s="124"/>
    </row>
    <row r="60" spans="1:19" x14ac:dyDescent="0.5">
      <c r="A60" s="27">
        <f>ROW()</f>
        <v>60</v>
      </c>
      <c r="C60" t="s">
        <v>187</v>
      </c>
      <c r="D60" s="153" t="s">
        <v>188</v>
      </c>
      <c r="E60" s="154">
        <f>+'Fig. 5.7'!C12</f>
        <v>6</v>
      </c>
      <c r="L60" s="139">
        <f>+E60*L44</f>
        <v>153153787.5</v>
      </c>
    </row>
    <row r="61" spans="1:19" ht="17.25" customHeight="1" thickBot="1" x14ac:dyDescent="0.55000000000000004">
      <c r="A61" s="27">
        <f>ROW()</f>
        <v>61</v>
      </c>
      <c r="C61" t="s">
        <v>189</v>
      </c>
      <c r="D61" s="155">
        <v>3.5000000000000003E-2</v>
      </c>
      <c r="E61" s="156">
        <f>+'Fig. 5.7'!H9</f>
        <v>8.870246221303478E-2</v>
      </c>
      <c r="L61" s="87">
        <f>+M54/($E$61-$D$61)</f>
        <v>290265880.73212123</v>
      </c>
    </row>
    <row r="62" spans="1:19" ht="16.5" customHeight="1" thickBot="1" x14ac:dyDescent="0.55000000000000004">
      <c r="A62" s="27">
        <f>ROW()</f>
        <v>62</v>
      </c>
      <c r="C62" s="108" t="s">
        <v>190</v>
      </c>
      <c r="E62" s="124"/>
      <c r="L62" s="157">
        <f>+(L60+L61)/2</f>
        <v>221709834.11606061</v>
      </c>
      <c r="N62" s="229" t="s">
        <v>191</v>
      </c>
      <c r="O62" s="230"/>
      <c r="P62" s="230"/>
      <c r="Q62" s="230"/>
      <c r="R62" s="230"/>
      <c r="S62" s="231"/>
    </row>
    <row r="63" spans="1:19" ht="15" thickTop="1" thickBot="1" x14ac:dyDescent="0.55000000000000004">
      <c r="A63" s="27">
        <f>ROW()</f>
        <v>63</v>
      </c>
      <c r="C63" t="s">
        <v>192</v>
      </c>
      <c r="E63" s="124"/>
      <c r="L63" s="158">
        <f>+L21+L30</f>
        <v>70000000</v>
      </c>
      <c r="N63" s="235"/>
      <c r="O63" s="236"/>
      <c r="P63" s="159" t="s">
        <v>193</v>
      </c>
      <c r="Q63" s="159"/>
      <c r="R63" s="159"/>
      <c r="S63" s="160"/>
    </row>
    <row r="64" spans="1:19" ht="14.7" thickBot="1" x14ac:dyDescent="0.55000000000000004">
      <c r="A64" s="27">
        <f>ROW()</f>
        <v>64</v>
      </c>
      <c r="C64" t="s">
        <v>194</v>
      </c>
      <c r="E64" s="139"/>
      <c r="L64" s="139">
        <f>+L62-L63</f>
        <v>151709834.11606061</v>
      </c>
      <c r="N64" s="161" t="s">
        <v>195</v>
      </c>
      <c r="O64" s="162">
        <f>+E74</f>
        <v>0.30538263175799507</v>
      </c>
      <c r="P64" s="163">
        <v>6</v>
      </c>
      <c r="Q64" s="163">
        <v>6.5</v>
      </c>
      <c r="R64" s="164">
        <v>7</v>
      </c>
      <c r="S64" s="165">
        <v>7.5</v>
      </c>
    </row>
    <row r="65" spans="1:19" ht="13.5" customHeight="1" thickBot="1" x14ac:dyDescent="0.55000000000000004">
      <c r="A65" s="27">
        <f>ROW()</f>
        <v>65</v>
      </c>
      <c r="E65" s="124"/>
      <c r="L65" s="124"/>
      <c r="N65" s="232" t="s">
        <v>196</v>
      </c>
      <c r="O65" s="166">
        <f>+D41</f>
        <v>0.05</v>
      </c>
      <c r="P65" s="167">
        <v>0.30536628210444605</v>
      </c>
      <c r="Q65" s="168">
        <v>0.22931650177408414</v>
      </c>
      <c r="R65" s="169">
        <v>0.17662256692029299</v>
      </c>
      <c r="S65" s="170">
        <v>0.13808988070710093</v>
      </c>
    </row>
    <row r="66" spans="1:19" ht="14.7" thickBot="1" x14ac:dyDescent="0.55000000000000004">
      <c r="A66" s="27">
        <f>ROW()</f>
        <v>66</v>
      </c>
      <c r="C66" t="s">
        <v>185</v>
      </c>
      <c r="E66" s="171">
        <f>-'Fig. 5.7'!D8</f>
        <v>-33600000</v>
      </c>
      <c r="F66" s="172">
        <f>+F57+F62-F63</f>
        <v>1467142.8571428601</v>
      </c>
      <c r="G66" s="172">
        <f>+G57+G62-G63</f>
        <v>951242.85714286007</v>
      </c>
      <c r="H66" s="172">
        <f>+H57+H62-H63</f>
        <v>566922.85714286007</v>
      </c>
      <c r="I66" s="172">
        <f>+I57+I62-I63</f>
        <v>1090636.8571428601</v>
      </c>
      <c r="J66" s="172">
        <f>+J57+J62-J63</f>
        <v>1176411.5571428593</v>
      </c>
      <c r="K66" s="172"/>
      <c r="L66" s="171">
        <f>+L64+L57</f>
        <v>153273326.96534634</v>
      </c>
      <c r="N66" s="233"/>
      <c r="O66" s="173">
        <f t="shared" ref="O66:O74" si="25">+O65+0.005</f>
        <v>5.5E-2</v>
      </c>
      <c r="P66" s="168">
        <v>0.31552537330244679</v>
      </c>
      <c r="Q66" s="168">
        <v>0.23900648834997962</v>
      </c>
      <c r="R66" s="174">
        <v>0.18592438431643532</v>
      </c>
      <c r="S66" s="170">
        <v>0.14705113939881542</v>
      </c>
    </row>
    <row r="67" spans="1:19" ht="14.7" thickTop="1" x14ac:dyDescent="0.5">
      <c r="A67" s="27">
        <f>ROW()</f>
        <v>67</v>
      </c>
      <c r="E67" s="138"/>
      <c r="F67" s="175" t="s">
        <v>197</v>
      </c>
      <c r="G67" s="175" t="s">
        <v>197</v>
      </c>
      <c r="H67" s="175" t="s">
        <v>197</v>
      </c>
      <c r="I67" s="175" t="s">
        <v>197</v>
      </c>
      <c r="J67" s="175" t="s">
        <v>197</v>
      </c>
      <c r="K67" s="176"/>
      <c r="L67" s="176" t="s">
        <v>197</v>
      </c>
      <c r="N67" s="233"/>
      <c r="O67" s="173">
        <f t="shared" si="25"/>
        <v>0.06</v>
      </c>
      <c r="P67" s="177">
        <v>0.33543050795139351</v>
      </c>
      <c r="Q67" s="177">
        <v>0.25796968498088924</v>
      </c>
      <c r="R67" s="174">
        <v>0.20411679053609455</v>
      </c>
      <c r="S67" s="170">
        <v>0.16457417236673089</v>
      </c>
    </row>
    <row r="68" spans="1:19" ht="14.7" thickBot="1" x14ac:dyDescent="0.55000000000000004">
      <c r="A68" s="27">
        <f>ROW()</f>
        <v>68</v>
      </c>
      <c r="C68" s="178" t="s">
        <v>198</v>
      </c>
      <c r="D68" s="178"/>
      <c r="E68" s="179">
        <f>+'Fig. 5.7'!F8</f>
        <v>0.20002</v>
      </c>
      <c r="F68" s="180">
        <f>(1/(1+$E68))^1</f>
        <v>0.83331944467592201</v>
      </c>
      <c r="G68" s="180">
        <f>(1/(1+$E68))^2</f>
        <v>0.69442129687498699</v>
      </c>
      <c r="H68" s="180">
        <f>(1/(1+$E68))^3</f>
        <v>0.57867476948299779</v>
      </c>
      <c r="I68" s="180">
        <f>(1/(1+$E68))^4</f>
        <v>0.48222093755353884</v>
      </c>
      <c r="J68" s="180">
        <f>(1/(1+$E68))^5</f>
        <v>0.40184408389321746</v>
      </c>
      <c r="K68" s="180"/>
      <c r="L68" s="180">
        <f>(1/(1+$E68))^6</f>
        <v>0.33486448883620057</v>
      </c>
      <c r="N68" s="233"/>
      <c r="O68" s="173">
        <f t="shared" si="25"/>
        <v>6.5000000000000002E-2</v>
      </c>
      <c r="P68" s="177">
        <v>0.36436264609296498</v>
      </c>
      <c r="Q68" s="177">
        <v>0.28548379593816264</v>
      </c>
      <c r="R68" s="177">
        <v>0.23048863810974463</v>
      </c>
      <c r="S68" s="170">
        <v>0.18996852125238517</v>
      </c>
    </row>
    <row r="69" spans="1:19" ht="14.7" thickBot="1" x14ac:dyDescent="0.55000000000000004">
      <c r="A69" s="27">
        <f>ROW()</f>
        <v>69</v>
      </c>
      <c r="C69" s="178" t="s">
        <v>199</v>
      </c>
      <c r="D69" s="178"/>
      <c r="E69" s="181">
        <f>SUM(F69:L69)</f>
        <v>54535682.161864415</v>
      </c>
      <c r="F69" s="182">
        <f>+F68*F66</f>
        <v>1222598.6709745338</v>
      </c>
      <c r="G69" s="182">
        <f>+G68*G66</f>
        <v>660563.29850021284</v>
      </c>
      <c r="H69" s="182">
        <f>+H68*H66</f>
        <v>328063.95367178705</v>
      </c>
      <c r="I69" s="182">
        <f>+I68*I66</f>
        <v>525927.92778187501</v>
      </c>
      <c r="J69" s="182">
        <f>+J68*J66</f>
        <v>472734.02446146577</v>
      </c>
      <c r="K69" s="182"/>
      <c r="L69" s="182">
        <f>+L68*L66</f>
        <v>51325794.286474541</v>
      </c>
      <c r="N69" s="233"/>
      <c r="O69" s="173">
        <f t="shared" si="25"/>
        <v>7.0000000000000007E-2</v>
      </c>
      <c r="P69" s="177">
        <v>0.40145921631158843</v>
      </c>
      <c r="Q69" s="177">
        <v>0.32068827536376299</v>
      </c>
      <c r="R69" s="177">
        <v>0.26419545215757134</v>
      </c>
      <c r="S69" s="183">
        <v>0.22241496464420463</v>
      </c>
    </row>
    <row r="70" spans="1:19" ht="12.75" customHeight="1" thickBot="1" x14ac:dyDescent="0.55000000000000004">
      <c r="A70" s="27">
        <f>ROW()</f>
        <v>70</v>
      </c>
      <c r="C70" s="178"/>
      <c r="D70" s="178"/>
      <c r="E70" s="178"/>
      <c r="F70" s="182"/>
      <c r="G70" s="182"/>
      <c r="H70" s="182"/>
      <c r="I70" s="182"/>
      <c r="J70" s="182"/>
      <c r="K70" s="182"/>
      <c r="L70" s="182"/>
      <c r="N70" s="233"/>
      <c r="O70" s="173">
        <f t="shared" si="25"/>
        <v>7.5000000000000011E-2</v>
      </c>
      <c r="P70" s="177">
        <v>0.44586720967791527</v>
      </c>
      <c r="Q70" s="177">
        <v>0.36273944174905237</v>
      </c>
      <c r="R70" s="177">
        <v>0.30441271500579981</v>
      </c>
      <c r="S70" s="183">
        <v>0.26111446945985306</v>
      </c>
    </row>
    <row r="71" spans="1:19" ht="14.7" thickBot="1" x14ac:dyDescent="0.55000000000000004">
      <c r="A71" s="27">
        <f>ROW()</f>
        <v>71</v>
      </c>
      <c r="C71" s="178" t="s">
        <v>200</v>
      </c>
      <c r="D71" s="178"/>
      <c r="E71" s="184">
        <f>+E66</f>
        <v>-33600000</v>
      </c>
      <c r="F71" s="185"/>
      <c r="H71" s="186" t="s">
        <v>201</v>
      </c>
      <c r="I71" s="186"/>
      <c r="J71" s="186"/>
      <c r="K71" s="186"/>
      <c r="L71" s="186"/>
      <c r="N71" s="233"/>
      <c r="O71" s="173">
        <f t="shared" si="25"/>
        <v>8.0000000000000016E-2</v>
      </c>
      <c r="P71" s="177">
        <v>0.49684667656362702</v>
      </c>
      <c r="Q71" s="177">
        <v>0.41091266896554601</v>
      </c>
      <c r="R71" s="177">
        <v>0.35043558132826447</v>
      </c>
      <c r="S71" s="183">
        <v>0.30538476754951072</v>
      </c>
    </row>
    <row r="72" spans="1:19" ht="14.7" thickBot="1" x14ac:dyDescent="0.55000000000000004">
      <c r="A72" s="27">
        <f>ROW()</f>
        <v>72</v>
      </c>
      <c r="C72" s="178" t="s">
        <v>202</v>
      </c>
      <c r="D72" s="178"/>
      <c r="E72" s="150">
        <f>+E69+E71</f>
        <v>20935682.161864415</v>
      </c>
      <c r="H72" s="187">
        <v>6</v>
      </c>
      <c r="I72" s="188">
        <f>+H72+0.5</f>
        <v>6.5</v>
      </c>
      <c r="J72" s="188">
        <f>+I72+0.5</f>
        <v>7</v>
      </c>
      <c r="K72" s="188"/>
      <c r="L72" s="188">
        <f>+J72+0.5</f>
        <v>7.5</v>
      </c>
      <c r="N72" s="233"/>
      <c r="O72" s="173">
        <f t="shared" si="25"/>
        <v>8.500000000000002E-2</v>
      </c>
      <c r="P72" s="177">
        <v>0.55381788910972429</v>
      </c>
      <c r="Q72" s="177">
        <v>0.46464650691724763</v>
      </c>
      <c r="R72" s="177">
        <v>0.40172076210440966</v>
      </c>
      <c r="S72" s="183">
        <v>0.35470062466972374</v>
      </c>
    </row>
    <row r="73" spans="1:19" ht="14.25" customHeight="1" thickTop="1" thickBot="1" x14ac:dyDescent="0.55000000000000004">
      <c r="A73" s="27">
        <f>ROW()</f>
        <v>73</v>
      </c>
      <c r="C73" s="178"/>
      <c r="D73" s="178"/>
      <c r="E73" s="189"/>
      <c r="F73" s="185"/>
      <c r="H73" s="190"/>
      <c r="I73" s="191"/>
      <c r="J73" s="191"/>
      <c r="K73" s="192"/>
      <c r="L73" s="193"/>
      <c r="N73" s="233"/>
      <c r="O73" s="173">
        <f t="shared" si="25"/>
        <v>9.0000000000000024E-2</v>
      </c>
      <c r="P73" s="177">
        <v>0.61636592752914976</v>
      </c>
      <c r="Q73" s="177">
        <v>0.5235442546108704</v>
      </c>
      <c r="R73" s="177">
        <v>0.45788666508934606</v>
      </c>
      <c r="S73" s="183">
        <v>0.40869362060821457</v>
      </c>
    </row>
    <row r="74" spans="1:19" ht="12.75" customHeight="1" thickBot="1" x14ac:dyDescent="0.55000000000000004">
      <c r="A74" s="27">
        <f>ROW()</f>
        <v>74</v>
      </c>
      <c r="C74" s="178" t="s">
        <v>195</v>
      </c>
      <c r="D74" s="178"/>
      <c r="E74" s="194">
        <f>IRR(E66:L66)</f>
        <v>0.30538263175799507</v>
      </c>
      <c r="H74" s="195">
        <f>+P65</f>
        <v>0.30536628210444605</v>
      </c>
      <c r="I74" s="196">
        <f>+Q65</f>
        <v>0.22931650177408414</v>
      </c>
      <c r="J74" s="196">
        <f>+R65</f>
        <v>0.17662256692029299</v>
      </c>
      <c r="K74" s="197"/>
      <c r="L74" s="198">
        <f>+S65</f>
        <v>0.13808988070710093</v>
      </c>
      <c r="N74" s="234"/>
      <c r="O74" s="199">
        <f t="shared" si="25"/>
        <v>9.5000000000000029E-2</v>
      </c>
      <c r="P74" s="200">
        <v>0.60080336352101216</v>
      </c>
      <c r="Q74" s="200">
        <v>0.52030007032193593</v>
      </c>
      <c r="R74" s="200">
        <v>0.46241312973023779</v>
      </c>
      <c r="S74" s="201">
        <v>0.41831573229415281</v>
      </c>
    </row>
  </sheetData>
  <mergeCells count="6">
    <mergeCell ref="A5:C5"/>
    <mergeCell ref="D5:F5"/>
    <mergeCell ref="A9:C9"/>
    <mergeCell ref="N65:N74"/>
    <mergeCell ref="N62:S62"/>
    <mergeCell ref="N63:O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EA1E-C80C-46AB-89B5-FFBE1BCFAF16}">
  <dimension ref="A1:C8"/>
  <sheetViews>
    <sheetView showGridLines="0" workbookViewId="0">
      <selection activeCell="G5" sqref="G5"/>
    </sheetView>
  </sheetViews>
  <sheetFormatPr defaultRowHeight="14.35" x14ac:dyDescent="0.5"/>
  <cols>
    <col min="1" max="1" width="38.5859375" customWidth="1"/>
    <col min="2" max="2" width="33.05859375" customWidth="1"/>
    <col min="3" max="3" width="31.76171875" customWidth="1"/>
  </cols>
  <sheetData>
    <row r="1" spans="1:3" ht="18" x14ac:dyDescent="0.6">
      <c r="A1" s="11" t="s">
        <v>15</v>
      </c>
    </row>
    <row r="2" spans="1:3" ht="8.4499999999999993" customHeight="1" thickBot="1" x14ac:dyDescent="0.55000000000000004"/>
    <row r="3" spans="1:3" x14ac:dyDescent="0.5">
      <c r="A3" s="3" t="s">
        <v>2</v>
      </c>
      <c r="B3" s="4" t="s">
        <v>3</v>
      </c>
      <c r="C3" s="5" t="s">
        <v>4</v>
      </c>
    </row>
    <row r="4" spans="1:3" ht="41.45" customHeight="1" x14ac:dyDescent="0.5">
      <c r="A4" s="6" t="s">
        <v>5</v>
      </c>
      <c r="B4" s="2" t="s">
        <v>7</v>
      </c>
      <c r="C4" s="7" t="s">
        <v>14</v>
      </c>
    </row>
    <row r="5" spans="1:3" ht="41.45" customHeight="1" x14ac:dyDescent="0.5">
      <c r="A5" s="6" t="s">
        <v>6</v>
      </c>
      <c r="B5" s="2" t="s">
        <v>8</v>
      </c>
      <c r="C5" s="7" t="s">
        <v>11</v>
      </c>
    </row>
    <row r="6" spans="1:3" ht="41.45" customHeight="1" x14ac:dyDescent="0.5">
      <c r="A6" s="6" t="s">
        <v>249</v>
      </c>
      <c r="B6" s="2" t="s">
        <v>9</v>
      </c>
      <c r="C6" s="7" t="s">
        <v>12</v>
      </c>
    </row>
    <row r="7" spans="1:3" ht="49.7" customHeight="1" thickBot="1" x14ac:dyDescent="0.55000000000000004">
      <c r="A7" s="8" t="s">
        <v>13</v>
      </c>
      <c r="B7" s="9" t="s">
        <v>10</v>
      </c>
      <c r="C7" s="10"/>
    </row>
    <row r="8" spans="1:3" ht="19" customHeight="1" x14ac:dyDescent="0.5">
      <c r="C8" s="12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533E-04EE-4D34-8B59-8FA30B7A9DED}">
  <dimension ref="A1:I18"/>
  <sheetViews>
    <sheetView showGridLines="0" workbookViewId="0">
      <selection activeCell="F20" sqref="F20"/>
    </sheetView>
  </sheetViews>
  <sheetFormatPr defaultRowHeight="14.35" x14ac:dyDescent="0.5"/>
  <cols>
    <col min="6" max="6" width="11.76171875" customWidth="1"/>
    <col min="7" max="7" width="5.52734375" customWidth="1"/>
    <col min="8" max="8" width="3.234375" customWidth="1"/>
    <col min="9" max="9" width="12.64453125" customWidth="1"/>
  </cols>
  <sheetData>
    <row r="1" spans="1:9" ht="9.6999999999999993" customHeight="1" x14ac:dyDescent="0.5"/>
    <row r="2" spans="1:9" ht="32" customHeight="1" x14ac:dyDescent="0.5">
      <c r="A2" s="221" t="s">
        <v>42</v>
      </c>
      <c r="B2" s="222"/>
      <c r="C2" s="222"/>
      <c r="D2" s="222"/>
      <c r="E2" s="222"/>
      <c r="F2" s="222"/>
      <c r="G2" s="222"/>
      <c r="H2" s="222"/>
      <c r="I2" s="222"/>
    </row>
    <row r="4" spans="1:9" ht="13.7" customHeight="1" x14ac:dyDescent="0.5">
      <c r="B4" s="14"/>
      <c r="I4" s="16" t="s">
        <v>48</v>
      </c>
    </row>
    <row r="5" spans="1:9" ht="13.35" customHeight="1" x14ac:dyDescent="0.5">
      <c r="A5" s="223" t="s">
        <v>43</v>
      </c>
      <c r="B5" s="14"/>
      <c r="F5" t="s">
        <v>49</v>
      </c>
    </row>
    <row r="6" spans="1:9" x14ac:dyDescent="0.5">
      <c r="A6" s="223"/>
      <c r="B6" s="14"/>
      <c r="F6" t="s">
        <v>45</v>
      </c>
    </row>
    <row r="7" spans="1:9" x14ac:dyDescent="0.5">
      <c r="A7" s="223"/>
      <c r="B7" s="14"/>
      <c r="F7" t="s">
        <v>46</v>
      </c>
    </row>
    <row r="8" spans="1:9" x14ac:dyDescent="0.5">
      <c r="A8" s="223"/>
      <c r="B8" s="14"/>
    </row>
    <row r="9" spans="1:9" x14ac:dyDescent="0.5">
      <c r="A9" s="18"/>
      <c r="B9" s="14"/>
    </row>
    <row r="10" spans="1:9" x14ac:dyDescent="0.5">
      <c r="A10" s="18"/>
      <c r="B10" s="14"/>
    </row>
    <row r="11" spans="1:9" x14ac:dyDescent="0.5">
      <c r="A11" s="18">
        <v>0</v>
      </c>
      <c r="B11" s="17" t="s">
        <v>47</v>
      </c>
    </row>
    <row r="12" spans="1:9" x14ac:dyDescent="0.5">
      <c r="A12" s="18"/>
      <c r="B12" s="14"/>
    </row>
    <row r="13" spans="1:9" x14ac:dyDescent="0.5">
      <c r="B13" s="14"/>
      <c r="C13" s="224" t="s">
        <v>50</v>
      </c>
      <c r="D13" s="224"/>
    </row>
    <row r="14" spans="1:9" x14ac:dyDescent="0.5">
      <c r="B14" s="14"/>
    </row>
    <row r="15" spans="1:9" x14ac:dyDescent="0.5">
      <c r="B15" s="15"/>
      <c r="C15" s="13"/>
      <c r="D15" s="13"/>
      <c r="E15" s="13"/>
      <c r="F15" s="13"/>
      <c r="G15" s="13"/>
      <c r="H15" s="13"/>
      <c r="I15" s="13"/>
    </row>
    <row r="16" spans="1:9" x14ac:dyDescent="0.5">
      <c r="I16" s="16" t="s">
        <v>44</v>
      </c>
    </row>
    <row r="18" spans="9:9" x14ac:dyDescent="0.5">
      <c r="I18" t="s">
        <v>27</v>
      </c>
    </row>
  </sheetData>
  <mergeCells count="3">
    <mergeCell ref="A2:I2"/>
    <mergeCell ref="A5:A8"/>
    <mergeCell ref="C13:D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DEF2-E73A-412A-BF42-728FDF61CCD3}">
  <dimension ref="A1:C8"/>
  <sheetViews>
    <sheetView showGridLines="0" workbookViewId="0">
      <selection activeCell="C12" sqref="C12"/>
    </sheetView>
  </sheetViews>
  <sheetFormatPr defaultRowHeight="14.35" x14ac:dyDescent="0.5"/>
  <cols>
    <col min="1" max="1" width="38.5859375" customWidth="1"/>
    <col min="2" max="2" width="33.05859375" customWidth="1"/>
    <col min="3" max="3" width="24.41015625" customWidth="1"/>
  </cols>
  <sheetData>
    <row r="1" spans="1:3" ht="18" x14ac:dyDescent="0.6">
      <c r="A1" s="11" t="s">
        <v>17</v>
      </c>
    </row>
    <row r="2" spans="1:3" ht="8.4499999999999993" customHeight="1" thickBot="1" x14ac:dyDescent="0.55000000000000004"/>
    <row r="3" spans="1:3" x14ac:dyDescent="0.5">
      <c r="A3" s="3" t="s">
        <v>2</v>
      </c>
      <c r="B3" s="4" t="s">
        <v>3</v>
      </c>
      <c r="C3" s="5" t="s">
        <v>4</v>
      </c>
    </row>
    <row r="4" spans="1:3" ht="41.45" customHeight="1" x14ac:dyDescent="0.5">
      <c r="A4" s="6" t="s">
        <v>18</v>
      </c>
      <c r="B4" s="2" t="s">
        <v>51</v>
      </c>
      <c r="C4" s="7" t="s">
        <v>24</v>
      </c>
    </row>
    <row r="5" spans="1:3" ht="41.45" customHeight="1" x14ac:dyDescent="0.5">
      <c r="A5" s="6" t="s">
        <v>19</v>
      </c>
      <c r="B5" s="2" t="s">
        <v>22</v>
      </c>
      <c r="C5" s="7" t="s">
        <v>25</v>
      </c>
    </row>
    <row r="6" spans="1:3" ht="41.45" customHeight="1" x14ac:dyDescent="0.5">
      <c r="A6" s="6" t="s">
        <v>20</v>
      </c>
      <c r="B6" s="2" t="s">
        <v>23</v>
      </c>
      <c r="C6" s="7" t="s">
        <v>26</v>
      </c>
    </row>
    <row r="7" spans="1:3" ht="49.7" customHeight="1" thickBot="1" x14ac:dyDescent="0.55000000000000004">
      <c r="A7" s="8" t="s">
        <v>21</v>
      </c>
      <c r="B7" s="9"/>
      <c r="C7" s="10"/>
    </row>
    <row r="8" spans="1:3" ht="19" customHeight="1" x14ac:dyDescent="0.5">
      <c r="C8" s="12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480E-74F4-413D-8B68-9792385184EA}">
  <dimension ref="A1:C9"/>
  <sheetViews>
    <sheetView showGridLines="0" workbookViewId="0">
      <selection activeCell="F4" sqref="F4"/>
    </sheetView>
  </sheetViews>
  <sheetFormatPr defaultRowHeight="14.35" x14ac:dyDescent="0.5"/>
  <cols>
    <col min="1" max="1" width="38.5859375" customWidth="1"/>
    <col min="2" max="2" width="33.05859375" customWidth="1"/>
    <col min="3" max="3" width="31.76171875" customWidth="1"/>
  </cols>
  <sheetData>
    <row r="1" spans="1:3" ht="18" x14ac:dyDescent="0.6">
      <c r="A1" s="11" t="s">
        <v>40</v>
      </c>
    </row>
    <row r="2" spans="1:3" ht="8.4499999999999993" customHeight="1" thickBot="1" x14ac:dyDescent="0.55000000000000004"/>
    <row r="3" spans="1:3" x14ac:dyDescent="0.5">
      <c r="A3" s="3" t="s">
        <v>2</v>
      </c>
      <c r="B3" s="4" t="s">
        <v>3</v>
      </c>
      <c r="C3" s="5" t="s">
        <v>4</v>
      </c>
    </row>
    <row r="4" spans="1:3" ht="41.45" customHeight="1" x14ac:dyDescent="0.5">
      <c r="A4" s="2" t="s">
        <v>29</v>
      </c>
      <c r="B4" s="2" t="s">
        <v>31</v>
      </c>
      <c r="C4" s="7" t="s">
        <v>35</v>
      </c>
    </row>
    <row r="5" spans="1:3" ht="41.45" customHeight="1" x14ac:dyDescent="0.5">
      <c r="A5" s="6" t="s">
        <v>20</v>
      </c>
      <c r="B5" s="2" t="s">
        <v>32</v>
      </c>
      <c r="C5" s="7" t="s">
        <v>36</v>
      </c>
    </row>
    <row r="6" spans="1:3" ht="41.45" customHeight="1" x14ac:dyDescent="0.5">
      <c r="A6" s="6" t="s">
        <v>30</v>
      </c>
      <c r="B6" s="2" t="s">
        <v>33</v>
      </c>
      <c r="C6" s="7" t="s">
        <v>37</v>
      </c>
    </row>
    <row r="7" spans="1:3" ht="41.45" customHeight="1" x14ac:dyDescent="0.5">
      <c r="A7" s="6"/>
      <c r="B7" s="2" t="s">
        <v>34</v>
      </c>
      <c r="C7" s="7" t="s">
        <v>38</v>
      </c>
    </row>
    <row r="8" spans="1:3" ht="49.7" customHeight="1" thickBot="1" x14ac:dyDescent="0.55000000000000004">
      <c r="A8" s="8"/>
      <c r="B8" s="9"/>
      <c r="C8" s="10" t="s">
        <v>39</v>
      </c>
    </row>
    <row r="9" spans="1:3" ht="19" customHeight="1" x14ac:dyDescent="0.5">
      <c r="C9" s="1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EF27A-8EE4-4188-BE1C-27AC01F657F2}">
  <dimension ref="B1:P32"/>
  <sheetViews>
    <sheetView showGridLines="0" workbookViewId="0">
      <selection activeCell="S7" sqref="S7"/>
    </sheetView>
  </sheetViews>
  <sheetFormatPr defaultRowHeight="14.35" x14ac:dyDescent="0.5"/>
  <cols>
    <col min="2" max="2" width="4.05859375" customWidth="1"/>
    <col min="7" max="7" width="3.1171875" customWidth="1"/>
    <col min="8" max="8" width="3.64453125" customWidth="1"/>
    <col min="9" max="9" width="6.703125" customWidth="1"/>
    <col min="10" max="10" width="2.8203125" customWidth="1"/>
    <col min="14" max="14" width="6.17578125" customWidth="1"/>
    <col min="15" max="15" width="3.52734375" customWidth="1"/>
    <col min="16" max="16" width="3.64453125" customWidth="1"/>
    <col min="17" max="17" width="1.9375" customWidth="1"/>
  </cols>
  <sheetData>
    <row r="1" spans="2:16" ht="23.35" x14ac:dyDescent="0.8">
      <c r="B1" s="20" t="s">
        <v>95</v>
      </c>
    </row>
    <row r="3" spans="2:16" x14ac:dyDescent="0.5">
      <c r="B3" s="18" t="s">
        <v>52</v>
      </c>
      <c r="J3" s="18" t="s">
        <v>65</v>
      </c>
    </row>
    <row r="4" spans="2:16" x14ac:dyDescent="0.5">
      <c r="C4" t="s">
        <v>54</v>
      </c>
      <c r="H4" s="19"/>
      <c r="K4" t="s">
        <v>87</v>
      </c>
      <c r="P4" s="19"/>
    </row>
    <row r="5" spans="2:16" x14ac:dyDescent="0.5">
      <c r="C5" t="s">
        <v>53</v>
      </c>
      <c r="H5" s="19"/>
      <c r="K5" t="s">
        <v>88</v>
      </c>
      <c r="P5" s="19"/>
    </row>
    <row r="6" spans="2:16" x14ac:dyDescent="0.5">
      <c r="C6" t="s">
        <v>76</v>
      </c>
      <c r="H6" s="19"/>
      <c r="K6" t="s">
        <v>89</v>
      </c>
      <c r="P6" s="19"/>
    </row>
    <row r="7" spans="2:16" x14ac:dyDescent="0.5">
      <c r="C7" t="s">
        <v>77</v>
      </c>
      <c r="H7" s="19"/>
      <c r="K7" t="s">
        <v>90</v>
      </c>
      <c r="P7" s="19"/>
    </row>
    <row r="9" spans="2:16" x14ac:dyDescent="0.5">
      <c r="B9" s="18" t="s">
        <v>55</v>
      </c>
      <c r="J9" s="18" t="s">
        <v>66</v>
      </c>
    </row>
    <row r="10" spans="2:16" x14ac:dyDescent="0.5">
      <c r="C10" t="s">
        <v>78</v>
      </c>
      <c r="H10" s="19"/>
      <c r="K10" t="s">
        <v>91</v>
      </c>
      <c r="P10" s="19"/>
    </row>
    <row r="11" spans="2:16" x14ac:dyDescent="0.5">
      <c r="C11" t="s">
        <v>56</v>
      </c>
      <c r="H11" s="19"/>
      <c r="K11" t="s">
        <v>67</v>
      </c>
      <c r="P11" s="19"/>
    </row>
    <row r="12" spans="2:16" x14ac:dyDescent="0.5">
      <c r="C12" t="s">
        <v>79</v>
      </c>
      <c r="H12" s="19"/>
      <c r="K12" t="s">
        <v>68</v>
      </c>
      <c r="P12" s="19"/>
    </row>
    <row r="13" spans="2:16" x14ac:dyDescent="0.5">
      <c r="C13" t="s">
        <v>80</v>
      </c>
      <c r="H13" s="19"/>
      <c r="K13" t="s">
        <v>69</v>
      </c>
      <c r="P13" s="19"/>
    </row>
    <row r="15" spans="2:16" x14ac:dyDescent="0.5">
      <c r="B15" s="18" t="s">
        <v>57</v>
      </c>
      <c r="J15" s="18" t="s">
        <v>71</v>
      </c>
    </row>
    <row r="16" spans="2:16" x14ac:dyDescent="0.5">
      <c r="C16" t="s">
        <v>81</v>
      </c>
      <c r="H16" s="19"/>
      <c r="K16" t="s">
        <v>92</v>
      </c>
      <c r="P16" s="19"/>
    </row>
    <row r="17" spans="2:16" x14ac:dyDescent="0.5">
      <c r="C17" t="s">
        <v>82</v>
      </c>
      <c r="H17" s="19"/>
      <c r="K17" t="s">
        <v>93</v>
      </c>
      <c r="P17" s="19"/>
    </row>
    <row r="18" spans="2:16" x14ac:dyDescent="0.5">
      <c r="C18" t="s">
        <v>58</v>
      </c>
      <c r="H18" s="19"/>
      <c r="K18" t="s">
        <v>94</v>
      </c>
      <c r="P18" s="19"/>
    </row>
    <row r="19" spans="2:16" x14ac:dyDescent="0.5">
      <c r="K19" t="s">
        <v>72</v>
      </c>
      <c r="P19" s="19"/>
    </row>
    <row r="20" spans="2:16" x14ac:dyDescent="0.5">
      <c r="B20" s="18" t="s">
        <v>59</v>
      </c>
    </row>
    <row r="21" spans="2:16" x14ac:dyDescent="0.5">
      <c r="C21" t="s">
        <v>83</v>
      </c>
      <c r="H21" s="19"/>
      <c r="J21" s="18" t="s">
        <v>73</v>
      </c>
    </row>
    <row r="22" spans="2:16" x14ac:dyDescent="0.5">
      <c r="C22" t="s">
        <v>85</v>
      </c>
      <c r="H22" s="19"/>
      <c r="K22" t="s">
        <v>74</v>
      </c>
      <c r="P22" s="19"/>
    </row>
    <row r="23" spans="2:16" x14ac:dyDescent="0.5">
      <c r="C23" t="s">
        <v>84</v>
      </c>
      <c r="H23" s="19"/>
      <c r="K23" t="s">
        <v>75</v>
      </c>
      <c r="P23" s="19"/>
    </row>
    <row r="24" spans="2:16" x14ac:dyDescent="0.5">
      <c r="K24" t="s">
        <v>97</v>
      </c>
      <c r="P24" s="19"/>
    </row>
    <row r="25" spans="2:16" x14ac:dyDescent="0.5">
      <c r="B25" s="18" t="s">
        <v>70</v>
      </c>
      <c r="K25" t="s">
        <v>98</v>
      </c>
      <c r="P25" s="19"/>
    </row>
    <row r="26" spans="2:16" x14ac:dyDescent="0.5">
      <c r="C26" t="s">
        <v>60</v>
      </c>
      <c r="H26" s="19"/>
    </row>
    <row r="27" spans="2:16" x14ac:dyDescent="0.5">
      <c r="C27" t="s">
        <v>61</v>
      </c>
      <c r="H27" s="19"/>
    </row>
    <row r="28" spans="2:16" x14ac:dyDescent="0.5">
      <c r="C28" t="s">
        <v>86</v>
      </c>
      <c r="H28" s="19"/>
    </row>
    <row r="29" spans="2:16" x14ac:dyDescent="0.5">
      <c r="C29" t="s">
        <v>62</v>
      </c>
      <c r="H29" s="19"/>
    </row>
    <row r="30" spans="2:16" x14ac:dyDescent="0.5">
      <c r="C30" t="s">
        <v>63</v>
      </c>
      <c r="H30" s="19"/>
    </row>
    <row r="31" spans="2:16" x14ac:dyDescent="0.5">
      <c r="C31" t="s">
        <v>64</v>
      </c>
      <c r="H31" s="19"/>
    </row>
    <row r="32" spans="2:16" x14ac:dyDescent="0.5">
      <c r="N32" t="s">
        <v>96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EABA-8673-46F8-B398-FE2BBDBB71A1}">
  <dimension ref="B1:O122"/>
  <sheetViews>
    <sheetView showGridLines="0" workbookViewId="0">
      <selection activeCell="E17" sqref="E17"/>
    </sheetView>
  </sheetViews>
  <sheetFormatPr defaultRowHeight="14.35" x14ac:dyDescent="0.5"/>
  <cols>
    <col min="1" max="1" width="1.1171875" customWidth="1"/>
    <col min="2" max="2" width="30.64453125" customWidth="1"/>
    <col min="3" max="3" width="11.703125" customWidth="1"/>
    <col min="4" max="4" width="13.703125" customWidth="1"/>
    <col min="5" max="5" width="8.29296875" customWidth="1"/>
    <col min="6" max="6" width="9.8203125" customWidth="1"/>
    <col min="7" max="7" width="11.05859375" customWidth="1"/>
    <col min="8" max="8" width="12.1171875" customWidth="1"/>
    <col min="9" max="9" width="8.1171875" customWidth="1"/>
    <col min="10" max="10" width="3" customWidth="1"/>
    <col min="11" max="11" width="13.41015625" customWidth="1"/>
    <col min="12" max="12" width="16.41015625" customWidth="1"/>
    <col min="13" max="13" width="12.29296875" customWidth="1"/>
    <col min="14" max="14" width="13.41015625" customWidth="1"/>
    <col min="15" max="16" width="12.29296875" customWidth="1"/>
    <col min="17" max="17" width="12.703125" customWidth="1"/>
    <col min="18" max="18" width="11" customWidth="1"/>
    <col min="19" max="23" width="12.41015625" customWidth="1"/>
    <col min="256" max="256" width="3" customWidth="1"/>
    <col min="257" max="257" width="1.1171875" customWidth="1"/>
    <col min="258" max="258" width="30.64453125" customWidth="1"/>
    <col min="259" max="259" width="10.41015625" customWidth="1"/>
    <col min="260" max="260" width="13.703125" customWidth="1"/>
    <col min="261" max="261" width="8.29296875" customWidth="1"/>
    <col min="262" max="262" width="9.8203125" customWidth="1"/>
    <col min="263" max="263" width="11.05859375" customWidth="1"/>
    <col min="264" max="264" width="12.1171875" customWidth="1"/>
    <col min="265" max="265" width="8.64453125" customWidth="1"/>
    <col min="266" max="266" width="3" customWidth="1"/>
    <col min="267" max="267" width="13.41015625" customWidth="1"/>
    <col min="268" max="268" width="16.41015625" customWidth="1"/>
    <col min="269" max="269" width="12.29296875" customWidth="1"/>
    <col min="270" max="270" width="13.41015625" customWidth="1"/>
    <col min="271" max="272" width="12.29296875" customWidth="1"/>
    <col min="273" max="273" width="12.703125" customWidth="1"/>
    <col min="274" max="274" width="11" customWidth="1"/>
    <col min="275" max="279" width="12.41015625" customWidth="1"/>
    <col min="512" max="512" width="3" customWidth="1"/>
    <col min="513" max="513" width="1.1171875" customWidth="1"/>
    <col min="514" max="514" width="30.64453125" customWidth="1"/>
    <col min="515" max="515" width="10.41015625" customWidth="1"/>
    <col min="516" max="516" width="13.703125" customWidth="1"/>
    <col min="517" max="517" width="8.29296875" customWidth="1"/>
    <col min="518" max="518" width="9.8203125" customWidth="1"/>
    <col min="519" max="519" width="11.05859375" customWidth="1"/>
    <col min="520" max="520" width="12.1171875" customWidth="1"/>
    <col min="521" max="521" width="8.64453125" customWidth="1"/>
    <col min="522" max="522" width="3" customWidth="1"/>
    <col min="523" max="523" width="13.41015625" customWidth="1"/>
    <col min="524" max="524" width="16.41015625" customWidth="1"/>
    <col min="525" max="525" width="12.29296875" customWidth="1"/>
    <col min="526" max="526" width="13.41015625" customWidth="1"/>
    <col min="527" max="528" width="12.29296875" customWidth="1"/>
    <col min="529" max="529" width="12.703125" customWidth="1"/>
    <col min="530" max="530" width="11" customWidth="1"/>
    <col min="531" max="535" width="12.41015625" customWidth="1"/>
    <col min="768" max="768" width="3" customWidth="1"/>
    <col min="769" max="769" width="1.1171875" customWidth="1"/>
    <col min="770" max="770" width="30.64453125" customWidth="1"/>
    <col min="771" max="771" width="10.41015625" customWidth="1"/>
    <col min="772" max="772" width="13.703125" customWidth="1"/>
    <col min="773" max="773" width="8.29296875" customWidth="1"/>
    <col min="774" max="774" width="9.8203125" customWidth="1"/>
    <col min="775" max="775" width="11.05859375" customWidth="1"/>
    <col min="776" max="776" width="12.1171875" customWidth="1"/>
    <col min="777" max="777" width="8.64453125" customWidth="1"/>
    <col min="778" max="778" width="3" customWidth="1"/>
    <col min="779" max="779" width="13.41015625" customWidth="1"/>
    <col min="780" max="780" width="16.41015625" customWidth="1"/>
    <col min="781" max="781" width="12.29296875" customWidth="1"/>
    <col min="782" max="782" width="13.41015625" customWidth="1"/>
    <col min="783" max="784" width="12.29296875" customWidth="1"/>
    <col min="785" max="785" width="12.703125" customWidth="1"/>
    <col min="786" max="786" width="11" customWidth="1"/>
    <col min="787" max="791" width="12.41015625" customWidth="1"/>
    <col min="1024" max="1024" width="3" customWidth="1"/>
    <col min="1025" max="1025" width="1.1171875" customWidth="1"/>
    <col min="1026" max="1026" width="30.64453125" customWidth="1"/>
    <col min="1027" max="1027" width="10.41015625" customWidth="1"/>
    <col min="1028" max="1028" width="13.703125" customWidth="1"/>
    <col min="1029" max="1029" width="8.29296875" customWidth="1"/>
    <col min="1030" max="1030" width="9.8203125" customWidth="1"/>
    <col min="1031" max="1031" width="11.05859375" customWidth="1"/>
    <col min="1032" max="1032" width="12.1171875" customWidth="1"/>
    <col min="1033" max="1033" width="8.64453125" customWidth="1"/>
    <col min="1034" max="1034" width="3" customWidth="1"/>
    <col min="1035" max="1035" width="13.41015625" customWidth="1"/>
    <col min="1036" max="1036" width="16.41015625" customWidth="1"/>
    <col min="1037" max="1037" width="12.29296875" customWidth="1"/>
    <col min="1038" max="1038" width="13.41015625" customWidth="1"/>
    <col min="1039" max="1040" width="12.29296875" customWidth="1"/>
    <col min="1041" max="1041" width="12.703125" customWidth="1"/>
    <col min="1042" max="1042" width="11" customWidth="1"/>
    <col min="1043" max="1047" width="12.41015625" customWidth="1"/>
    <col min="1280" max="1280" width="3" customWidth="1"/>
    <col min="1281" max="1281" width="1.1171875" customWidth="1"/>
    <col min="1282" max="1282" width="30.64453125" customWidth="1"/>
    <col min="1283" max="1283" width="10.41015625" customWidth="1"/>
    <col min="1284" max="1284" width="13.703125" customWidth="1"/>
    <col min="1285" max="1285" width="8.29296875" customWidth="1"/>
    <col min="1286" max="1286" width="9.8203125" customWidth="1"/>
    <col min="1287" max="1287" width="11.05859375" customWidth="1"/>
    <col min="1288" max="1288" width="12.1171875" customWidth="1"/>
    <col min="1289" max="1289" width="8.64453125" customWidth="1"/>
    <col min="1290" max="1290" width="3" customWidth="1"/>
    <col min="1291" max="1291" width="13.41015625" customWidth="1"/>
    <col min="1292" max="1292" width="16.41015625" customWidth="1"/>
    <col min="1293" max="1293" width="12.29296875" customWidth="1"/>
    <col min="1294" max="1294" width="13.41015625" customWidth="1"/>
    <col min="1295" max="1296" width="12.29296875" customWidth="1"/>
    <col min="1297" max="1297" width="12.703125" customWidth="1"/>
    <col min="1298" max="1298" width="11" customWidth="1"/>
    <col min="1299" max="1303" width="12.41015625" customWidth="1"/>
    <col min="1536" max="1536" width="3" customWidth="1"/>
    <col min="1537" max="1537" width="1.1171875" customWidth="1"/>
    <col min="1538" max="1538" width="30.64453125" customWidth="1"/>
    <col min="1539" max="1539" width="10.41015625" customWidth="1"/>
    <col min="1540" max="1540" width="13.703125" customWidth="1"/>
    <col min="1541" max="1541" width="8.29296875" customWidth="1"/>
    <col min="1542" max="1542" width="9.8203125" customWidth="1"/>
    <col min="1543" max="1543" width="11.05859375" customWidth="1"/>
    <col min="1544" max="1544" width="12.1171875" customWidth="1"/>
    <col min="1545" max="1545" width="8.64453125" customWidth="1"/>
    <col min="1546" max="1546" width="3" customWidth="1"/>
    <col min="1547" max="1547" width="13.41015625" customWidth="1"/>
    <col min="1548" max="1548" width="16.41015625" customWidth="1"/>
    <col min="1549" max="1549" width="12.29296875" customWidth="1"/>
    <col min="1550" max="1550" width="13.41015625" customWidth="1"/>
    <col min="1551" max="1552" width="12.29296875" customWidth="1"/>
    <col min="1553" max="1553" width="12.703125" customWidth="1"/>
    <col min="1554" max="1554" width="11" customWidth="1"/>
    <col min="1555" max="1559" width="12.41015625" customWidth="1"/>
    <col min="1792" max="1792" width="3" customWidth="1"/>
    <col min="1793" max="1793" width="1.1171875" customWidth="1"/>
    <col min="1794" max="1794" width="30.64453125" customWidth="1"/>
    <col min="1795" max="1795" width="10.41015625" customWidth="1"/>
    <col min="1796" max="1796" width="13.703125" customWidth="1"/>
    <col min="1797" max="1797" width="8.29296875" customWidth="1"/>
    <col min="1798" max="1798" width="9.8203125" customWidth="1"/>
    <col min="1799" max="1799" width="11.05859375" customWidth="1"/>
    <col min="1800" max="1800" width="12.1171875" customWidth="1"/>
    <col min="1801" max="1801" width="8.64453125" customWidth="1"/>
    <col min="1802" max="1802" width="3" customWidth="1"/>
    <col min="1803" max="1803" width="13.41015625" customWidth="1"/>
    <col min="1804" max="1804" width="16.41015625" customWidth="1"/>
    <col min="1805" max="1805" width="12.29296875" customWidth="1"/>
    <col min="1806" max="1806" width="13.41015625" customWidth="1"/>
    <col min="1807" max="1808" width="12.29296875" customWidth="1"/>
    <col min="1809" max="1809" width="12.703125" customWidth="1"/>
    <col min="1810" max="1810" width="11" customWidth="1"/>
    <col min="1811" max="1815" width="12.41015625" customWidth="1"/>
    <col min="2048" max="2048" width="3" customWidth="1"/>
    <col min="2049" max="2049" width="1.1171875" customWidth="1"/>
    <col min="2050" max="2050" width="30.64453125" customWidth="1"/>
    <col min="2051" max="2051" width="10.41015625" customWidth="1"/>
    <col min="2052" max="2052" width="13.703125" customWidth="1"/>
    <col min="2053" max="2053" width="8.29296875" customWidth="1"/>
    <col min="2054" max="2054" width="9.8203125" customWidth="1"/>
    <col min="2055" max="2055" width="11.05859375" customWidth="1"/>
    <col min="2056" max="2056" width="12.1171875" customWidth="1"/>
    <col min="2057" max="2057" width="8.64453125" customWidth="1"/>
    <col min="2058" max="2058" width="3" customWidth="1"/>
    <col min="2059" max="2059" width="13.41015625" customWidth="1"/>
    <col min="2060" max="2060" width="16.41015625" customWidth="1"/>
    <col min="2061" max="2061" width="12.29296875" customWidth="1"/>
    <col min="2062" max="2062" width="13.41015625" customWidth="1"/>
    <col min="2063" max="2064" width="12.29296875" customWidth="1"/>
    <col min="2065" max="2065" width="12.703125" customWidth="1"/>
    <col min="2066" max="2066" width="11" customWidth="1"/>
    <col min="2067" max="2071" width="12.41015625" customWidth="1"/>
    <col min="2304" max="2304" width="3" customWidth="1"/>
    <col min="2305" max="2305" width="1.1171875" customWidth="1"/>
    <col min="2306" max="2306" width="30.64453125" customWidth="1"/>
    <col min="2307" max="2307" width="10.41015625" customWidth="1"/>
    <col min="2308" max="2308" width="13.703125" customWidth="1"/>
    <col min="2309" max="2309" width="8.29296875" customWidth="1"/>
    <col min="2310" max="2310" width="9.8203125" customWidth="1"/>
    <col min="2311" max="2311" width="11.05859375" customWidth="1"/>
    <col min="2312" max="2312" width="12.1171875" customWidth="1"/>
    <col min="2313" max="2313" width="8.64453125" customWidth="1"/>
    <col min="2314" max="2314" width="3" customWidth="1"/>
    <col min="2315" max="2315" width="13.41015625" customWidth="1"/>
    <col min="2316" max="2316" width="16.41015625" customWidth="1"/>
    <col min="2317" max="2317" width="12.29296875" customWidth="1"/>
    <col min="2318" max="2318" width="13.41015625" customWidth="1"/>
    <col min="2319" max="2320" width="12.29296875" customWidth="1"/>
    <col min="2321" max="2321" width="12.703125" customWidth="1"/>
    <col min="2322" max="2322" width="11" customWidth="1"/>
    <col min="2323" max="2327" width="12.41015625" customWidth="1"/>
    <col min="2560" max="2560" width="3" customWidth="1"/>
    <col min="2561" max="2561" width="1.1171875" customWidth="1"/>
    <col min="2562" max="2562" width="30.64453125" customWidth="1"/>
    <col min="2563" max="2563" width="10.41015625" customWidth="1"/>
    <col min="2564" max="2564" width="13.703125" customWidth="1"/>
    <col min="2565" max="2565" width="8.29296875" customWidth="1"/>
    <col min="2566" max="2566" width="9.8203125" customWidth="1"/>
    <col min="2567" max="2567" width="11.05859375" customWidth="1"/>
    <col min="2568" max="2568" width="12.1171875" customWidth="1"/>
    <col min="2569" max="2569" width="8.64453125" customWidth="1"/>
    <col min="2570" max="2570" width="3" customWidth="1"/>
    <col min="2571" max="2571" width="13.41015625" customWidth="1"/>
    <col min="2572" max="2572" width="16.41015625" customWidth="1"/>
    <col min="2573" max="2573" width="12.29296875" customWidth="1"/>
    <col min="2574" max="2574" width="13.41015625" customWidth="1"/>
    <col min="2575" max="2576" width="12.29296875" customWidth="1"/>
    <col min="2577" max="2577" width="12.703125" customWidth="1"/>
    <col min="2578" max="2578" width="11" customWidth="1"/>
    <col min="2579" max="2583" width="12.41015625" customWidth="1"/>
    <col min="2816" max="2816" width="3" customWidth="1"/>
    <col min="2817" max="2817" width="1.1171875" customWidth="1"/>
    <col min="2818" max="2818" width="30.64453125" customWidth="1"/>
    <col min="2819" max="2819" width="10.41015625" customWidth="1"/>
    <col min="2820" max="2820" width="13.703125" customWidth="1"/>
    <col min="2821" max="2821" width="8.29296875" customWidth="1"/>
    <col min="2822" max="2822" width="9.8203125" customWidth="1"/>
    <col min="2823" max="2823" width="11.05859375" customWidth="1"/>
    <col min="2824" max="2824" width="12.1171875" customWidth="1"/>
    <col min="2825" max="2825" width="8.64453125" customWidth="1"/>
    <col min="2826" max="2826" width="3" customWidth="1"/>
    <col min="2827" max="2827" width="13.41015625" customWidth="1"/>
    <col min="2828" max="2828" width="16.41015625" customWidth="1"/>
    <col min="2829" max="2829" width="12.29296875" customWidth="1"/>
    <col min="2830" max="2830" width="13.41015625" customWidth="1"/>
    <col min="2831" max="2832" width="12.29296875" customWidth="1"/>
    <col min="2833" max="2833" width="12.703125" customWidth="1"/>
    <col min="2834" max="2834" width="11" customWidth="1"/>
    <col min="2835" max="2839" width="12.41015625" customWidth="1"/>
    <col min="3072" max="3072" width="3" customWidth="1"/>
    <col min="3073" max="3073" width="1.1171875" customWidth="1"/>
    <col min="3074" max="3074" width="30.64453125" customWidth="1"/>
    <col min="3075" max="3075" width="10.41015625" customWidth="1"/>
    <col min="3076" max="3076" width="13.703125" customWidth="1"/>
    <col min="3077" max="3077" width="8.29296875" customWidth="1"/>
    <col min="3078" max="3078" width="9.8203125" customWidth="1"/>
    <col min="3079" max="3079" width="11.05859375" customWidth="1"/>
    <col min="3080" max="3080" width="12.1171875" customWidth="1"/>
    <col min="3081" max="3081" width="8.64453125" customWidth="1"/>
    <col min="3082" max="3082" width="3" customWidth="1"/>
    <col min="3083" max="3083" width="13.41015625" customWidth="1"/>
    <col min="3084" max="3084" width="16.41015625" customWidth="1"/>
    <col min="3085" max="3085" width="12.29296875" customWidth="1"/>
    <col min="3086" max="3086" width="13.41015625" customWidth="1"/>
    <col min="3087" max="3088" width="12.29296875" customWidth="1"/>
    <col min="3089" max="3089" width="12.703125" customWidth="1"/>
    <col min="3090" max="3090" width="11" customWidth="1"/>
    <col min="3091" max="3095" width="12.41015625" customWidth="1"/>
    <col min="3328" max="3328" width="3" customWidth="1"/>
    <col min="3329" max="3329" width="1.1171875" customWidth="1"/>
    <col min="3330" max="3330" width="30.64453125" customWidth="1"/>
    <col min="3331" max="3331" width="10.41015625" customWidth="1"/>
    <col min="3332" max="3332" width="13.703125" customWidth="1"/>
    <col min="3333" max="3333" width="8.29296875" customWidth="1"/>
    <col min="3334" max="3334" width="9.8203125" customWidth="1"/>
    <col min="3335" max="3335" width="11.05859375" customWidth="1"/>
    <col min="3336" max="3336" width="12.1171875" customWidth="1"/>
    <col min="3337" max="3337" width="8.64453125" customWidth="1"/>
    <col min="3338" max="3338" width="3" customWidth="1"/>
    <col min="3339" max="3339" width="13.41015625" customWidth="1"/>
    <col min="3340" max="3340" width="16.41015625" customWidth="1"/>
    <col min="3341" max="3341" width="12.29296875" customWidth="1"/>
    <col min="3342" max="3342" width="13.41015625" customWidth="1"/>
    <col min="3343" max="3344" width="12.29296875" customWidth="1"/>
    <col min="3345" max="3345" width="12.703125" customWidth="1"/>
    <col min="3346" max="3346" width="11" customWidth="1"/>
    <col min="3347" max="3351" width="12.41015625" customWidth="1"/>
    <col min="3584" max="3584" width="3" customWidth="1"/>
    <col min="3585" max="3585" width="1.1171875" customWidth="1"/>
    <col min="3586" max="3586" width="30.64453125" customWidth="1"/>
    <col min="3587" max="3587" width="10.41015625" customWidth="1"/>
    <col min="3588" max="3588" width="13.703125" customWidth="1"/>
    <col min="3589" max="3589" width="8.29296875" customWidth="1"/>
    <col min="3590" max="3590" width="9.8203125" customWidth="1"/>
    <col min="3591" max="3591" width="11.05859375" customWidth="1"/>
    <col min="3592" max="3592" width="12.1171875" customWidth="1"/>
    <col min="3593" max="3593" width="8.64453125" customWidth="1"/>
    <col min="3594" max="3594" width="3" customWidth="1"/>
    <col min="3595" max="3595" width="13.41015625" customWidth="1"/>
    <col min="3596" max="3596" width="16.41015625" customWidth="1"/>
    <col min="3597" max="3597" width="12.29296875" customWidth="1"/>
    <col min="3598" max="3598" width="13.41015625" customWidth="1"/>
    <col min="3599" max="3600" width="12.29296875" customWidth="1"/>
    <col min="3601" max="3601" width="12.703125" customWidth="1"/>
    <col min="3602" max="3602" width="11" customWidth="1"/>
    <col min="3603" max="3607" width="12.41015625" customWidth="1"/>
    <col min="3840" max="3840" width="3" customWidth="1"/>
    <col min="3841" max="3841" width="1.1171875" customWidth="1"/>
    <col min="3842" max="3842" width="30.64453125" customWidth="1"/>
    <col min="3843" max="3843" width="10.41015625" customWidth="1"/>
    <col min="3844" max="3844" width="13.703125" customWidth="1"/>
    <col min="3845" max="3845" width="8.29296875" customWidth="1"/>
    <col min="3846" max="3846" width="9.8203125" customWidth="1"/>
    <col min="3847" max="3847" width="11.05859375" customWidth="1"/>
    <col min="3848" max="3848" width="12.1171875" customWidth="1"/>
    <col min="3849" max="3849" width="8.64453125" customWidth="1"/>
    <col min="3850" max="3850" width="3" customWidth="1"/>
    <col min="3851" max="3851" width="13.41015625" customWidth="1"/>
    <col min="3852" max="3852" width="16.41015625" customWidth="1"/>
    <col min="3853" max="3853" width="12.29296875" customWidth="1"/>
    <col min="3854" max="3854" width="13.41015625" customWidth="1"/>
    <col min="3855" max="3856" width="12.29296875" customWidth="1"/>
    <col min="3857" max="3857" width="12.703125" customWidth="1"/>
    <col min="3858" max="3858" width="11" customWidth="1"/>
    <col min="3859" max="3863" width="12.41015625" customWidth="1"/>
    <col min="4096" max="4096" width="3" customWidth="1"/>
    <col min="4097" max="4097" width="1.1171875" customWidth="1"/>
    <col min="4098" max="4098" width="30.64453125" customWidth="1"/>
    <col min="4099" max="4099" width="10.41015625" customWidth="1"/>
    <col min="4100" max="4100" width="13.703125" customWidth="1"/>
    <col min="4101" max="4101" width="8.29296875" customWidth="1"/>
    <col min="4102" max="4102" width="9.8203125" customWidth="1"/>
    <col min="4103" max="4103" width="11.05859375" customWidth="1"/>
    <col min="4104" max="4104" width="12.1171875" customWidth="1"/>
    <col min="4105" max="4105" width="8.64453125" customWidth="1"/>
    <col min="4106" max="4106" width="3" customWidth="1"/>
    <col min="4107" max="4107" width="13.41015625" customWidth="1"/>
    <col min="4108" max="4108" width="16.41015625" customWidth="1"/>
    <col min="4109" max="4109" width="12.29296875" customWidth="1"/>
    <col min="4110" max="4110" width="13.41015625" customWidth="1"/>
    <col min="4111" max="4112" width="12.29296875" customWidth="1"/>
    <col min="4113" max="4113" width="12.703125" customWidth="1"/>
    <col min="4114" max="4114" width="11" customWidth="1"/>
    <col min="4115" max="4119" width="12.41015625" customWidth="1"/>
    <col min="4352" max="4352" width="3" customWidth="1"/>
    <col min="4353" max="4353" width="1.1171875" customWidth="1"/>
    <col min="4354" max="4354" width="30.64453125" customWidth="1"/>
    <col min="4355" max="4355" width="10.41015625" customWidth="1"/>
    <col min="4356" max="4356" width="13.703125" customWidth="1"/>
    <col min="4357" max="4357" width="8.29296875" customWidth="1"/>
    <col min="4358" max="4358" width="9.8203125" customWidth="1"/>
    <col min="4359" max="4359" width="11.05859375" customWidth="1"/>
    <col min="4360" max="4360" width="12.1171875" customWidth="1"/>
    <col min="4361" max="4361" width="8.64453125" customWidth="1"/>
    <col min="4362" max="4362" width="3" customWidth="1"/>
    <col min="4363" max="4363" width="13.41015625" customWidth="1"/>
    <col min="4364" max="4364" width="16.41015625" customWidth="1"/>
    <col min="4365" max="4365" width="12.29296875" customWidth="1"/>
    <col min="4366" max="4366" width="13.41015625" customWidth="1"/>
    <col min="4367" max="4368" width="12.29296875" customWidth="1"/>
    <col min="4369" max="4369" width="12.703125" customWidth="1"/>
    <col min="4370" max="4370" width="11" customWidth="1"/>
    <col min="4371" max="4375" width="12.41015625" customWidth="1"/>
    <col min="4608" max="4608" width="3" customWidth="1"/>
    <col min="4609" max="4609" width="1.1171875" customWidth="1"/>
    <col min="4610" max="4610" width="30.64453125" customWidth="1"/>
    <col min="4611" max="4611" width="10.41015625" customWidth="1"/>
    <col min="4612" max="4612" width="13.703125" customWidth="1"/>
    <col min="4613" max="4613" width="8.29296875" customWidth="1"/>
    <col min="4614" max="4614" width="9.8203125" customWidth="1"/>
    <col min="4615" max="4615" width="11.05859375" customWidth="1"/>
    <col min="4616" max="4616" width="12.1171875" customWidth="1"/>
    <col min="4617" max="4617" width="8.64453125" customWidth="1"/>
    <col min="4618" max="4618" width="3" customWidth="1"/>
    <col min="4619" max="4619" width="13.41015625" customWidth="1"/>
    <col min="4620" max="4620" width="16.41015625" customWidth="1"/>
    <col min="4621" max="4621" width="12.29296875" customWidth="1"/>
    <col min="4622" max="4622" width="13.41015625" customWidth="1"/>
    <col min="4623" max="4624" width="12.29296875" customWidth="1"/>
    <col min="4625" max="4625" width="12.703125" customWidth="1"/>
    <col min="4626" max="4626" width="11" customWidth="1"/>
    <col min="4627" max="4631" width="12.41015625" customWidth="1"/>
    <col min="4864" max="4864" width="3" customWidth="1"/>
    <col min="4865" max="4865" width="1.1171875" customWidth="1"/>
    <col min="4866" max="4866" width="30.64453125" customWidth="1"/>
    <col min="4867" max="4867" width="10.41015625" customWidth="1"/>
    <col min="4868" max="4868" width="13.703125" customWidth="1"/>
    <col min="4869" max="4869" width="8.29296875" customWidth="1"/>
    <col min="4870" max="4870" width="9.8203125" customWidth="1"/>
    <col min="4871" max="4871" width="11.05859375" customWidth="1"/>
    <col min="4872" max="4872" width="12.1171875" customWidth="1"/>
    <col min="4873" max="4873" width="8.64453125" customWidth="1"/>
    <col min="4874" max="4874" width="3" customWidth="1"/>
    <col min="4875" max="4875" width="13.41015625" customWidth="1"/>
    <col min="4876" max="4876" width="16.41015625" customWidth="1"/>
    <col min="4877" max="4877" width="12.29296875" customWidth="1"/>
    <col min="4878" max="4878" width="13.41015625" customWidth="1"/>
    <col min="4879" max="4880" width="12.29296875" customWidth="1"/>
    <col min="4881" max="4881" width="12.703125" customWidth="1"/>
    <col min="4882" max="4882" width="11" customWidth="1"/>
    <col min="4883" max="4887" width="12.41015625" customWidth="1"/>
    <col min="5120" max="5120" width="3" customWidth="1"/>
    <col min="5121" max="5121" width="1.1171875" customWidth="1"/>
    <col min="5122" max="5122" width="30.64453125" customWidth="1"/>
    <col min="5123" max="5123" width="10.41015625" customWidth="1"/>
    <col min="5124" max="5124" width="13.703125" customWidth="1"/>
    <col min="5125" max="5125" width="8.29296875" customWidth="1"/>
    <col min="5126" max="5126" width="9.8203125" customWidth="1"/>
    <col min="5127" max="5127" width="11.05859375" customWidth="1"/>
    <col min="5128" max="5128" width="12.1171875" customWidth="1"/>
    <col min="5129" max="5129" width="8.64453125" customWidth="1"/>
    <col min="5130" max="5130" width="3" customWidth="1"/>
    <col min="5131" max="5131" width="13.41015625" customWidth="1"/>
    <col min="5132" max="5132" width="16.41015625" customWidth="1"/>
    <col min="5133" max="5133" width="12.29296875" customWidth="1"/>
    <col min="5134" max="5134" width="13.41015625" customWidth="1"/>
    <col min="5135" max="5136" width="12.29296875" customWidth="1"/>
    <col min="5137" max="5137" width="12.703125" customWidth="1"/>
    <col min="5138" max="5138" width="11" customWidth="1"/>
    <col min="5139" max="5143" width="12.41015625" customWidth="1"/>
    <col min="5376" max="5376" width="3" customWidth="1"/>
    <col min="5377" max="5377" width="1.1171875" customWidth="1"/>
    <col min="5378" max="5378" width="30.64453125" customWidth="1"/>
    <col min="5379" max="5379" width="10.41015625" customWidth="1"/>
    <col min="5380" max="5380" width="13.703125" customWidth="1"/>
    <col min="5381" max="5381" width="8.29296875" customWidth="1"/>
    <col min="5382" max="5382" width="9.8203125" customWidth="1"/>
    <col min="5383" max="5383" width="11.05859375" customWidth="1"/>
    <col min="5384" max="5384" width="12.1171875" customWidth="1"/>
    <col min="5385" max="5385" width="8.64453125" customWidth="1"/>
    <col min="5386" max="5386" width="3" customWidth="1"/>
    <col min="5387" max="5387" width="13.41015625" customWidth="1"/>
    <col min="5388" max="5388" width="16.41015625" customWidth="1"/>
    <col min="5389" max="5389" width="12.29296875" customWidth="1"/>
    <col min="5390" max="5390" width="13.41015625" customWidth="1"/>
    <col min="5391" max="5392" width="12.29296875" customWidth="1"/>
    <col min="5393" max="5393" width="12.703125" customWidth="1"/>
    <col min="5394" max="5394" width="11" customWidth="1"/>
    <col min="5395" max="5399" width="12.41015625" customWidth="1"/>
    <col min="5632" max="5632" width="3" customWidth="1"/>
    <col min="5633" max="5633" width="1.1171875" customWidth="1"/>
    <col min="5634" max="5634" width="30.64453125" customWidth="1"/>
    <col min="5635" max="5635" width="10.41015625" customWidth="1"/>
    <col min="5636" max="5636" width="13.703125" customWidth="1"/>
    <col min="5637" max="5637" width="8.29296875" customWidth="1"/>
    <col min="5638" max="5638" width="9.8203125" customWidth="1"/>
    <col min="5639" max="5639" width="11.05859375" customWidth="1"/>
    <col min="5640" max="5640" width="12.1171875" customWidth="1"/>
    <col min="5641" max="5641" width="8.64453125" customWidth="1"/>
    <col min="5642" max="5642" width="3" customWidth="1"/>
    <col min="5643" max="5643" width="13.41015625" customWidth="1"/>
    <col min="5644" max="5644" width="16.41015625" customWidth="1"/>
    <col min="5645" max="5645" width="12.29296875" customWidth="1"/>
    <col min="5646" max="5646" width="13.41015625" customWidth="1"/>
    <col min="5647" max="5648" width="12.29296875" customWidth="1"/>
    <col min="5649" max="5649" width="12.703125" customWidth="1"/>
    <col min="5650" max="5650" width="11" customWidth="1"/>
    <col min="5651" max="5655" width="12.41015625" customWidth="1"/>
    <col min="5888" max="5888" width="3" customWidth="1"/>
    <col min="5889" max="5889" width="1.1171875" customWidth="1"/>
    <col min="5890" max="5890" width="30.64453125" customWidth="1"/>
    <col min="5891" max="5891" width="10.41015625" customWidth="1"/>
    <col min="5892" max="5892" width="13.703125" customWidth="1"/>
    <col min="5893" max="5893" width="8.29296875" customWidth="1"/>
    <col min="5894" max="5894" width="9.8203125" customWidth="1"/>
    <col min="5895" max="5895" width="11.05859375" customWidth="1"/>
    <col min="5896" max="5896" width="12.1171875" customWidth="1"/>
    <col min="5897" max="5897" width="8.64453125" customWidth="1"/>
    <col min="5898" max="5898" width="3" customWidth="1"/>
    <col min="5899" max="5899" width="13.41015625" customWidth="1"/>
    <col min="5900" max="5900" width="16.41015625" customWidth="1"/>
    <col min="5901" max="5901" width="12.29296875" customWidth="1"/>
    <col min="5902" max="5902" width="13.41015625" customWidth="1"/>
    <col min="5903" max="5904" width="12.29296875" customWidth="1"/>
    <col min="5905" max="5905" width="12.703125" customWidth="1"/>
    <col min="5906" max="5906" width="11" customWidth="1"/>
    <col min="5907" max="5911" width="12.41015625" customWidth="1"/>
    <col min="6144" max="6144" width="3" customWidth="1"/>
    <col min="6145" max="6145" width="1.1171875" customWidth="1"/>
    <col min="6146" max="6146" width="30.64453125" customWidth="1"/>
    <col min="6147" max="6147" width="10.41015625" customWidth="1"/>
    <col min="6148" max="6148" width="13.703125" customWidth="1"/>
    <col min="6149" max="6149" width="8.29296875" customWidth="1"/>
    <col min="6150" max="6150" width="9.8203125" customWidth="1"/>
    <col min="6151" max="6151" width="11.05859375" customWidth="1"/>
    <col min="6152" max="6152" width="12.1171875" customWidth="1"/>
    <col min="6153" max="6153" width="8.64453125" customWidth="1"/>
    <col min="6154" max="6154" width="3" customWidth="1"/>
    <col min="6155" max="6155" width="13.41015625" customWidth="1"/>
    <col min="6156" max="6156" width="16.41015625" customWidth="1"/>
    <col min="6157" max="6157" width="12.29296875" customWidth="1"/>
    <col min="6158" max="6158" width="13.41015625" customWidth="1"/>
    <col min="6159" max="6160" width="12.29296875" customWidth="1"/>
    <col min="6161" max="6161" width="12.703125" customWidth="1"/>
    <col min="6162" max="6162" width="11" customWidth="1"/>
    <col min="6163" max="6167" width="12.41015625" customWidth="1"/>
    <col min="6400" max="6400" width="3" customWidth="1"/>
    <col min="6401" max="6401" width="1.1171875" customWidth="1"/>
    <col min="6402" max="6402" width="30.64453125" customWidth="1"/>
    <col min="6403" max="6403" width="10.41015625" customWidth="1"/>
    <col min="6404" max="6404" width="13.703125" customWidth="1"/>
    <col min="6405" max="6405" width="8.29296875" customWidth="1"/>
    <col min="6406" max="6406" width="9.8203125" customWidth="1"/>
    <col min="6407" max="6407" width="11.05859375" customWidth="1"/>
    <col min="6408" max="6408" width="12.1171875" customWidth="1"/>
    <col min="6409" max="6409" width="8.64453125" customWidth="1"/>
    <col min="6410" max="6410" width="3" customWidth="1"/>
    <col min="6411" max="6411" width="13.41015625" customWidth="1"/>
    <col min="6412" max="6412" width="16.41015625" customWidth="1"/>
    <col min="6413" max="6413" width="12.29296875" customWidth="1"/>
    <col min="6414" max="6414" width="13.41015625" customWidth="1"/>
    <col min="6415" max="6416" width="12.29296875" customWidth="1"/>
    <col min="6417" max="6417" width="12.703125" customWidth="1"/>
    <col min="6418" max="6418" width="11" customWidth="1"/>
    <col min="6419" max="6423" width="12.41015625" customWidth="1"/>
    <col min="6656" max="6656" width="3" customWidth="1"/>
    <col min="6657" max="6657" width="1.1171875" customWidth="1"/>
    <col min="6658" max="6658" width="30.64453125" customWidth="1"/>
    <col min="6659" max="6659" width="10.41015625" customWidth="1"/>
    <col min="6660" max="6660" width="13.703125" customWidth="1"/>
    <col min="6661" max="6661" width="8.29296875" customWidth="1"/>
    <col min="6662" max="6662" width="9.8203125" customWidth="1"/>
    <col min="6663" max="6663" width="11.05859375" customWidth="1"/>
    <col min="6664" max="6664" width="12.1171875" customWidth="1"/>
    <col min="6665" max="6665" width="8.64453125" customWidth="1"/>
    <col min="6666" max="6666" width="3" customWidth="1"/>
    <col min="6667" max="6667" width="13.41015625" customWidth="1"/>
    <col min="6668" max="6668" width="16.41015625" customWidth="1"/>
    <col min="6669" max="6669" width="12.29296875" customWidth="1"/>
    <col min="6670" max="6670" width="13.41015625" customWidth="1"/>
    <col min="6671" max="6672" width="12.29296875" customWidth="1"/>
    <col min="6673" max="6673" width="12.703125" customWidth="1"/>
    <col min="6674" max="6674" width="11" customWidth="1"/>
    <col min="6675" max="6679" width="12.41015625" customWidth="1"/>
    <col min="6912" max="6912" width="3" customWidth="1"/>
    <col min="6913" max="6913" width="1.1171875" customWidth="1"/>
    <col min="6914" max="6914" width="30.64453125" customWidth="1"/>
    <col min="6915" max="6915" width="10.41015625" customWidth="1"/>
    <col min="6916" max="6916" width="13.703125" customWidth="1"/>
    <col min="6917" max="6917" width="8.29296875" customWidth="1"/>
    <col min="6918" max="6918" width="9.8203125" customWidth="1"/>
    <col min="6919" max="6919" width="11.05859375" customWidth="1"/>
    <col min="6920" max="6920" width="12.1171875" customWidth="1"/>
    <col min="6921" max="6921" width="8.64453125" customWidth="1"/>
    <col min="6922" max="6922" width="3" customWidth="1"/>
    <col min="6923" max="6923" width="13.41015625" customWidth="1"/>
    <col min="6924" max="6924" width="16.41015625" customWidth="1"/>
    <col min="6925" max="6925" width="12.29296875" customWidth="1"/>
    <col min="6926" max="6926" width="13.41015625" customWidth="1"/>
    <col min="6927" max="6928" width="12.29296875" customWidth="1"/>
    <col min="6929" max="6929" width="12.703125" customWidth="1"/>
    <col min="6930" max="6930" width="11" customWidth="1"/>
    <col min="6931" max="6935" width="12.41015625" customWidth="1"/>
    <col min="7168" max="7168" width="3" customWidth="1"/>
    <col min="7169" max="7169" width="1.1171875" customWidth="1"/>
    <col min="7170" max="7170" width="30.64453125" customWidth="1"/>
    <col min="7171" max="7171" width="10.41015625" customWidth="1"/>
    <col min="7172" max="7172" width="13.703125" customWidth="1"/>
    <col min="7173" max="7173" width="8.29296875" customWidth="1"/>
    <col min="7174" max="7174" width="9.8203125" customWidth="1"/>
    <col min="7175" max="7175" width="11.05859375" customWidth="1"/>
    <col min="7176" max="7176" width="12.1171875" customWidth="1"/>
    <col min="7177" max="7177" width="8.64453125" customWidth="1"/>
    <col min="7178" max="7178" width="3" customWidth="1"/>
    <col min="7179" max="7179" width="13.41015625" customWidth="1"/>
    <col min="7180" max="7180" width="16.41015625" customWidth="1"/>
    <col min="7181" max="7181" width="12.29296875" customWidth="1"/>
    <col min="7182" max="7182" width="13.41015625" customWidth="1"/>
    <col min="7183" max="7184" width="12.29296875" customWidth="1"/>
    <col min="7185" max="7185" width="12.703125" customWidth="1"/>
    <col min="7186" max="7186" width="11" customWidth="1"/>
    <col min="7187" max="7191" width="12.41015625" customWidth="1"/>
    <col min="7424" max="7424" width="3" customWidth="1"/>
    <col min="7425" max="7425" width="1.1171875" customWidth="1"/>
    <col min="7426" max="7426" width="30.64453125" customWidth="1"/>
    <col min="7427" max="7427" width="10.41015625" customWidth="1"/>
    <col min="7428" max="7428" width="13.703125" customWidth="1"/>
    <col min="7429" max="7429" width="8.29296875" customWidth="1"/>
    <col min="7430" max="7430" width="9.8203125" customWidth="1"/>
    <col min="7431" max="7431" width="11.05859375" customWidth="1"/>
    <col min="7432" max="7432" width="12.1171875" customWidth="1"/>
    <col min="7433" max="7433" width="8.64453125" customWidth="1"/>
    <col min="7434" max="7434" width="3" customWidth="1"/>
    <col min="7435" max="7435" width="13.41015625" customWidth="1"/>
    <col min="7436" max="7436" width="16.41015625" customWidth="1"/>
    <col min="7437" max="7437" width="12.29296875" customWidth="1"/>
    <col min="7438" max="7438" width="13.41015625" customWidth="1"/>
    <col min="7439" max="7440" width="12.29296875" customWidth="1"/>
    <col min="7441" max="7441" width="12.703125" customWidth="1"/>
    <col min="7442" max="7442" width="11" customWidth="1"/>
    <col min="7443" max="7447" width="12.41015625" customWidth="1"/>
    <col min="7680" max="7680" width="3" customWidth="1"/>
    <col min="7681" max="7681" width="1.1171875" customWidth="1"/>
    <col min="7682" max="7682" width="30.64453125" customWidth="1"/>
    <col min="7683" max="7683" width="10.41015625" customWidth="1"/>
    <col min="7684" max="7684" width="13.703125" customWidth="1"/>
    <col min="7685" max="7685" width="8.29296875" customWidth="1"/>
    <col min="7686" max="7686" width="9.8203125" customWidth="1"/>
    <col min="7687" max="7687" width="11.05859375" customWidth="1"/>
    <col min="7688" max="7688" width="12.1171875" customWidth="1"/>
    <col min="7689" max="7689" width="8.64453125" customWidth="1"/>
    <col min="7690" max="7690" width="3" customWidth="1"/>
    <col min="7691" max="7691" width="13.41015625" customWidth="1"/>
    <col min="7692" max="7692" width="16.41015625" customWidth="1"/>
    <col min="7693" max="7693" width="12.29296875" customWidth="1"/>
    <col min="7694" max="7694" width="13.41015625" customWidth="1"/>
    <col min="7695" max="7696" width="12.29296875" customWidth="1"/>
    <col min="7697" max="7697" width="12.703125" customWidth="1"/>
    <col min="7698" max="7698" width="11" customWidth="1"/>
    <col min="7699" max="7703" width="12.41015625" customWidth="1"/>
    <col min="7936" max="7936" width="3" customWidth="1"/>
    <col min="7937" max="7937" width="1.1171875" customWidth="1"/>
    <col min="7938" max="7938" width="30.64453125" customWidth="1"/>
    <col min="7939" max="7939" width="10.41015625" customWidth="1"/>
    <col min="7940" max="7940" width="13.703125" customWidth="1"/>
    <col min="7941" max="7941" width="8.29296875" customWidth="1"/>
    <col min="7942" max="7942" width="9.8203125" customWidth="1"/>
    <col min="7943" max="7943" width="11.05859375" customWidth="1"/>
    <col min="7944" max="7944" width="12.1171875" customWidth="1"/>
    <col min="7945" max="7945" width="8.64453125" customWidth="1"/>
    <col min="7946" max="7946" width="3" customWidth="1"/>
    <col min="7947" max="7947" width="13.41015625" customWidth="1"/>
    <col min="7948" max="7948" width="16.41015625" customWidth="1"/>
    <col min="7949" max="7949" width="12.29296875" customWidth="1"/>
    <col min="7950" max="7950" width="13.41015625" customWidth="1"/>
    <col min="7951" max="7952" width="12.29296875" customWidth="1"/>
    <col min="7953" max="7953" width="12.703125" customWidth="1"/>
    <col min="7954" max="7954" width="11" customWidth="1"/>
    <col min="7955" max="7959" width="12.41015625" customWidth="1"/>
    <col min="8192" max="8192" width="3" customWidth="1"/>
    <col min="8193" max="8193" width="1.1171875" customWidth="1"/>
    <col min="8194" max="8194" width="30.64453125" customWidth="1"/>
    <col min="8195" max="8195" width="10.41015625" customWidth="1"/>
    <col min="8196" max="8196" width="13.703125" customWidth="1"/>
    <col min="8197" max="8197" width="8.29296875" customWidth="1"/>
    <col min="8198" max="8198" width="9.8203125" customWidth="1"/>
    <col min="8199" max="8199" width="11.05859375" customWidth="1"/>
    <col min="8200" max="8200" width="12.1171875" customWidth="1"/>
    <col min="8201" max="8201" width="8.64453125" customWidth="1"/>
    <col min="8202" max="8202" width="3" customWidth="1"/>
    <col min="8203" max="8203" width="13.41015625" customWidth="1"/>
    <col min="8204" max="8204" width="16.41015625" customWidth="1"/>
    <col min="8205" max="8205" width="12.29296875" customWidth="1"/>
    <col min="8206" max="8206" width="13.41015625" customWidth="1"/>
    <col min="8207" max="8208" width="12.29296875" customWidth="1"/>
    <col min="8209" max="8209" width="12.703125" customWidth="1"/>
    <col min="8210" max="8210" width="11" customWidth="1"/>
    <col min="8211" max="8215" width="12.41015625" customWidth="1"/>
    <col min="8448" max="8448" width="3" customWidth="1"/>
    <col min="8449" max="8449" width="1.1171875" customWidth="1"/>
    <col min="8450" max="8450" width="30.64453125" customWidth="1"/>
    <col min="8451" max="8451" width="10.41015625" customWidth="1"/>
    <col min="8452" max="8452" width="13.703125" customWidth="1"/>
    <col min="8453" max="8453" width="8.29296875" customWidth="1"/>
    <col min="8454" max="8454" width="9.8203125" customWidth="1"/>
    <col min="8455" max="8455" width="11.05859375" customWidth="1"/>
    <col min="8456" max="8456" width="12.1171875" customWidth="1"/>
    <col min="8457" max="8457" width="8.64453125" customWidth="1"/>
    <col min="8458" max="8458" width="3" customWidth="1"/>
    <col min="8459" max="8459" width="13.41015625" customWidth="1"/>
    <col min="8460" max="8460" width="16.41015625" customWidth="1"/>
    <col min="8461" max="8461" width="12.29296875" customWidth="1"/>
    <col min="8462" max="8462" width="13.41015625" customWidth="1"/>
    <col min="8463" max="8464" width="12.29296875" customWidth="1"/>
    <col min="8465" max="8465" width="12.703125" customWidth="1"/>
    <col min="8466" max="8466" width="11" customWidth="1"/>
    <col min="8467" max="8471" width="12.41015625" customWidth="1"/>
    <col min="8704" max="8704" width="3" customWidth="1"/>
    <col min="8705" max="8705" width="1.1171875" customWidth="1"/>
    <col min="8706" max="8706" width="30.64453125" customWidth="1"/>
    <col min="8707" max="8707" width="10.41015625" customWidth="1"/>
    <col min="8708" max="8708" width="13.703125" customWidth="1"/>
    <col min="8709" max="8709" width="8.29296875" customWidth="1"/>
    <col min="8710" max="8710" width="9.8203125" customWidth="1"/>
    <col min="8711" max="8711" width="11.05859375" customWidth="1"/>
    <col min="8712" max="8712" width="12.1171875" customWidth="1"/>
    <col min="8713" max="8713" width="8.64453125" customWidth="1"/>
    <col min="8714" max="8714" width="3" customWidth="1"/>
    <col min="8715" max="8715" width="13.41015625" customWidth="1"/>
    <col min="8716" max="8716" width="16.41015625" customWidth="1"/>
    <col min="8717" max="8717" width="12.29296875" customWidth="1"/>
    <col min="8718" max="8718" width="13.41015625" customWidth="1"/>
    <col min="8719" max="8720" width="12.29296875" customWidth="1"/>
    <col min="8721" max="8721" width="12.703125" customWidth="1"/>
    <col min="8722" max="8722" width="11" customWidth="1"/>
    <col min="8723" max="8727" width="12.41015625" customWidth="1"/>
    <col min="8960" max="8960" width="3" customWidth="1"/>
    <col min="8961" max="8961" width="1.1171875" customWidth="1"/>
    <col min="8962" max="8962" width="30.64453125" customWidth="1"/>
    <col min="8963" max="8963" width="10.41015625" customWidth="1"/>
    <col min="8964" max="8964" width="13.703125" customWidth="1"/>
    <col min="8965" max="8965" width="8.29296875" customWidth="1"/>
    <col min="8966" max="8966" width="9.8203125" customWidth="1"/>
    <col min="8967" max="8967" width="11.05859375" customWidth="1"/>
    <col min="8968" max="8968" width="12.1171875" customWidth="1"/>
    <col min="8969" max="8969" width="8.64453125" customWidth="1"/>
    <col min="8970" max="8970" width="3" customWidth="1"/>
    <col min="8971" max="8971" width="13.41015625" customWidth="1"/>
    <col min="8972" max="8972" width="16.41015625" customWidth="1"/>
    <col min="8973" max="8973" width="12.29296875" customWidth="1"/>
    <col min="8974" max="8974" width="13.41015625" customWidth="1"/>
    <col min="8975" max="8976" width="12.29296875" customWidth="1"/>
    <col min="8977" max="8977" width="12.703125" customWidth="1"/>
    <col min="8978" max="8978" width="11" customWidth="1"/>
    <col min="8979" max="8983" width="12.41015625" customWidth="1"/>
    <col min="9216" max="9216" width="3" customWidth="1"/>
    <col min="9217" max="9217" width="1.1171875" customWidth="1"/>
    <col min="9218" max="9218" width="30.64453125" customWidth="1"/>
    <col min="9219" max="9219" width="10.41015625" customWidth="1"/>
    <col min="9220" max="9220" width="13.703125" customWidth="1"/>
    <col min="9221" max="9221" width="8.29296875" customWidth="1"/>
    <col min="9222" max="9222" width="9.8203125" customWidth="1"/>
    <col min="9223" max="9223" width="11.05859375" customWidth="1"/>
    <col min="9224" max="9224" width="12.1171875" customWidth="1"/>
    <col min="9225" max="9225" width="8.64453125" customWidth="1"/>
    <col min="9226" max="9226" width="3" customWidth="1"/>
    <col min="9227" max="9227" width="13.41015625" customWidth="1"/>
    <col min="9228" max="9228" width="16.41015625" customWidth="1"/>
    <col min="9229" max="9229" width="12.29296875" customWidth="1"/>
    <col min="9230" max="9230" width="13.41015625" customWidth="1"/>
    <col min="9231" max="9232" width="12.29296875" customWidth="1"/>
    <col min="9233" max="9233" width="12.703125" customWidth="1"/>
    <col min="9234" max="9234" width="11" customWidth="1"/>
    <col min="9235" max="9239" width="12.41015625" customWidth="1"/>
    <col min="9472" max="9472" width="3" customWidth="1"/>
    <col min="9473" max="9473" width="1.1171875" customWidth="1"/>
    <col min="9474" max="9474" width="30.64453125" customWidth="1"/>
    <col min="9475" max="9475" width="10.41015625" customWidth="1"/>
    <col min="9476" max="9476" width="13.703125" customWidth="1"/>
    <col min="9477" max="9477" width="8.29296875" customWidth="1"/>
    <col min="9478" max="9478" width="9.8203125" customWidth="1"/>
    <col min="9479" max="9479" width="11.05859375" customWidth="1"/>
    <col min="9480" max="9480" width="12.1171875" customWidth="1"/>
    <col min="9481" max="9481" width="8.64453125" customWidth="1"/>
    <col min="9482" max="9482" width="3" customWidth="1"/>
    <col min="9483" max="9483" width="13.41015625" customWidth="1"/>
    <col min="9484" max="9484" width="16.41015625" customWidth="1"/>
    <col min="9485" max="9485" width="12.29296875" customWidth="1"/>
    <col min="9486" max="9486" width="13.41015625" customWidth="1"/>
    <col min="9487" max="9488" width="12.29296875" customWidth="1"/>
    <col min="9489" max="9489" width="12.703125" customWidth="1"/>
    <col min="9490" max="9490" width="11" customWidth="1"/>
    <col min="9491" max="9495" width="12.41015625" customWidth="1"/>
    <col min="9728" max="9728" width="3" customWidth="1"/>
    <col min="9729" max="9729" width="1.1171875" customWidth="1"/>
    <col min="9730" max="9730" width="30.64453125" customWidth="1"/>
    <col min="9731" max="9731" width="10.41015625" customWidth="1"/>
    <col min="9732" max="9732" width="13.703125" customWidth="1"/>
    <col min="9733" max="9733" width="8.29296875" customWidth="1"/>
    <col min="9734" max="9734" width="9.8203125" customWidth="1"/>
    <col min="9735" max="9735" width="11.05859375" customWidth="1"/>
    <col min="9736" max="9736" width="12.1171875" customWidth="1"/>
    <col min="9737" max="9737" width="8.64453125" customWidth="1"/>
    <col min="9738" max="9738" width="3" customWidth="1"/>
    <col min="9739" max="9739" width="13.41015625" customWidth="1"/>
    <col min="9740" max="9740" width="16.41015625" customWidth="1"/>
    <col min="9741" max="9741" width="12.29296875" customWidth="1"/>
    <col min="9742" max="9742" width="13.41015625" customWidth="1"/>
    <col min="9743" max="9744" width="12.29296875" customWidth="1"/>
    <col min="9745" max="9745" width="12.703125" customWidth="1"/>
    <col min="9746" max="9746" width="11" customWidth="1"/>
    <col min="9747" max="9751" width="12.41015625" customWidth="1"/>
    <col min="9984" max="9984" width="3" customWidth="1"/>
    <col min="9985" max="9985" width="1.1171875" customWidth="1"/>
    <col min="9986" max="9986" width="30.64453125" customWidth="1"/>
    <col min="9987" max="9987" width="10.41015625" customWidth="1"/>
    <col min="9988" max="9988" width="13.703125" customWidth="1"/>
    <col min="9989" max="9989" width="8.29296875" customWidth="1"/>
    <col min="9990" max="9990" width="9.8203125" customWidth="1"/>
    <col min="9991" max="9991" width="11.05859375" customWidth="1"/>
    <col min="9992" max="9992" width="12.1171875" customWidth="1"/>
    <col min="9993" max="9993" width="8.64453125" customWidth="1"/>
    <col min="9994" max="9994" width="3" customWidth="1"/>
    <col min="9995" max="9995" width="13.41015625" customWidth="1"/>
    <col min="9996" max="9996" width="16.41015625" customWidth="1"/>
    <col min="9997" max="9997" width="12.29296875" customWidth="1"/>
    <col min="9998" max="9998" width="13.41015625" customWidth="1"/>
    <col min="9999" max="10000" width="12.29296875" customWidth="1"/>
    <col min="10001" max="10001" width="12.703125" customWidth="1"/>
    <col min="10002" max="10002" width="11" customWidth="1"/>
    <col min="10003" max="10007" width="12.41015625" customWidth="1"/>
    <col min="10240" max="10240" width="3" customWidth="1"/>
    <col min="10241" max="10241" width="1.1171875" customWidth="1"/>
    <col min="10242" max="10242" width="30.64453125" customWidth="1"/>
    <col min="10243" max="10243" width="10.41015625" customWidth="1"/>
    <col min="10244" max="10244" width="13.703125" customWidth="1"/>
    <col min="10245" max="10245" width="8.29296875" customWidth="1"/>
    <col min="10246" max="10246" width="9.8203125" customWidth="1"/>
    <col min="10247" max="10247" width="11.05859375" customWidth="1"/>
    <col min="10248" max="10248" width="12.1171875" customWidth="1"/>
    <col min="10249" max="10249" width="8.64453125" customWidth="1"/>
    <col min="10250" max="10250" width="3" customWidth="1"/>
    <col min="10251" max="10251" width="13.41015625" customWidth="1"/>
    <col min="10252" max="10252" width="16.41015625" customWidth="1"/>
    <col min="10253" max="10253" width="12.29296875" customWidth="1"/>
    <col min="10254" max="10254" width="13.41015625" customWidth="1"/>
    <col min="10255" max="10256" width="12.29296875" customWidth="1"/>
    <col min="10257" max="10257" width="12.703125" customWidth="1"/>
    <col min="10258" max="10258" width="11" customWidth="1"/>
    <col min="10259" max="10263" width="12.41015625" customWidth="1"/>
    <col min="10496" max="10496" width="3" customWidth="1"/>
    <col min="10497" max="10497" width="1.1171875" customWidth="1"/>
    <col min="10498" max="10498" width="30.64453125" customWidth="1"/>
    <col min="10499" max="10499" width="10.41015625" customWidth="1"/>
    <col min="10500" max="10500" width="13.703125" customWidth="1"/>
    <col min="10501" max="10501" width="8.29296875" customWidth="1"/>
    <col min="10502" max="10502" width="9.8203125" customWidth="1"/>
    <col min="10503" max="10503" width="11.05859375" customWidth="1"/>
    <col min="10504" max="10504" width="12.1171875" customWidth="1"/>
    <col min="10505" max="10505" width="8.64453125" customWidth="1"/>
    <col min="10506" max="10506" width="3" customWidth="1"/>
    <col min="10507" max="10507" width="13.41015625" customWidth="1"/>
    <col min="10508" max="10508" width="16.41015625" customWidth="1"/>
    <col min="10509" max="10509" width="12.29296875" customWidth="1"/>
    <col min="10510" max="10510" width="13.41015625" customWidth="1"/>
    <col min="10511" max="10512" width="12.29296875" customWidth="1"/>
    <col min="10513" max="10513" width="12.703125" customWidth="1"/>
    <col min="10514" max="10514" width="11" customWidth="1"/>
    <col min="10515" max="10519" width="12.41015625" customWidth="1"/>
    <col min="10752" max="10752" width="3" customWidth="1"/>
    <col min="10753" max="10753" width="1.1171875" customWidth="1"/>
    <col min="10754" max="10754" width="30.64453125" customWidth="1"/>
    <col min="10755" max="10755" width="10.41015625" customWidth="1"/>
    <col min="10756" max="10756" width="13.703125" customWidth="1"/>
    <col min="10757" max="10757" width="8.29296875" customWidth="1"/>
    <col min="10758" max="10758" width="9.8203125" customWidth="1"/>
    <col min="10759" max="10759" width="11.05859375" customWidth="1"/>
    <col min="10760" max="10760" width="12.1171875" customWidth="1"/>
    <col min="10761" max="10761" width="8.64453125" customWidth="1"/>
    <col min="10762" max="10762" width="3" customWidth="1"/>
    <col min="10763" max="10763" width="13.41015625" customWidth="1"/>
    <col min="10764" max="10764" width="16.41015625" customWidth="1"/>
    <col min="10765" max="10765" width="12.29296875" customWidth="1"/>
    <col min="10766" max="10766" width="13.41015625" customWidth="1"/>
    <col min="10767" max="10768" width="12.29296875" customWidth="1"/>
    <col min="10769" max="10769" width="12.703125" customWidth="1"/>
    <col min="10770" max="10770" width="11" customWidth="1"/>
    <col min="10771" max="10775" width="12.41015625" customWidth="1"/>
    <col min="11008" max="11008" width="3" customWidth="1"/>
    <col min="11009" max="11009" width="1.1171875" customWidth="1"/>
    <col min="11010" max="11010" width="30.64453125" customWidth="1"/>
    <col min="11011" max="11011" width="10.41015625" customWidth="1"/>
    <col min="11012" max="11012" width="13.703125" customWidth="1"/>
    <col min="11013" max="11013" width="8.29296875" customWidth="1"/>
    <col min="11014" max="11014" width="9.8203125" customWidth="1"/>
    <col min="11015" max="11015" width="11.05859375" customWidth="1"/>
    <col min="11016" max="11016" width="12.1171875" customWidth="1"/>
    <col min="11017" max="11017" width="8.64453125" customWidth="1"/>
    <col min="11018" max="11018" width="3" customWidth="1"/>
    <col min="11019" max="11019" width="13.41015625" customWidth="1"/>
    <col min="11020" max="11020" width="16.41015625" customWidth="1"/>
    <col min="11021" max="11021" width="12.29296875" customWidth="1"/>
    <col min="11022" max="11022" width="13.41015625" customWidth="1"/>
    <col min="11023" max="11024" width="12.29296875" customWidth="1"/>
    <col min="11025" max="11025" width="12.703125" customWidth="1"/>
    <col min="11026" max="11026" width="11" customWidth="1"/>
    <col min="11027" max="11031" width="12.41015625" customWidth="1"/>
    <col min="11264" max="11264" width="3" customWidth="1"/>
    <col min="11265" max="11265" width="1.1171875" customWidth="1"/>
    <col min="11266" max="11266" width="30.64453125" customWidth="1"/>
    <col min="11267" max="11267" width="10.41015625" customWidth="1"/>
    <col min="11268" max="11268" width="13.703125" customWidth="1"/>
    <col min="11269" max="11269" width="8.29296875" customWidth="1"/>
    <col min="11270" max="11270" width="9.8203125" customWidth="1"/>
    <col min="11271" max="11271" width="11.05859375" customWidth="1"/>
    <col min="11272" max="11272" width="12.1171875" customWidth="1"/>
    <col min="11273" max="11273" width="8.64453125" customWidth="1"/>
    <col min="11274" max="11274" width="3" customWidth="1"/>
    <col min="11275" max="11275" width="13.41015625" customWidth="1"/>
    <col min="11276" max="11276" width="16.41015625" customWidth="1"/>
    <col min="11277" max="11277" width="12.29296875" customWidth="1"/>
    <col min="11278" max="11278" width="13.41015625" customWidth="1"/>
    <col min="11279" max="11280" width="12.29296875" customWidth="1"/>
    <col min="11281" max="11281" width="12.703125" customWidth="1"/>
    <col min="11282" max="11282" width="11" customWidth="1"/>
    <col min="11283" max="11287" width="12.41015625" customWidth="1"/>
    <col min="11520" max="11520" width="3" customWidth="1"/>
    <col min="11521" max="11521" width="1.1171875" customWidth="1"/>
    <col min="11522" max="11522" width="30.64453125" customWidth="1"/>
    <col min="11523" max="11523" width="10.41015625" customWidth="1"/>
    <col min="11524" max="11524" width="13.703125" customWidth="1"/>
    <col min="11525" max="11525" width="8.29296875" customWidth="1"/>
    <col min="11526" max="11526" width="9.8203125" customWidth="1"/>
    <col min="11527" max="11527" width="11.05859375" customWidth="1"/>
    <col min="11528" max="11528" width="12.1171875" customWidth="1"/>
    <col min="11529" max="11529" width="8.64453125" customWidth="1"/>
    <col min="11530" max="11530" width="3" customWidth="1"/>
    <col min="11531" max="11531" width="13.41015625" customWidth="1"/>
    <col min="11532" max="11532" width="16.41015625" customWidth="1"/>
    <col min="11533" max="11533" width="12.29296875" customWidth="1"/>
    <col min="11534" max="11534" width="13.41015625" customWidth="1"/>
    <col min="11535" max="11536" width="12.29296875" customWidth="1"/>
    <col min="11537" max="11537" width="12.703125" customWidth="1"/>
    <col min="11538" max="11538" width="11" customWidth="1"/>
    <col min="11539" max="11543" width="12.41015625" customWidth="1"/>
    <col min="11776" max="11776" width="3" customWidth="1"/>
    <col min="11777" max="11777" width="1.1171875" customWidth="1"/>
    <col min="11778" max="11778" width="30.64453125" customWidth="1"/>
    <col min="11779" max="11779" width="10.41015625" customWidth="1"/>
    <col min="11780" max="11780" width="13.703125" customWidth="1"/>
    <col min="11781" max="11781" width="8.29296875" customWidth="1"/>
    <col min="11782" max="11782" width="9.8203125" customWidth="1"/>
    <col min="11783" max="11783" width="11.05859375" customWidth="1"/>
    <col min="11784" max="11784" width="12.1171875" customWidth="1"/>
    <col min="11785" max="11785" width="8.64453125" customWidth="1"/>
    <col min="11786" max="11786" width="3" customWidth="1"/>
    <col min="11787" max="11787" width="13.41015625" customWidth="1"/>
    <col min="11788" max="11788" width="16.41015625" customWidth="1"/>
    <col min="11789" max="11789" width="12.29296875" customWidth="1"/>
    <col min="11790" max="11790" width="13.41015625" customWidth="1"/>
    <col min="11791" max="11792" width="12.29296875" customWidth="1"/>
    <col min="11793" max="11793" width="12.703125" customWidth="1"/>
    <col min="11794" max="11794" width="11" customWidth="1"/>
    <col min="11795" max="11799" width="12.41015625" customWidth="1"/>
    <col min="12032" max="12032" width="3" customWidth="1"/>
    <col min="12033" max="12033" width="1.1171875" customWidth="1"/>
    <col min="12034" max="12034" width="30.64453125" customWidth="1"/>
    <col min="12035" max="12035" width="10.41015625" customWidth="1"/>
    <col min="12036" max="12036" width="13.703125" customWidth="1"/>
    <col min="12037" max="12037" width="8.29296875" customWidth="1"/>
    <col min="12038" max="12038" width="9.8203125" customWidth="1"/>
    <col min="12039" max="12039" width="11.05859375" customWidth="1"/>
    <col min="12040" max="12040" width="12.1171875" customWidth="1"/>
    <col min="12041" max="12041" width="8.64453125" customWidth="1"/>
    <col min="12042" max="12042" width="3" customWidth="1"/>
    <col min="12043" max="12043" width="13.41015625" customWidth="1"/>
    <col min="12044" max="12044" width="16.41015625" customWidth="1"/>
    <col min="12045" max="12045" width="12.29296875" customWidth="1"/>
    <col min="12046" max="12046" width="13.41015625" customWidth="1"/>
    <col min="12047" max="12048" width="12.29296875" customWidth="1"/>
    <col min="12049" max="12049" width="12.703125" customWidth="1"/>
    <col min="12050" max="12050" width="11" customWidth="1"/>
    <col min="12051" max="12055" width="12.41015625" customWidth="1"/>
    <col min="12288" max="12288" width="3" customWidth="1"/>
    <col min="12289" max="12289" width="1.1171875" customWidth="1"/>
    <col min="12290" max="12290" width="30.64453125" customWidth="1"/>
    <col min="12291" max="12291" width="10.41015625" customWidth="1"/>
    <col min="12292" max="12292" width="13.703125" customWidth="1"/>
    <col min="12293" max="12293" width="8.29296875" customWidth="1"/>
    <col min="12294" max="12294" width="9.8203125" customWidth="1"/>
    <col min="12295" max="12295" width="11.05859375" customWidth="1"/>
    <col min="12296" max="12296" width="12.1171875" customWidth="1"/>
    <col min="12297" max="12297" width="8.64453125" customWidth="1"/>
    <col min="12298" max="12298" width="3" customWidth="1"/>
    <col min="12299" max="12299" width="13.41015625" customWidth="1"/>
    <col min="12300" max="12300" width="16.41015625" customWidth="1"/>
    <col min="12301" max="12301" width="12.29296875" customWidth="1"/>
    <col min="12302" max="12302" width="13.41015625" customWidth="1"/>
    <col min="12303" max="12304" width="12.29296875" customWidth="1"/>
    <col min="12305" max="12305" width="12.703125" customWidth="1"/>
    <col min="12306" max="12306" width="11" customWidth="1"/>
    <col min="12307" max="12311" width="12.41015625" customWidth="1"/>
    <col min="12544" max="12544" width="3" customWidth="1"/>
    <col min="12545" max="12545" width="1.1171875" customWidth="1"/>
    <col min="12546" max="12546" width="30.64453125" customWidth="1"/>
    <col min="12547" max="12547" width="10.41015625" customWidth="1"/>
    <col min="12548" max="12548" width="13.703125" customWidth="1"/>
    <col min="12549" max="12549" width="8.29296875" customWidth="1"/>
    <col min="12550" max="12550" width="9.8203125" customWidth="1"/>
    <col min="12551" max="12551" width="11.05859375" customWidth="1"/>
    <col min="12552" max="12552" width="12.1171875" customWidth="1"/>
    <col min="12553" max="12553" width="8.64453125" customWidth="1"/>
    <col min="12554" max="12554" width="3" customWidth="1"/>
    <col min="12555" max="12555" width="13.41015625" customWidth="1"/>
    <col min="12556" max="12556" width="16.41015625" customWidth="1"/>
    <col min="12557" max="12557" width="12.29296875" customWidth="1"/>
    <col min="12558" max="12558" width="13.41015625" customWidth="1"/>
    <col min="12559" max="12560" width="12.29296875" customWidth="1"/>
    <col min="12561" max="12561" width="12.703125" customWidth="1"/>
    <col min="12562" max="12562" width="11" customWidth="1"/>
    <col min="12563" max="12567" width="12.41015625" customWidth="1"/>
    <col min="12800" max="12800" width="3" customWidth="1"/>
    <col min="12801" max="12801" width="1.1171875" customWidth="1"/>
    <col min="12802" max="12802" width="30.64453125" customWidth="1"/>
    <col min="12803" max="12803" width="10.41015625" customWidth="1"/>
    <col min="12804" max="12804" width="13.703125" customWidth="1"/>
    <col min="12805" max="12805" width="8.29296875" customWidth="1"/>
    <col min="12806" max="12806" width="9.8203125" customWidth="1"/>
    <col min="12807" max="12807" width="11.05859375" customWidth="1"/>
    <col min="12808" max="12808" width="12.1171875" customWidth="1"/>
    <col min="12809" max="12809" width="8.64453125" customWidth="1"/>
    <col min="12810" max="12810" width="3" customWidth="1"/>
    <col min="12811" max="12811" width="13.41015625" customWidth="1"/>
    <col min="12812" max="12812" width="16.41015625" customWidth="1"/>
    <col min="12813" max="12813" width="12.29296875" customWidth="1"/>
    <col min="12814" max="12814" width="13.41015625" customWidth="1"/>
    <col min="12815" max="12816" width="12.29296875" customWidth="1"/>
    <col min="12817" max="12817" width="12.703125" customWidth="1"/>
    <col min="12818" max="12818" width="11" customWidth="1"/>
    <col min="12819" max="12823" width="12.41015625" customWidth="1"/>
    <col min="13056" max="13056" width="3" customWidth="1"/>
    <col min="13057" max="13057" width="1.1171875" customWidth="1"/>
    <col min="13058" max="13058" width="30.64453125" customWidth="1"/>
    <col min="13059" max="13059" width="10.41015625" customWidth="1"/>
    <col min="13060" max="13060" width="13.703125" customWidth="1"/>
    <col min="13061" max="13061" width="8.29296875" customWidth="1"/>
    <col min="13062" max="13062" width="9.8203125" customWidth="1"/>
    <col min="13063" max="13063" width="11.05859375" customWidth="1"/>
    <col min="13064" max="13064" width="12.1171875" customWidth="1"/>
    <col min="13065" max="13065" width="8.64453125" customWidth="1"/>
    <col min="13066" max="13066" width="3" customWidth="1"/>
    <col min="13067" max="13067" width="13.41015625" customWidth="1"/>
    <col min="13068" max="13068" width="16.41015625" customWidth="1"/>
    <col min="13069" max="13069" width="12.29296875" customWidth="1"/>
    <col min="13070" max="13070" width="13.41015625" customWidth="1"/>
    <col min="13071" max="13072" width="12.29296875" customWidth="1"/>
    <col min="13073" max="13073" width="12.703125" customWidth="1"/>
    <col min="13074" max="13074" width="11" customWidth="1"/>
    <col min="13075" max="13079" width="12.41015625" customWidth="1"/>
    <col min="13312" max="13312" width="3" customWidth="1"/>
    <col min="13313" max="13313" width="1.1171875" customWidth="1"/>
    <col min="13314" max="13314" width="30.64453125" customWidth="1"/>
    <col min="13315" max="13315" width="10.41015625" customWidth="1"/>
    <col min="13316" max="13316" width="13.703125" customWidth="1"/>
    <col min="13317" max="13317" width="8.29296875" customWidth="1"/>
    <col min="13318" max="13318" width="9.8203125" customWidth="1"/>
    <col min="13319" max="13319" width="11.05859375" customWidth="1"/>
    <col min="13320" max="13320" width="12.1171875" customWidth="1"/>
    <col min="13321" max="13321" width="8.64453125" customWidth="1"/>
    <col min="13322" max="13322" width="3" customWidth="1"/>
    <col min="13323" max="13323" width="13.41015625" customWidth="1"/>
    <col min="13324" max="13324" width="16.41015625" customWidth="1"/>
    <col min="13325" max="13325" width="12.29296875" customWidth="1"/>
    <col min="13326" max="13326" width="13.41015625" customWidth="1"/>
    <col min="13327" max="13328" width="12.29296875" customWidth="1"/>
    <col min="13329" max="13329" width="12.703125" customWidth="1"/>
    <col min="13330" max="13330" width="11" customWidth="1"/>
    <col min="13331" max="13335" width="12.41015625" customWidth="1"/>
    <col min="13568" max="13568" width="3" customWidth="1"/>
    <col min="13569" max="13569" width="1.1171875" customWidth="1"/>
    <col min="13570" max="13570" width="30.64453125" customWidth="1"/>
    <col min="13571" max="13571" width="10.41015625" customWidth="1"/>
    <col min="13572" max="13572" width="13.703125" customWidth="1"/>
    <col min="13573" max="13573" width="8.29296875" customWidth="1"/>
    <col min="13574" max="13574" width="9.8203125" customWidth="1"/>
    <col min="13575" max="13575" width="11.05859375" customWidth="1"/>
    <col min="13576" max="13576" width="12.1171875" customWidth="1"/>
    <col min="13577" max="13577" width="8.64453125" customWidth="1"/>
    <col min="13578" max="13578" width="3" customWidth="1"/>
    <col min="13579" max="13579" width="13.41015625" customWidth="1"/>
    <col min="13580" max="13580" width="16.41015625" customWidth="1"/>
    <col min="13581" max="13581" width="12.29296875" customWidth="1"/>
    <col min="13582" max="13582" width="13.41015625" customWidth="1"/>
    <col min="13583" max="13584" width="12.29296875" customWidth="1"/>
    <col min="13585" max="13585" width="12.703125" customWidth="1"/>
    <col min="13586" max="13586" width="11" customWidth="1"/>
    <col min="13587" max="13591" width="12.41015625" customWidth="1"/>
    <col min="13824" max="13824" width="3" customWidth="1"/>
    <col min="13825" max="13825" width="1.1171875" customWidth="1"/>
    <col min="13826" max="13826" width="30.64453125" customWidth="1"/>
    <col min="13827" max="13827" width="10.41015625" customWidth="1"/>
    <col min="13828" max="13828" width="13.703125" customWidth="1"/>
    <col min="13829" max="13829" width="8.29296875" customWidth="1"/>
    <col min="13830" max="13830" width="9.8203125" customWidth="1"/>
    <col min="13831" max="13831" width="11.05859375" customWidth="1"/>
    <col min="13832" max="13832" width="12.1171875" customWidth="1"/>
    <col min="13833" max="13833" width="8.64453125" customWidth="1"/>
    <col min="13834" max="13834" width="3" customWidth="1"/>
    <col min="13835" max="13835" width="13.41015625" customWidth="1"/>
    <col min="13836" max="13836" width="16.41015625" customWidth="1"/>
    <col min="13837" max="13837" width="12.29296875" customWidth="1"/>
    <col min="13838" max="13838" width="13.41015625" customWidth="1"/>
    <col min="13839" max="13840" width="12.29296875" customWidth="1"/>
    <col min="13841" max="13841" width="12.703125" customWidth="1"/>
    <col min="13842" max="13842" width="11" customWidth="1"/>
    <col min="13843" max="13847" width="12.41015625" customWidth="1"/>
    <col min="14080" max="14080" width="3" customWidth="1"/>
    <col min="14081" max="14081" width="1.1171875" customWidth="1"/>
    <col min="14082" max="14082" width="30.64453125" customWidth="1"/>
    <col min="14083" max="14083" width="10.41015625" customWidth="1"/>
    <col min="14084" max="14084" width="13.703125" customWidth="1"/>
    <col min="14085" max="14085" width="8.29296875" customWidth="1"/>
    <col min="14086" max="14086" width="9.8203125" customWidth="1"/>
    <col min="14087" max="14087" width="11.05859375" customWidth="1"/>
    <col min="14088" max="14088" width="12.1171875" customWidth="1"/>
    <col min="14089" max="14089" width="8.64453125" customWidth="1"/>
    <col min="14090" max="14090" width="3" customWidth="1"/>
    <col min="14091" max="14091" width="13.41015625" customWidth="1"/>
    <col min="14092" max="14092" width="16.41015625" customWidth="1"/>
    <col min="14093" max="14093" width="12.29296875" customWidth="1"/>
    <col min="14094" max="14094" width="13.41015625" customWidth="1"/>
    <col min="14095" max="14096" width="12.29296875" customWidth="1"/>
    <col min="14097" max="14097" width="12.703125" customWidth="1"/>
    <col min="14098" max="14098" width="11" customWidth="1"/>
    <col min="14099" max="14103" width="12.41015625" customWidth="1"/>
    <col min="14336" max="14336" width="3" customWidth="1"/>
    <col min="14337" max="14337" width="1.1171875" customWidth="1"/>
    <col min="14338" max="14338" width="30.64453125" customWidth="1"/>
    <col min="14339" max="14339" width="10.41015625" customWidth="1"/>
    <col min="14340" max="14340" width="13.703125" customWidth="1"/>
    <col min="14341" max="14341" width="8.29296875" customWidth="1"/>
    <col min="14342" max="14342" width="9.8203125" customWidth="1"/>
    <col min="14343" max="14343" width="11.05859375" customWidth="1"/>
    <col min="14344" max="14344" width="12.1171875" customWidth="1"/>
    <col min="14345" max="14345" width="8.64453125" customWidth="1"/>
    <col min="14346" max="14346" width="3" customWidth="1"/>
    <col min="14347" max="14347" width="13.41015625" customWidth="1"/>
    <col min="14348" max="14348" width="16.41015625" customWidth="1"/>
    <col min="14349" max="14349" width="12.29296875" customWidth="1"/>
    <col min="14350" max="14350" width="13.41015625" customWidth="1"/>
    <col min="14351" max="14352" width="12.29296875" customWidth="1"/>
    <col min="14353" max="14353" width="12.703125" customWidth="1"/>
    <col min="14354" max="14354" width="11" customWidth="1"/>
    <col min="14355" max="14359" width="12.41015625" customWidth="1"/>
    <col min="14592" max="14592" width="3" customWidth="1"/>
    <col min="14593" max="14593" width="1.1171875" customWidth="1"/>
    <col min="14594" max="14594" width="30.64453125" customWidth="1"/>
    <col min="14595" max="14595" width="10.41015625" customWidth="1"/>
    <col min="14596" max="14596" width="13.703125" customWidth="1"/>
    <col min="14597" max="14597" width="8.29296875" customWidth="1"/>
    <col min="14598" max="14598" width="9.8203125" customWidth="1"/>
    <col min="14599" max="14599" width="11.05859375" customWidth="1"/>
    <col min="14600" max="14600" width="12.1171875" customWidth="1"/>
    <col min="14601" max="14601" width="8.64453125" customWidth="1"/>
    <col min="14602" max="14602" width="3" customWidth="1"/>
    <col min="14603" max="14603" width="13.41015625" customWidth="1"/>
    <col min="14604" max="14604" width="16.41015625" customWidth="1"/>
    <col min="14605" max="14605" width="12.29296875" customWidth="1"/>
    <col min="14606" max="14606" width="13.41015625" customWidth="1"/>
    <col min="14607" max="14608" width="12.29296875" customWidth="1"/>
    <col min="14609" max="14609" width="12.703125" customWidth="1"/>
    <col min="14610" max="14610" width="11" customWidth="1"/>
    <col min="14611" max="14615" width="12.41015625" customWidth="1"/>
    <col min="14848" max="14848" width="3" customWidth="1"/>
    <col min="14849" max="14849" width="1.1171875" customWidth="1"/>
    <col min="14850" max="14850" width="30.64453125" customWidth="1"/>
    <col min="14851" max="14851" width="10.41015625" customWidth="1"/>
    <col min="14852" max="14852" width="13.703125" customWidth="1"/>
    <col min="14853" max="14853" width="8.29296875" customWidth="1"/>
    <col min="14854" max="14854" width="9.8203125" customWidth="1"/>
    <col min="14855" max="14855" width="11.05859375" customWidth="1"/>
    <col min="14856" max="14856" width="12.1171875" customWidth="1"/>
    <col min="14857" max="14857" width="8.64453125" customWidth="1"/>
    <col min="14858" max="14858" width="3" customWidth="1"/>
    <col min="14859" max="14859" width="13.41015625" customWidth="1"/>
    <col min="14860" max="14860" width="16.41015625" customWidth="1"/>
    <col min="14861" max="14861" width="12.29296875" customWidth="1"/>
    <col min="14862" max="14862" width="13.41015625" customWidth="1"/>
    <col min="14863" max="14864" width="12.29296875" customWidth="1"/>
    <col min="14865" max="14865" width="12.703125" customWidth="1"/>
    <col min="14866" max="14866" width="11" customWidth="1"/>
    <col min="14867" max="14871" width="12.41015625" customWidth="1"/>
    <col min="15104" max="15104" width="3" customWidth="1"/>
    <col min="15105" max="15105" width="1.1171875" customWidth="1"/>
    <col min="15106" max="15106" width="30.64453125" customWidth="1"/>
    <col min="15107" max="15107" width="10.41015625" customWidth="1"/>
    <col min="15108" max="15108" width="13.703125" customWidth="1"/>
    <col min="15109" max="15109" width="8.29296875" customWidth="1"/>
    <col min="15110" max="15110" width="9.8203125" customWidth="1"/>
    <col min="15111" max="15111" width="11.05859375" customWidth="1"/>
    <col min="15112" max="15112" width="12.1171875" customWidth="1"/>
    <col min="15113" max="15113" width="8.64453125" customWidth="1"/>
    <col min="15114" max="15114" width="3" customWidth="1"/>
    <col min="15115" max="15115" width="13.41015625" customWidth="1"/>
    <col min="15116" max="15116" width="16.41015625" customWidth="1"/>
    <col min="15117" max="15117" width="12.29296875" customWidth="1"/>
    <col min="15118" max="15118" width="13.41015625" customWidth="1"/>
    <col min="15119" max="15120" width="12.29296875" customWidth="1"/>
    <col min="15121" max="15121" width="12.703125" customWidth="1"/>
    <col min="15122" max="15122" width="11" customWidth="1"/>
    <col min="15123" max="15127" width="12.41015625" customWidth="1"/>
    <col min="15360" max="15360" width="3" customWidth="1"/>
    <col min="15361" max="15361" width="1.1171875" customWidth="1"/>
    <col min="15362" max="15362" width="30.64453125" customWidth="1"/>
    <col min="15363" max="15363" width="10.41015625" customWidth="1"/>
    <col min="15364" max="15364" width="13.703125" customWidth="1"/>
    <col min="15365" max="15365" width="8.29296875" customWidth="1"/>
    <col min="15366" max="15366" width="9.8203125" customWidth="1"/>
    <col min="15367" max="15367" width="11.05859375" customWidth="1"/>
    <col min="15368" max="15368" width="12.1171875" customWidth="1"/>
    <col min="15369" max="15369" width="8.64453125" customWidth="1"/>
    <col min="15370" max="15370" width="3" customWidth="1"/>
    <col min="15371" max="15371" width="13.41015625" customWidth="1"/>
    <col min="15372" max="15372" width="16.41015625" customWidth="1"/>
    <col min="15373" max="15373" width="12.29296875" customWidth="1"/>
    <col min="15374" max="15374" width="13.41015625" customWidth="1"/>
    <col min="15375" max="15376" width="12.29296875" customWidth="1"/>
    <col min="15377" max="15377" width="12.703125" customWidth="1"/>
    <col min="15378" max="15378" width="11" customWidth="1"/>
    <col min="15379" max="15383" width="12.41015625" customWidth="1"/>
    <col min="15616" max="15616" width="3" customWidth="1"/>
    <col min="15617" max="15617" width="1.1171875" customWidth="1"/>
    <col min="15618" max="15618" width="30.64453125" customWidth="1"/>
    <col min="15619" max="15619" width="10.41015625" customWidth="1"/>
    <col min="15620" max="15620" width="13.703125" customWidth="1"/>
    <col min="15621" max="15621" width="8.29296875" customWidth="1"/>
    <col min="15622" max="15622" width="9.8203125" customWidth="1"/>
    <col min="15623" max="15623" width="11.05859375" customWidth="1"/>
    <col min="15624" max="15624" width="12.1171875" customWidth="1"/>
    <col min="15625" max="15625" width="8.64453125" customWidth="1"/>
    <col min="15626" max="15626" width="3" customWidth="1"/>
    <col min="15627" max="15627" width="13.41015625" customWidth="1"/>
    <col min="15628" max="15628" width="16.41015625" customWidth="1"/>
    <col min="15629" max="15629" width="12.29296875" customWidth="1"/>
    <col min="15630" max="15630" width="13.41015625" customWidth="1"/>
    <col min="15631" max="15632" width="12.29296875" customWidth="1"/>
    <col min="15633" max="15633" width="12.703125" customWidth="1"/>
    <col min="15634" max="15634" width="11" customWidth="1"/>
    <col min="15635" max="15639" width="12.41015625" customWidth="1"/>
    <col min="15872" max="15872" width="3" customWidth="1"/>
    <col min="15873" max="15873" width="1.1171875" customWidth="1"/>
    <col min="15874" max="15874" width="30.64453125" customWidth="1"/>
    <col min="15875" max="15875" width="10.41015625" customWidth="1"/>
    <col min="15876" max="15876" width="13.703125" customWidth="1"/>
    <col min="15877" max="15877" width="8.29296875" customWidth="1"/>
    <col min="15878" max="15878" width="9.8203125" customWidth="1"/>
    <col min="15879" max="15879" width="11.05859375" customWidth="1"/>
    <col min="15880" max="15880" width="12.1171875" customWidth="1"/>
    <col min="15881" max="15881" width="8.64453125" customWidth="1"/>
    <col min="15882" max="15882" width="3" customWidth="1"/>
    <col min="15883" max="15883" width="13.41015625" customWidth="1"/>
    <col min="15884" max="15884" width="16.41015625" customWidth="1"/>
    <col min="15885" max="15885" width="12.29296875" customWidth="1"/>
    <col min="15886" max="15886" width="13.41015625" customWidth="1"/>
    <col min="15887" max="15888" width="12.29296875" customWidth="1"/>
    <col min="15889" max="15889" width="12.703125" customWidth="1"/>
    <col min="15890" max="15890" width="11" customWidth="1"/>
    <col min="15891" max="15895" width="12.41015625" customWidth="1"/>
    <col min="16128" max="16128" width="3" customWidth="1"/>
    <col min="16129" max="16129" width="1.1171875" customWidth="1"/>
    <col min="16130" max="16130" width="30.64453125" customWidth="1"/>
    <col min="16131" max="16131" width="10.41015625" customWidth="1"/>
    <col min="16132" max="16132" width="13.703125" customWidth="1"/>
    <col min="16133" max="16133" width="8.29296875" customWidth="1"/>
    <col min="16134" max="16134" width="9.8203125" customWidth="1"/>
    <col min="16135" max="16135" width="11.05859375" customWidth="1"/>
    <col min="16136" max="16136" width="12.1171875" customWidth="1"/>
    <col min="16137" max="16137" width="8.64453125" customWidth="1"/>
    <col min="16138" max="16138" width="3" customWidth="1"/>
    <col min="16139" max="16139" width="13.41015625" customWidth="1"/>
    <col min="16140" max="16140" width="16.41015625" customWidth="1"/>
    <col min="16141" max="16141" width="12.29296875" customWidth="1"/>
    <col min="16142" max="16142" width="13.41015625" customWidth="1"/>
    <col min="16143" max="16144" width="12.29296875" customWidth="1"/>
    <col min="16145" max="16145" width="12.703125" customWidth="1"/>
    <col min="16146" max="16146" width="11" customWidth="1"/>
    <col min="16147" max="16151" width="12.41015625" customWidth="1"/>
  </cols>
  <sheetData>
    <row r="1" spans="2:9" ht="22.7" x14ac:dyDescent="0.7">
      <c r="B1" s="23" t="s">
        <v>99</v>
      </c>
      <c r="C1" s="21"/>
    </row>
    <row r="2" spans="2:9" ht="12.75" customHeight="1" x14ac:dyDescent="0.55000000000000004">
      <c r="B2" s="22" t="s">
        <v>100</v>
      </c>
      <c r="C2" s="23"/>
      <c r="D2" s="24"/>
      <c r="E2" s="24"/>
      <c r="F2" s="25"/>
      <c r="G2" s="24"/>
      <c r="H2" s="26"/>
    </row>
    <row r="3" spans="2:9" ht="18" customHeight="1" thickBot="1" x14ac:dyDescent="0.55000000000000004">
      <c r="B3" s="28" t="s">
        <v>101</v>
      </c>
      <c r="C3" s="202"/>
      <c r="D3" s="203"/>
      <c r="E3" s="203"/>
      <c r="F3" s="203"/>
      <c r="G3" s="203"/>
      <c r="H3" s="203"/>
      <c r="I3" s="203"/>
    </row>
    <row r="4" spans="2:9" ht="43.5" customHeight="1" x14ac:dyDescent="0.5">
      <c r="B4" s="34" t="s">
        <v>103</v>
      </c>
      <c r="C4" s="204" t="s">
        <v>104</v>
      </c>
      <c r="D4" s="204" t="s">
        <v>105</v>
      </c>
      <c r="E4" s="204" t="s">
        <v>106</v>
      </c>
      <c r="F4" s="204" t="s">
        <v>203</v>
      </c>
      <c r="G4" s="204" t="s">
        <v>204</v>
      </c>
      <c r="H4" s="204" t="s">
        <v>109</v>
      </c>
      <c r="I4" s="204" t="s">
        <v>110</v>
      </c>
    </row>
    <row r="5" spans="2:9" ht="13.7" customHeight="1" x14ac:dyDescent="0.5">
      <c r="B5" t="s">
        <v>205</v>
      </c>
      <c r="C5" s="39">
        <v>3</v>
      </c>
      <c r="D5" s="40">
        <f>+C5*'DO NOT USE 2'!$F$44</f>
        <v>60000000</v>
      </c>
      <c r="E5" s="41">
        <f>+D5/$D$9</f>
        <v>0.44910179640718562</v>
      </c>
      <c r="F5" s="42">
        <f>+'DO NOT USE 2'!D24</f>
        <v>7.3593149782850142E-2</v>
      </c>
      <c r="G5" s="42">
        <f>+F5*(1-$C$18)</f>
        <v>4.709961586102409E-2</v>
      </c>
      <c r="H5" s="43">
        <f>+E5*G5</f>
        <v>2.1152522093274291E-2</v>
      </c>
      <c r="I5" s="44">
        <f>+D5/'DO NOT USE 2'!$F$44</f>
        <v>3</v>
      </c>
    </row>
    <row r="6" spans="2:9" x14ac:dyDescent="0.5">
      <c r="B6" t="s">
        <v>206</v>
      </c>
      <c r="C6" s="49"/>
      <c r="D6" s="50">
        <f>+D7-D5</f>
        <v>40000000</v>
      </c>
      <c r="E6" s="51">
        <f>+D6/$D$9</f>
        <v>0.29940119760479039</v>
      </c>
      <c r="F6" s="52">
        <f>+'DO NOT USE 2'!D33</f>
        <v>9.000000000000008E-2</v>
      </c>
      <c r="G6" s="52">
        <f>+F6*(1-$C$18)</f>
        <v>5.7600000000000054E-2</v>
      </c>
      <c r="H6" s="53">
        <f>+E6*G6</f>
        <v>1.7245508982035942E-2</v>
      </c>
      <c r="I6" s="54">
        <f>+D6/'DO NOT USE 2'!$F$44</f>
        <v>2</v>
      </c>
    </row>
    <row r="7" spans="2:9" ht="14.7" thickBot="1" x14ac:dyDescent="0.55000000000000004">
      <c r="B7" t="s">
        <v>121</v>
      </c>
      <c r="C7" s="49">
        <v>5</v>
      </c>
      <c r="D7" s="40">
        <f>+C7*'DO NOT USE 2'!$F$44</f>
        <v>100000000</v>
      </c>
      <c r="E7" s="41">
        <f>SUM(E5:E6)</f>
        <v>0.74850299401197606</v>
      </c>
      <c r="F7" s="61"/>
      <c r="G7" s="61"/>
      <c r="H7" s="43">
        <f>+H6+H5</f>
        <v>3.8398031075310229E-2</v>
      </c>
      <c r="I7" s="62">
        <f>+D7/'DO NOT USE 2'!$F$44</f>
        <v>5</v>
      </c>
    </row>
    <row r="8" spans="2:9" ht="15" customHeight="1" thickBot="1" x14ac:dyDescent="0.55000000000000004">
      <c r="B8" t="s">
        <v>207</v>
      </c>
      <c r="C8" s="66"/>
      <c r="D8" s="50">
        <f>+D15-D7</f>
        <v>33600000</v>
      </c>
      <c r="E8" s="51">
        <f>+D8/$D$9</f>
        <v>0.25149700598802394</v>
      </c>
      <c r="F8" s="67">
        <f>+I16</f>
        <v>0.20002</v>
      </c>
      <c r="G8" s="68">
        <f>+F8</f>
        <v>0.20002</v>
      </c>
      <c r="H8" s="43">
        <f>+E8*G8</f>
        <v>5.0304431137724551E-2</v>
      </c>
      <c r="I8" s="54">
        <f>+D8/'DO NOT USE 2'!$F$44</f>
        <v>1.68</v>
      </c>
    </row>
    <row r="9" spans="2:9" ht="14.7" thickBot="1" x14ac:dyDescent="0.55000000000000004">
      <c r="B9" t="s">
        <v>124</v>
      </c>
      <c r="C9" s="71"/>
      <c r="D9" s="72">
        <f>+D8+D7</f>
        <v>133600000</v>
      </c>
      <c r="E9" s="73">
        <f>+D9/$D$9</f>
        <v>1</v>
      </c>
      <c r="H9" s="67">
        <f>+H8+H7</f>
        <v>8.870246221303478E-2</v>
      </c>
      <c r="I9" s="75">
        <f>+D9/'DO NOT USE 2'!$F$44</f>
        <v>6.68</v>
      </c>
    </row>
    <row r="10" spans="2:9" ht="14.25" customHeight="1" thickTop="1" x14ac:dyDescent="0.5">
      <c r="D10" s="205"/>
      <c r="E10" s="205"/>
      <c r="F10" s="80"/>
    </row>
    <row r="11" spans="2:9" ht="53" customHeight="1" thickBot="1" x14ac:dyDescent="0.55000000000000004">
      <c r="B11" s="81" t="s">
        <v>125</v>
      </c>
      <c r="C11" s="204" t="s">
        <v>126</v>
      </c>
      <c r="D11" s="204" t="s">
        <v>212</v>
      </c>
      <c r="E11" s="204" t="s">
        <v>127</v>
      </c>
      <c r="G11" s="225" t="s">
        <v>213</v>
      </c>
      <c r="H11" s="226"/>
      <c r="I11" s="227"/>
    </row>
    <row r="12" spans="2:9" x14ac:dyDescent="0.5">
      <c r="B12" s="64" t="s">
        <v>128</v>
      </c>
      <c r="C12" s="49">
        <v>6</v>
      </c>
      <c r="D12" s="83">
        <f>+C12*'DO NOT USE 2'!F44</f>
        <v>120000000</v>
      </c>
      <c r="E12" s="84">
        <f>+D12/$D$15</f>
        <v>0.89820359281437123</v>
      </c>
      <c r="G12" s="85" t="s">
        <v>129</v>
      </c>
      <c r="I12" s="86">
        <v>2.5999999999999999E-2</v>
      </c>
    </row>
    <row r="13" spans="2:9" x14ac:dyDescent="0.5">
      <c r="B13" s="64" t="s">
        <v>130</v>
      </c>
      <c r="C13" s="87"/>
      <c r="D13" s="80">
        <v>10000000</v>
      </c>
      <c r="E13" s="12"/>
      <c r="G13" s="85" t="s">
        <v>131</v>
      </c>
      <c r="I13" s="88">
        <v>1.5820000000000001</v>
      </c>
    </row>
    <row r="14" spans="2:9" x14ac:dyDescent="0.5">
      <c r="B14" s="80" t="s">
        <v>132</v>
      </c>
      <c r="C14" s="89">
        <v>0.03</v>
      </c>
      <c r="D14" s="80">
        <f>+C14*D12</f>
        <v>3600000</v>
      </c>
      <c r="E14" s="84">
        <f>+D14/$D$15</f>
        <v>2.6946107784431138E-2</v>
      </c>
      <c r="G14" s="85" t="s">
        <v>133</v>
      </c>
      <c r="I14" s="90">
        <v>0.11</v>
      </c>
    </row>
    <row r="15" spans="2:9" ht="12.75" customHeight="1" thickBot="1" x14ac:dyDescent="0.55000000000000004">
      <c r="B15" s="80" t="s">
        <v>134</v>
      </c>
      <c r="C15" s="91"/>
      <c r="D15" s="72">
        <f>SUM(D12:D14)</f>
        <v>133600000</v>
      </c>
      <c r="E15" s="92">
        <f>+D15/$D$15</f>
        <v>1</v>
      </c>
      <c r="G15" s="85" t="s">
        <v>135</v>
      </c>
      <c r="I15" s="93">
        <v>0</v>
      </c>
    </row>
    <row r="16" spans="2:9" ht="12.75" customHeight="1" x14ac:dyDescent="0.5">
      <c r="B16" s="80"/>
      <c r="C16" s="80"/>
      <c r="D16" s="80"/>
      <c r="G16" s="94" t="s">
        <v>136</v>
      </c>
      <c r="H16" s="95"/>
      <c r="I16" s="96">
        <f>+I12+(I13*I14)+I15</f>
        <v>0.20002</v>
      </c>
    </row>
    <row r="17" spans="2:15" ht="12.75" customHeight="1" x14ac:dyDescent="0.5">
      <c r="B17" s="206" t="s">
        <v>211</v>
      </c>
      <c r="C17" s="207">
        <f>+'DO NOT USE 2'!F44</f>
        <v>20000000</v>
      </c>
    </row>
    <row r="18" spans="2:15" ht="12" customHeight="1" x14ac:dyDescent="0.5">
      <c r="B18" s="206" t="s">
        <v>210</v>
      </c>
      <c r="C18" s="208">
        <f>+'DO NOT USE 2'!D50</f>
        <v>0.36</v>
      </c>
      <c r="F18" s="80"/>
      <c r="G18" s="80"/>
      <c r="H18" s="80"/>
      <c r="O18" s="80"/>
    </row>
    <row r="20" spans="2:15" x14ac:dyDescent="0.5">
      <c r="I20" t="s">
        <v>209</v>
      </c>
    </row>
    <row r="87" spans="5:12" x14ac:dyDescent="0.5">
      <c r="E87" s="80"/>
      <c r="G87" s="80"/>
      <c r="H87" s="80"/>
      <c r="I87" s="80"/>
      <c r="J87" s="80"/>
      <c r="K87" s="80"/>
      <c r="L87" s="80"/>
    </row>
    <row r="88" spans="5:12" x14ac:dyDescent="0.5">
      <c r="E88" s="80"/>
      <c r="G88" s="80"/>
      <c r="H88" s="80"/>
      <c r="I88" s="80"/>
      <c r="J88" s="80"/>
      <c r="K88" s="80"/>
      <c r="L88" s="80"/>
    </row>
    <row r="89" spans="5:12" x14ac:dyDescent="0.5">
      <c r="E89" s="80"/>
      <c r="G89" s="80"/>
      <c r="H89" s="80"/>
      <c r="I89" s="80"/>
      <c r="J89" s="80"/>
      <c r="K89" s="80"/>
      <c r="L89" s="80"/>
    </row>
    <row r="90" spans="5:12" x14ac:dyDescent="0.5">
      <c r="E90" s="80"/>
      <c r="G90" s="80"/>
      <c r="H90" s="80"/>
      <c r="I90" s="80"/>
      <c r="J90" s="80"/>
      <c r="K90" s="80"/>
      <c r="L90" s="80"/>
    </row>
    <row r="91" spans="5:12" x14ac:dyDescent="0.5">
      <c r="E91" s="80"/>
      <c r="G91" s="80"/>
      <c r="H91" s="80"/>
      <c r="I91" s="80"/>
      <c r="J91" s="80"/>
      <c r="K91" s="80"/>
      <c r="L91" s="80"/>
    </row>
    <row r="92" spans="5:12" x14ac:dyDescent="0.5">
      <c r="E92" s="80"/>
      <c r="G92" s="80"/>
    </row>
    <row r="93" spans="5:12" x14ac:dyDescent="0.5">
      <c r="E93" s="80"/>
    </row>
    <row r="94" spans="5:12" x14ac:dyDescent="0.5">
      <c r="E94" s="80"/>
    </row>
    <row r="95" spans="5:12" x14ac:dyDescent="0.5">
      <c r="E95" s="80"/>
    </row>
    <row r="96" spans="5:12" x14ac:dyDescent="0.5">
      <c r="E96" s="80"/>
    </row>
    <row r="97" spans="5:5" x14ac:dyDescent="0.5">
      <c r="E97" s="80"/>
    </row>
    <row r="98" spans="5:5" x14ac:dyDescent="0.5">
      <c r="E98" s="80"/>
    </row>
    <row r="99" spans="5:5" x14ac:dyDescent="0.5">
      <c r="E99" s="80"/>
    </row>
    <row r="100" spans="5:5" x14ac:dyDescent="0.5">
      <c r="E100" s="80"/>
    </row>
    <row r="101" spans="5:5" x14ac:dyDescent="0.5">
      <c r="E101" s="80"/>
    </row>
    <row r="102" spans="5:5" x14ac:dyDescent="0.5">
      <c r="E102" s="80"/>
    </row>
    <row r="103" spans="5:5" x14ac:dyDescent="0.5">
      <c r="E103" s="80"/>
    </row>
    <row r="104" spans="5:5" x14ac:dyDescent="0.5">
      <c r="E104" s="80"/>
    </row>
    <row r="105" spans="5:5" x14ac:dyDescent="0.5">
      <c r="E105" s="80"/>
    </row>
    <row r="106" spans="5:5" x14ac:dyDescent="0.5">
      <c r="E106" s="80"/>
    </row>
    <row r="107" spans="5:5" x14ac:dyDescent="0.5">
      <c r="E107" s="80"/>
    </row>
    <row r="108" spans="5:5" x14ac:dyDescent="0.5">
      <c r="E108" s="80"/>
    </row>
    <row r="109" spans="5:5" x14ac:dyDescent="0.5">
      <c r="E109" s="80"/>
    </row>
    <row r="110" spans="5:5" x14ac:dyDescent="0.5">
      <c r="E110" s="80"/>
    </row>
    <row r="111" spans="5:5" x14ac:dyDescent="0.5">
      <c r="E111" s="80"/>
    </row>
    <row r="112" spans="5:5" x14ac:dyDescent="0.5">
      <c r="E112" s="80"/>
    </row>
    <row r="113" spans="5:5" x14ac:dyDescent="0.5">
      <c r="E113" s="80"/>
    </row>
    <row r="114" spans="5:5" x14ac:dyDescent="0.5">
      <c r="E114" s="80"/>
    </row>
    <row r="115" spans="5:5" x14ac:dyDescent="0.5">
      <c r="E115" s="80"/>
    </row>
    <row r="116" spans="5:5" x14ac:dyDescent="0.5">
      <c r="E116" s="80"/>
    </row>
    <row r="117" spans="5:5" x14ac:dyDescent="0.5">
      <c r="E117" s="80"/>
    </row>
    <row r="118" spans="5:5" x14ac:dyDescent="0.5">
      <c r="E118" s="80"/>
    </row>
    <row r="119" spans="5:5" x14ac:dyDescent="0.5">
      <c r="E119" s="80"/>
    </row>
    <row r="120" spans="5:5" x14ac:dyDescent="0.5">
      <c r="E120" s="80"/>
    </row>
    <row r="121" spans="5:5" x14ac:dyDescent="0.5">
      <c r="E121" s="80"/>
    </row>
    <row r="122" spans="5:5" x14ac:dyDescent="0.5">
      <c r="E122" s="80"/>
    </row>
  </sheetData>
  <mergeCells count="1">
    <mergeCell ref="G11:I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EB0C-EB38-4FF8-A127-2FE7BB572300}">
  <dimension ref="B1:D14"/>
  <sheetViews>
    <sheetView showGridLines="0" workbookViewId="0">
      <selection activeCell="K6" sqref="K6"/>
    </sheetView>
  </sheetViews>
  <sheetFormatPr defaultRowHeight="14.35" x14ac:dyDescent="0.5"/>
  <cols>
    <col min="1" max="1" width="4" customWidth="1"/>
    <col min="2" max="2" width="21.87890625" customWidth="1"/>
    <col min="3" max="4" width="29.87890625" customWidth="1"/>
    <col min="5" max="5" width="3.46875" customWidth="1"/>
  </cols>
  <sheetData>
    <row r="1" spans="2:4" ht="17.7" x14ac:dyDescent="0.55000000000000004">
      <c r="B1" s="23" t="s">
        <v>99</v>
      </c>
    </row>
    <row r="2" spans="2:4" x14ac:dyDescent="0.5">
      <c r="B2" s="22" t="s">
        <v>214</v>
      </c>
    </row>
    <row r="4" spans="2:4" x14ac:dyDescent="0.5">
      <c r="B4" s="209" t="s">
        <v>215</v>
      </c>
      <c r="C4" s="209" t="s">
        <v>220</v>
      </c>
      <c r="D4" s="209" t="s">
        <v>221</v>
      </c>
    </row>
    <row r="5" spans="2:4" x14ac:dyDescent="0.5">
      <c r="B5" s="210" t="s">
        <v>216</v>
      </c>
      <c r="C5" s="210" t="s">
        <v>226</v>
      </c>
      <c r="D5" s="210" t="s">
        <v>226</v>
      </c>
    </row>
    <row r="6" spans="2:4" ht="57.35" x14ac:dyDescent="0.5">
      <c r="B6" s="210" t="s">
        <v>217</v>
      </c>
      <c r="C6" s="211" t="s">
        <v>227</v>
      </c>
      <c r="D6" s="211" t="s">
        <v>228</v>
      </c>
    </row>
    <row r="7" spans="2:4" x14ac:dyDescent="0.5">
      <c r="B7" s="210" t="s">
        <v>218</v>
      </c>
      <c r="C7" s="210" t="s">
        <v>229</v>
      </c>
      <c r="D7" s="210" t="s">
        <v>230</v>
      </c>
    </row>
    <row r="8" spans="2:4" x14ac:dyDescent="0.5">
      <c r="B8" s="210" t="s">
        <v>219</v>
      </c>
      <c r="C8" s="210" t="s">
        <v>231</v>
      </c>
      <c r="D8" s="210" t="s">
        <v>232</v>
      </c>
    </row>
    <row r="9" spans="2:4" x14ac:dyDescent="0.5">
      <c r="B9" s="210" t="s">
        <v>222</v>
      </c>
      <c r="C9" s="210" t="s">
        <v>144</v>
      </c>
      <c r="D9" s="210" t="s">
        <v>233</v>
      </c>
    </row>
    <row r="10" spans="2:4" ht="57.35" x14ac:dyDescent="0.5">
      <c r="B10" s="210" t="s">
        <v>223</v>
      </c>
      <c r="C10" s="211" t="s">
        <v>234</v>
      </c>
      <c r="D10" s="211" t="s">
        <v>235</v>
      </c>
    </row>
    <row r="11" spans="2:4" ht="71.7" x14ac:dyDescent="0.5">
      <c r="B11" s="210" t="s">
        <v>224</v>
      </c>
      <c r="C11" s="211" t="s">
        <v>236</v>
      </c>
      <c r="D11" s="210" t="s">
        <v>237</v>
      </c>
    </row>
    <row r="12" spans="2:4" x14ac:dyDescent="0.5">
      <c r="B12" s="210" t="s">
        <v>225</v>
      </c>
      <c r="C12" s="210" t="s">
        <v>238</v>
      </c>
      <c r="D12" s="212" t="s">
        <v>239</v>
      </c>
    </row>
    <row r="14" spans="2:4" x14ac:dyDescent="0.5">
      <c r="D14" s="12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4ABC-146A-42A8-93EC-D892FD9DF91E}">
  <dimension ref="A1:K23"/>
  <sheetViews>
    <sheetView showGridLines="0" topLeftCell="B1" workbookViewId="0">
      <selection activeCell="F24" sqref="F24"/>
    </sheetView>
  </sheetViews>
  <sheetFormatPr defaultRowHeight="14.35" x14ac:dyDescent="0.5"/>
  <cols>
    <col min="1" max="1" width="33.703125" customWidth="1"/>
    <col min="3" max="10" width="11.3515625" customWidth="1"/>
    <col min="11" max="11" width="11.87890625" customWidth="1"/>
    <col min="12" max="12" width="2.41015625" customWidth="1"/>
  </cols>
  <sheetData>
    <row r="1" spans="1:11" ht="17.7" x14ac:dyDescent="0.55000000000000004">
      <c r="A1" s="23" t="s">
        <v>99</v>
      </c>
    </row>
    <row r="2" spans="1:11" x14ac:dyDescent="0.5">
      <c r="A2" s="22" t="s">
        <v>241</v>
      </c>
      <c r="B2" s="80"/>
      <c r="E2" s="80"/>
      <c r="F2" s="80"/>
      <c r="G2" s="80"/>
    </row>
    <row r="3" spans="1:11" ht="9.35" customHeight="1" thickBot="1" x14ac:dyDescent="0.55000000000000004">
      <c r="A3" s="22"/>
      <c r="B3" s="100"/>
      <c r="E3" s="100"/>
      <c r="F3" s="100"/>
      <c r="G3" s="100"/>
      <c r="H3" s="103"/>
      <c r="I3" s="103"/>
      <c r="J3" s="103"/>
    </row>
    <row r="4" spans="1:11" ht="14.7" thickBot="1" x14ac:dyDescent="0.55000000000000004">
      <c r="A4" s="104" t="s">
        <v>138</v>
      </c>
      <c r="B4" s="104"/>
      <c r="C4" s="105"/>
      <c r="D4" s="105"/>
      <c r="E4" s="105"/>
      <c r="F4" s="105"/>
      <c r="G4" s="105"/>
      <c r="H4" s="105"/>
      <c r="I4" s="106"/>
      <c r="J4" s="107"/>
      <c r="K4" s="107"/>
    </row>
    <row r="5" spans="1:11" ht="14.7" thickBot="1" x14ac:dyDescent="0.55000000000000004">
      <c r="A5" s="108" t="s">
        <v>139</v>
      </c>
      <c r="B5" s="109" t="s">
        <v>140</v>
      </c>
      <c r="C5" s="110" t="s">
        <v>141</v>
      </c>
      <c r="D5" s="111">
        <f>+'Fig. 5.10'!E6</f>
        <v>2020</v>
      </c>
      <c r="E5" s="111">
        <f>+'Fig. 5.10'!F6</f>
        <v>2021</v>
      </c>
      <c r="F5" s="111">
        <f>+'Fig. 5.10'!G6</f>
        <v>2022</v>
      </c>
      <c r="G5" s="111">
        <f>+'Fig. 5.10'!H6</f>
        <v>2023</v>
      </c>
      <c r="H5" s="111">
        <f>+'Fig. 5.10'!I6</f>
        <v>2024</v>
      </c>
      <c r="I5" s="111">
        <f>+'Fig. 5.10'!J6</f>
        <v>2025</v>
      </c>
      <c r="J5" s="111">
        <f>+I5+1</f>
        <v>2026</v>
      </c>
      <c r="K5" s="111">
        <f>+J5+1</f>
        <v>2027</v>
      </c>
    </row>
    <row r="6" spans="1:11" x14ac:dyDescent="0.5">
      <c r="A6" t="s">
        <v>142</v>
      </c>
      <c r="C6" s="112">
        <f>+'DO NOT USE'!E5</f>
        <v>60000000</v>
      </c>
      <c r="D6" s="80">
        <f t="shared" ref="D6:K6" si="0">+C6-D7</f>
        <v>57000000</v>
      </c>
      <c r="E6" s="80">
        <f t="shared" si="0"/>
        <v>53000000</v>
      </c>
      <c r="F6" s="80">
        <f t="shared" si="0"/>
        <v>48000000</v>
      </c>
      <c r="G6" s="80">
        <f t="shared" si="0"/>
        <v>43000000</v>
      </c>
      <c r="H6" s="80">
        <f t="shared" si="0"/>
        <v>37000000</v>
      </c>
      <c r="I6" s="80">
        <f t="shared" si="0"/>
        <v>30000000</v>
      </c>
      <c r="J6" s="80">
        <f t="shared" si="0"/>
        <v>0</v>
      </c>
      <c r="K6" s="80">
        <f t="shared" si="0"/>
        <v>0</v>
      </c>
    </row>
    <row r="7" spans="1:11" x14ac:dyDescent="0.5">
      <c r="A7" t="s">
        <v>143</v>
      </c>
      <c r="C7" s="113" t="s">
        <v>144</v>
      </c>
      <c r="D7" s="40">
        <v>3000000</v>
      </c>
      <c r="E7" s="40">
        <v>4000000</v>
      </c>
      <c r="F7" s="40">
        <v>5000000</v>
      </c>
      <c r="G7" s="40">
        <v>5000000</v>
      </c>
      <c r="H7" s="40">
        <f>+G7+1000000</f>
        <v>6000000</v>
      </c>
      <c r="I7" s="40">
        <v>7000000</v>
      </c>
      <c r="J7" s="40">
        <f>+I6</f>
        <v>30000000</v>
      </c>
      <c r="K7" s="40">
        <f>+J6</f>
        <v>0</v>
      </c>
    </row>
    <row r="8" spans="1:11" x14ac:dyDescent="0.5">
      <c r="A8" t="s">
        <v>145</v>
      </c>
      <c r="C8" s="115">
        <f>+'DO NOT USE'!G5</f>
        <v>7.3593149782850142E-2</v>
      </c>
      <c r="D8" s="80">
        <f t="shared" ref="D8:K8" si="1">+C6*D12</f>
        <v>3750000</v>
      </c>
      <c r="E8" s="80">
        <f t="shared" si="1"/>
        <v>3847500.0000000005</v>
      </c>
      <c r="F8" s="80">
        <f t="shared" si="1"/>
        <v>3842500.0000000005</v>
      </c>
      <c r="G8" s="80">
        <f t="shared" si="1"/>
        <v>3960000</v>
      </c>
      <c r="H8" s="80">
        <f t="shared" si="1"/>
        <v>3547500</v>
      </c>
      <c r="I8" s="80">
        <f t="shared" si="1"/>
        <v>3052500</v>
      </c>
      <c r="J8" s="80">
        <f t="shared" si="1"/>
        <v>2475000</v>
      </c>
      <c r="K8" s="80">
        <f t="shared" si="1"/>
        <v>0</v>
      </c>
    </row>
    <row r="9" spans="1:11" ht="14.7" thickBot="1" x14ac:dyDescent="0.55000000000000004">
      <c r="A9" t="s">
        <v>146</v>
      </c>
      <c r="B9" s="116">
        <f>IRR(C9:J9)</f>
        <v>7.3593149782850142E-2</v>
      </c>
      <c r="C9" s="117">
        <f>-C6</f>
        <v>-60000000</v>
      </c>
      <c r="D9" s="72">
        <f t="shared" ref="D9:K9" si="2">+D7+D8</f>
        <v>6750000</v>
      </c>
      <c r="E9" s="72">
        <f t="shared" si="2"/>
        <v>7847500</v>
      </c>
      <c r="F9" s="72">
        <f t="shared" si="2"/>
        <v>8842500</v>
      </c>
      <c r="G9" s="72">
        <f t="shared" si="2"/>
        <v>8960000</v>
      </c>
      <c r="H9" s="72">
        <f t="shared" si="2"/>
        <v>9547500</v>
      </c>
      <c r="I9" s="72">
        <f t="shared" si="2"/>
        <v>10052500</v>
      </c>
      <c r="J9" s="72">
        <f t="shared" si="2"/>
        <v>32475000</v>
      </c>
      <c r="K9" s="72">
        <f t="shared" si="2"/>
        <v>0</v>
      </c>
    </row>
    <row r="10" spans="1:11" ht="14.7" thickTop="1" x14ac:dyDescent="0.5">
      <c r="A10" s="108" t="s">
        <v>147</v>
      </c>
      <c r="B10" s="119"/>
      <c r="C10" s="120">
        <f>+'DO NOT USE'!K6</f>
        <v>2.2499999999999999E-2</v>
      </c>
      <c r="D10" s="121">
        <f t="shared" ref="D10:K10" si="3">+C10+D11</f>
        <v>2.2499999999999999E-2</v>
      </c>
      <c r="E10" s="121">
        <f t="shared" si="3"/>
        <v>2.75E-2</v>
      </c>
      <c r="F10" s="121">
        <f t="shared" si="3"/>
        <v>3.2500000000000001E-2</v>
      </c>
      <c r="G10" s="121">
        <f t="shared" si="3"/>
        <v>4.2500000000000003E-2</v>
      </c>
      <c r="H10" s="121">
        <f t="shared" si="3"/>
        <v>4.2500000000000003E-2</v>
      </c>
      <c r="I10" s="121">
        <f t="shared" si="3"/>
        <v>4.2500000000000003E-2</v>
      </c>
      <c r="J10" s="121">
        <f t="shared" si="3"/>
        <v>4.2500000000000003E-2</v>
      </c>
      <c r="K10" s="121">
        <f t="shared" si="3"/>
        <v>1.0425</v>
      </c>
    </row>
    <row r="11" spans="1:11" x14ac:dyDescent="0.5">
      <c r="A11" s="122" t="s">
        <v>148</v>
      </c>
      <c r="B11" s="119"/>
      <c r="C11" s="120"/>
      <c r="D11" s="123">
        <v>0</v>
      </c>
      <c r="E11" s="123">
        <v>5.0000000000000001E-3</v>
      </c>
      <c r="F11" s="123">
        <v>5.0000000000000001E-3</v>
      </c>
      <c r="G11" s="123">
        <v>0.01</v>
      </c>
      <c r="H11" s="123">
        <v>0</v>
      </c>
      <c r="I11" s="123">
        <v>0</v>
      </c>
      <c r="J11" s="123">
        <v>0</v>
      </c>
      <c r="K11" s="123">
        <v>1</v>
      </c>
    </row>
    <row r="12" spans="1:11" x14ac:dyDescent="0.5">
      <c r="A12" s="122" t="s">
        <v>149</v>
      </c>
      <c r="B12" s="119"/>
      <c r="C12" s="120"/>
      <c r="D12" s="123">
        <f>+D10+'DO NOT USE'!$L$6</f>
        <v>6.25E-2</v>
      </c>
      <c r="E12" s="123">
        <f>+E10+'DO NOT USE'!$L$6</f>
        <v>6.7500000000000004E-2</v>
      </c>
      <c r="F12" s="123">
        <f>+F10+'DO NOT USE'!$L$6</f>
        <v>7.2500000000000009E-2</v>
      </c>
      <c r="G12" s="123">
        <f>+G10+'DO NOT USE'!$L$6</f>
        <v>8.2500000000000004E-2</v>
      </c>
      <c r="H12" s="123">
        <f>+H10+'DO NOT USE'!$L$6</f>
        <v>8.2500000000000004E-2</v>
      </c>
      <c r="I12" s="123">
        <f>+I10+'DO NOT USE'!$L$6</f>
        <v>8.2500000000000004E-2</v>
      </c>
      <c r="J12" s="123">
        <f>+J10+'DO NOT USE'!$L$6</f>
        <v>8.2500000000000004E-2</v>
      </c>
      <c r="K12" s="123">
        <f>+K10+'DO NOT USE'!$L$6</f>
        <v>1.0825</v>
      </c>
    </row>
    <row r="13" spans="1:11" x14ac:dyDescent="0.5">
      <c r="B13" s="116"/>
      <c r="C13" s="124"/>
    </row>
    <row r="14" spans="1:11" x14ac:dyDescent="0.5">
      <c r="A14" s="108" t="s">
        <v>120</v>
      </c>
      <c r="B14" s="125"/>
      <c r="C14" s="124"/>
    </row>
    <row r="15" spans="1:11" x14ac:dyDescent="0.5">
      <c r="A15" t="s">
        <v>151</v>
      </c>
      <c r="B15" s="116"/>
      <c r="C15" s="112">
        <f>+'DO NOT USE'!E6</f>
        <v>40000000</v>
      </c>
      <c r="D15" s="80">
        <f t="shared" ref="D15:K15" si="4">+C15-D16</f>
        <v>40000000</v>
      </c>
      <c r="E15" s="80">
        <f t="shared" si="4"/>
        <v>40000000</v>
      </c>
      <c r="F15" s="80">
        <f t="shared" si="4"/>
        <v>40000000</v>
      </c>
      <c r="G15" s="80">
        <f t="shared" si="4"/>
        <v>40000000</v>
      </c>
      <c r="H15" s="80">
        <f t="shared" si="4"/>
        <v>40000000</v>
      </c>
      <c r="I15" s="80">
        <f t="shared" si="4"/>
        <v>40000000</v>
      </c>
      <c r="J15" s="80">
        <f t="shared" si="4"/>
        <v>40000000</v>
      </c>
      <c r="K15" s="80">
        <f t="shared" si="4"/>
        <v>0</v>
      </c>
    </row>
    <row r="16" spans="1:11" x14ac:dyDescent="0.5">
      <c r="A16" t="s">
        <v>143</v>
      </c>
      <c r="B16" s="116"/>
      <c r="C16" s="113" t="s">
        <v>233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f>+J15</f>
        <v>40000000</v>
      </c>
    </row>
    <row r="17" spans="1:11" x14ac:dyDescent="0.5">
      <c r="A17" t="s">
        <v>145</v>
      </c>
      <c r="B17" s="116"/>
      <c r="C17" s="126">
        <f>+'DO NOT USE'!L9</f>
        <v>0.09</v>
      </c>
      <c r="D17" s="80">
        <f t="shared" ref="D17:K17" si="5">+C15*$C$17</f>
        <v>3600000</v>
      </c>
      <c r="E17" s="80">
        <f t="shared" si="5"/>
        <v>3600000</v>
      </c>
      <c r="F17" s="80">
        <f t="shared" si="5"/>
        <v>3600000</v>
      </c>
      <c r="G17" s="80">
        <f t="shared" si="5"/>
        <v>3600000</v>
      </c>
      <c r="H17" s="80">
        <f t="shared" si="5"/>
        <v>3600000</v>
      </c>
      <c r="I17" s="80">
        <f t="shared" si="5"/>
        <v>3600000</v>
      </c>
      <c r="J17" s="80">
        <f t="shared" si="5"/>
        <v>3600000</v>
      </c>
      <c r="K17" s="80">
        <f t="shared" si="5"/>
        <v>3600000</v>
      </c>
    </row>
    <row r="18" spans="1:11" ht="14.7" thickBot="1" x14ac:dyDescent="0.55000000000000004">
      <c r="A18" t="s">
        <v>146</v>
      </c>
      <c r="B18" s="116">
        <f>IRR(C18:K18)</f>
        <v>8.9999999999999858E-2</v>
      </c>
      <c r="C18" s="117">
        <f>-C15</f>
        <v>-40000000</v>
      </c>
      <c r="D18" s="72">
        <f t="shared" ref="D18:K18" si="6">+D16+D17</f>
        <v>3600000</v>
      </c>
      <c r="E18" s="72">
        <f t="shared" si="6"/>
        <v>3600000</v>
      </c>
      <c r="F18" s="72">
        <f t="shared" si="6"/>
        <v>3600000</v>
      </c>
      <c r="G18" s="72">
        <f t="shared" si="6"/>
        <v>3600000</v>
      </c>
      <c r="H18" s="72">
        <f t="shared" si="6"/>
        <v>3600000</v>
      </c>
      <c r="I18" s="72">
        <f t="shared" si="6"/>
        <v>3600000</v>
      </c>
      <c r="J18" s="72">
        <f t="shared" si="6"/>
        <v>3600000</v>
      </c>
      <c r="K18" s="72">
        <f t="shared" si="6"/>
        <v>43600000</v>
      </c>
    </row>
    <row r="19" spans="1:11" ht="14.7" thickTop="1" x14ac:dyDescent="0.5">
      <c r="C19" s="124"/>
      <c r="D19" s="80"/>
      <c r="E19" s="80"/>
      <c r="F19" s="80"/>
      <c r="G19" s="80"/>
      <c r="H19" s="80"/>
      <c r="I19" s="80"/>
      <c r="J19" s="80"/>
      <c r="K19" s="80"/>
    </row>
    <row r="20" spans="1:11" x14ac:dyDescent="0.5">
      <c r="A20" t="s">
        <v>153</v>
      </c>
      <c r="C20" s="124"/>
      <c r="D20" s="80">
        <f t="shared" ref="D20:K20" si="7">+D16+D17+D7+D8</f>
        <v>10350000</v>
      </c>
      <c r="E20" s="80">
        <f t="shared" si="7"/>
        <v>11447500</v>
      </c>
      <c r="F20" s="80">
        <f t="shared" si="7"/>
        <v>12442500</v>
      </c>
      <c r="G20" s="80">
        <f t="shared" si="7"/>
        <v>12560000</v>
      </c>
      <c r="H20" s="80">
        <f t="shared" si="7"/>
        <v>13147500</v>
      </c>
      <c r="I20" s="80">
        <f t="shared" si="7"/>
        <v>13652500</v>
      </c>
      <c r="J20" s="80">
        <f t="shared" si="7"/>
        <v>36075000</v>
      </c>
      <c r="K20" s="80">
        <f t="shared" si="7"/>
        <v>43600000</v>
      </c>
    </row>
    <row r="21" spans="1:11" ht="14.7" thickBot="1" x14ac:dyDescent="0.55000000000000004">
      <c r="A21" t="s">
        <v>154</v>
      </c>
      <c r="C21" s="127"/>
      <c r="D21" s="80">
        <f t="shared" ref="D21:K21" si="8">+D15+D6</f>
        <v>97000000</v>
      </c>
      <c r="E21" s="80">
        <f t="shared" si="8"/>
        <v>93000000</v>
      </c>
      <c r="F21" s="80">
        <f t="shared" si="8"/>
        <v>88000000</v>
      </c>
      <c r="G21" s="80">
        <f t="shared" si="8"/>
        <v>83000000</v>
      </c>
      <c r="H21" s="80">
        <f t="shared" si="8"/>
        <v>77000000</v>
      </c>
      <c r="I21" s="80">
        <f t="shared" si="8"/>
        <v>70000000</v>
      </c>
      <c r="J21" s="80">
        <f t="shared" si="8"/>
        <v>40000000</v>
      </c>
      <c r="K21" s="80">
        <f t="shared" si="8"/>
        <v>0</v>
      </c>
    </row>
    <row r="23" spans="1:11" x14ac:dyDescent="0.5">
      <c r="K23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Fig. 5.1</vt:lpstr>
      <vt:lpstr>Fig. 5.2</vt:lpstr>
      <vt:lpstr>Fig. 5.3</vt:lpstr>
      <vt:lpstr>Fig. 5.4</vt:lpstr>
      <vt:lpstr>Fig. 5.5</vt:lpstr>
      <vt:lpstr>Fig. 5.6</vt:lpstr>
      <vt:lpstr>Fig. 5.7</vt:lpstr>
      <vt:lpstr>Fig. 5.8</vt:lpstr>
      <vt:lpstr>Fig. 5.9</vt:lpstr>
      <vt:lpstr>Fig. 5.10</vt:lpstr>
      <vt:lpstr>Fig. 5.11</vt:lpstr>
      <vt:lpstr>DO NOT USE</vt:lpstr>
      <vt:lpstr>DO NOT USE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2019-01-18T19:26:06Z</dcterms:created>
  <dcterms:modified xsi:type="dcterms:W3CDTF">2020-06-20T13:06:36Z</dcterms:modified>
</cp:coreProperties>
</file>