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Dropbox\File requests\ACTIVE LEARNING\ACTIVE LEARNING\PART III - SECONDARY MARKETS\EXCEL SPREADSHEETS\"/>
    </mc:Choice>
  </mc:AlternateContent>
  <xr:revisionPtr revIDLastSave="0" documentId="13_ncr:1_{65FDB531-91D0-4638-A3E0-698406675D4B}" xr6:coauthVersionLast="45" xr6:coauthVersionMax="45" xr10:uidLastSave="{00000000-0000-0000-0000-000000000000}"/>
  <bookViews>
    <workbookView xWindow="-93" yWindow="-93" windowWidth="19346" windowHeight="12186" activeTab="2" xr2:uid="{9371B72A-3FFF-4C8F-99E8-19D3FAB4B46A}"/>
  </bookViews>
  <sheets>
    <sheet name="Fig. 10.1" sheetId="1" r:id="rId1"/>
    <sheet name="Fig 10.2" sheetId="2" r:id="rId2"/>
    <sheet name="Fig 10.3" sheetId="3" r:id="rId3"/>
    <sheet name="Fig. 10.4" sheetId="9" r:id="rId4"/>
    <sheet name="Fig. 10.5" sheetId="8" r:id="rId5"/>
    <sheet name="Fig. 10.6" sheetId="4" r:id="rId6"/>
    <sheet name="Fig. 10.7" sheetId="5" r:id="rId7"/>
    <sheet name="Fig. 10.8" sheetId="6" r:id="rId8"/>
    <sheet name="Fig. 10.9" sheetId="7" r:id="rId9"/>
  </sheets>
  <externalReferences>
    <externalReference r:id="rId10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7" l="1"/>
  <c r="I6" i="7"/>
  <c r="F6" i="7"/>
  <c r="G9" i="5" l="1"/>
  <c r="C8" i="5"/>
  <c r="C6" i="8"/>
  <c r="I37" i="7"/>
  <c r="I38" i="7"/>
  <c r="C9" i="4"/>
  <c r="I36" i="7"/>
  <c r="K37" i="7"/>
  <c r="E23" i="7"/>
  <c r="C22" i="7"/>
  <c r="J18" i="6"/>
  <c r="D9" i="7"/>
  <c r="E11" i="7"/>
  <c r="E10" i="7" s="1"/>
  <c r="AC88" i="9" l="1"/>
  <c r="AB86" i="9"/>
  <c r="AA84" i="9"/>
  <c r="Z82" i="9"/>
  <c r="Y80" i="9"/>
  <c r="X78" i="9"/>
  <c r="W76" i="9"/>
  <c r="V74" i="9"/>
  <c r="U72" i="9"/>
  <c r="T70" i="9"/>
  <c r="S68" i="9"/>
  <c r="R66" i="9"/>
  <c r="Q64" i="9"/>
  <c r="P62" i="9"/>
  <c r="O60" i="9"/>
  <c r="N58" i="9"/>
  <c r="M56" i="9"/>
  <c r="K92" i="9"/>
  <c r="K91" i="9" s="1"/>
  <c r="L54" i="9"/>
  <c r="K56" i="9"/>
  <c r="K55" i="9" s="1"/>
  <c r="K58" i="9"/>
  <c r="K57" i="9" s="1"/>
  <c r="K59" i="9"/>
  <c r="K60" i="9"/>
  <c r="K62" i="9"/>
  <c r="K61" i="9" s="1"/>
  <c r="K63" i="9"/>
  <c r="K64" i="9"/>
  <c r="K66" i="9"/>
  <c r="K65" i="9" s="1"/>
  <c r="K67" i="9"/>
  <c r="K68" i="9"/>
  <c r="K70" i="9"/>
  <c r="K69" i="9" s="1"/>
  <c r="K72" i="9"/>
  <c r="K71" i="9" s="1"/>
  <c r="K74" i="9"/>
  <c r="K73" i="9" s="1"/>
  <c r="K76" i="9"/>
  <c r="K75" i="9" s="1"/>
  <c r="K78" i="9"/>
  <c r="K77" i="9" s="1"/>
  <c r="K79" i="9"/>
  <c r="K80" i="9"/>
  <c r="K82" i="9"/>
  <c r="K81" i="9" s="1"/>
  <c r="K83" i="9"/>
  <c r="K84" i="9"/>
  <c r="K86" i="9"/>
  <c r="K85" i="9" s="1"/>
  <c r="K88" i="9"/>
  <c r="K87" i="9" s="1"/>
  <c r="K90" i="9"/>
  <c r="K89" i="9" s="1"/>
  <c r="K54" i="9"/>
  <c r="K53" i="9" s="1"/>
  <c r="H54" i="9" l="1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53" i="9"/>
  <c r="E91" i="9"/>
  <c r="E92" i="9"/>
  <c r="E9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53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54" i="9"/>
  <c r="I54" i="9" s="1"/>
  <c r="I55" i="9" l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E19" i="7"/>
  <c r="F19" i="7" s="1"/>
  <c r="G19" i="7" s="1"/>
  <c r="H19" i="7" s="1"/>
  <c r="I19" i="7" s="1"/>
  <c r="J19" i="7" s="1"/>
  <c r="E39" i="7"/>
  <c r="C23" i="6"/>
  <c r="H43" i="7"/>
  <c r="H42" i="7"/>
  <c r="J42" i="7"/>
  <c r="J8" i="7"/>
  <c r="F7" i="7"/>
  <c r="F15" i="7" s="1"/>
  <c r="G6" i="7"/>
  <c r="H6" i="7" s="1"/>
  <c r="K6" i="7" s="1"/>
  <c r="L20" i="6"/>
  <c r="C20" i="6"/>
  <c r="C24" i="6"/>
  <c r="F16" i="6"/>
  <c r="I16" i="6" s="1"/>
  <c r="K16" i="6" s="1"/>
  <c r="F15" i="6"/>
  <c r="I15" i="6" s="1"/>
  <c r="K15" i="6" s="1"/>
  <c r="I14" i="6"/>
  <c r="K14" i="6" s="1"/>
  <c r="F14" i="6"/>
  <c r="F13" i="6"/>
  <c r="I13" i="6" s="1"/>
  <c r="K13" i="6" s="1"/>
  <c r="F12" i="6"/>
  <c r="I12" i="6" s="1"/>
  <c r="K12" i="6" s="1"/>
  <c r="F11" i="6"/>
  <c r="I11" i="6" s="1"/>
  <c r="K11" i="6" s="1"/>
  <c r="F10" i="6"/>
  <c r="I10" i="6" s="1"/>
  <c r="K10" i="6" s="1"/>
  <c r="E9" i="6"/>
  <c r="F9" i="6" s="1"/>
  <c r="I9" i="6" s="1"/>
  <c r="K9" i="6" s="1"/>
  <c r="G7" i="5"/>
  <c r="C11" i="4"/>
  <c r="C7" i="5" l="1"/>
  <c r="G8" i="5"/>
  <c r="C13" i="7"/>
  <c r="F18" i="6"/>
  <c r="I18" i="6" s="1"/>
  <c r="K18" i="6" s="1"/>
  <c r="C9" i="7"/>
  <c r="C26" i="6"/>
  <c r="I42" i="7"/>
  <c r="K42" i="7" s="1"/>
  <c r="G7" i="7"/>
  <c r="G9" i="7" s="1"/>
  <c r="E16" i="7"/>
  <c r="I39" i="7"/>
  <c r="D31" i="7" s="1"/>
  <c r="C11" i="5"/>
  <c r="C9" i="8" s="1"/>
  <c r="K19" i="7"/>
  <c r="J25" i="7"/>
  <c r="C10" i="7"/>
  <c r="I43" i="7"/>
  <c r="I44" i="7" s="1"/>
  <c r="F13" i="7"/>
  <c r="F10" i="7"/>
  <c r="F9" i="7"/>
  <c r="F14" i="7"/>
  <c r="E18" i="7"/>
  <c r="C15" i="7"/>
  <c r="K20" i="6"/>
  <c r="K21" i="6"/>
  <c r="D20" i="6" s="1"/>
  <c r="C22" i="6" s="1"/>
  <c r="C25" i="6" s="1"/>
  <c r="C27" i="6" s="1"/>
  <c r="C10" i="8" s="1"/>
  <c r="G11" i="5"/>
  <c r="C13" i="4"/>
  <c r="G12" i="4" s="1"/>
  <c r="G13" i="4" s="1"/>
  <c r="C8" i="8" s="1"/>
  <c r="D33" i="7" l="1"/>
  <c r="D34" i="7"/>
  <c r="J43" i="7"/>
  <c r="G10" i="7"/>
  <c r="F11" i="7"/>
  <c r="F18" i="7" s="1"/>
  <c r="G13" i="7"/>
  <c r="G11" i="7"/>
  <c r="G14" i="7"/>
  <c r="G15" i="7"/>
  <c r="H7" i="7"/>
  <c r="H9" i="7" s="1"/>
  <c r="D30" i="7"/>
  <c r="C29" i="7"/>
  <c r="D32" i="7"/>
  <c r="F12" i="7"/>
  <c r="F16" i="7" s="1"/>
  <c r="F29" i="7" s="1"/>
  <c r="H10" i="7"/>
  <c r="K43" i="7"/>
  <c r="K44" i="7" s="1"/>
  <c r="C23" i="7" s="1"/>
  <c r="I7" i="7" l="1"/>
  <c r="I14" i="7" s="1"/>
  <c r="H14" i="7"/>
  <c r="H15" i="7"/>
  <c r="H13" i="7"/>
  <c r="G18" i="7"/>
  <c r="G12" i="7"/>
  <c r="G16" i="7" s="1"/>
  <c r="G29" i="7" s="1"/>
  <c r="E31" i="7" s="1"/>
  <c r="E30" i="7"/>
  <c r="H11" i="7"/>
  <c r="H12" i="7" s="1"/>
  <c r="H16" i="7" s="1"/>
  <c r="H29" i="7" s="1"/>
  <c r="E32" i="7" s="1"/>
  <c r="I15" i="7"/>
  <c r="J7" i="7"/>
  <c r="I13" i="7"/>
  <c r="I10" i="7"/>
  <c r="I9" i="7"/>
  <c r="H18" i="7" l="1"/>
  <c r="I11" i="7"/>
  <c r="I18" i="7" s="1"/>
  <c r="J13" i="7"/>
  <c r="J10" i="7"/>
  <c r="J9" i="7"/>
  <c r="J15" i="7"/>
  <c r="K7" i="7"/>
  <c r="J14" i="7"/>
  <c r="J11" i="7" l="1"/>
  <c r="J18" i="7" s="1"/>
  <c r="J22" i="7" s="1"/>
  <c r="I12" i="7"/>
  <c r="I16" i="7" s="1"/>
  <c r="I29" i="7" s="1"/>
  <c r="E33" i="7" s="1"/>
  <c r="K13" i="7"/>
  <c r="K10" i="7"/>
  <c r="K9" i="7"/>
  <c r="K15" i="7"/>
  <c r="K14" i="7"/>
  <c r="J12" i="7" l="1"/>
  <c r="J16" i="7" s="1"/>
  <c r="K11" i="7"/>
  <c r="K18" i="7" s="1"/>
  <c r="K12" i="7" l="1"/>
  <c r="K16" i="7" s="1"/>
  <c r="J23" i="7" s="1"/>
  <c r="J24" i="7" s="1"/>
  <c r="J27" i="7" s="1"/>
  <c r="J29" i="7" s="1"/>
  <c r="E34" i="7" s="1"/>
  <c r="E35" i="7" s="1"/>
  <c r="E38" i="7" s="1"/>
  <c r="E40" i="7" s="1"/>
  <c r="C11" i="8" s="1"/>
  <c r="C13" i="8" s="1"/>
  <c r="F16" i="2"/>
  <c r="F17" i="2"/>
  <c r="H17" i="2"/>
  <c r="J9" i="3"/>
  <c r="K9" i="3" s="1"/>
  <c r="J13" i="3"/>
  <c r="K13" i="3" s="1"/>
  <c r="I6" i="3"/>
  <c r="I7" i="3"/>
  <c r="I8" i="3"/>
  <c r="J8" i="3" s="1"/>
  <c r="K8" i="3" s="1"/>
  <c r="I9" i="3"/>
  <c r="I10" i="3"/>
  <c r="I11" i="3"/>
  <c r="I12" i="3"/>
  <c r="J12" i="3" s="1"/>
  <c r="K12" i="3" s="1"/>
  <c r="I13" i="3"/>
  <c r="I5" i="3"/>
  <c r="F6" i="3"/>
  <c r="J6" i="3" s="1"/>
  <c r="K6" i="3" s="1"/>
  <c r="F7" i="3"/>
  <c r="J7" i="3" s="1"/>
  <c r="K7" i="3" s="1"/>
  <c r="F8" i="3"/>
  <c r="F9" i="3"/>
  <c r="F10" i="3"/>
  <c r="J10" i="3" s="1"/>
  <c r="K10" i="3" s="1"/>
  <c r="F11" i="3"/>
  <c r="J11" i="3" s="1"/>
  <c r="K11" i="3" s="1"/>
  <c r="F12" i="3"/>
  <c r="F13" i="3"/>
  <c r="F5" i="3"/>
  <c r="J5" i="3" s="1"/>
  <c r="K5" i="3" s="1"/>
  <c r="J17" i="2" l="1"/>
  <c r="F5" i="2"/>
  <c r="I5" i="2" s="1"/>
  <c r="D13" i="2"/>
  <c r="F13" i="2" s="1"/>
  <c r="F12" i="2"/>
  <c r="D6" i="2"/>
  <c r="F6" i="2" s="1"/>
  <c r="H12" i="2" l="1"/>
  <c r="H16" i="2" s="1"/>
  <c r="M5" i="2"/>
  <c r="I6" i="2"/>
  <c r="H13" i="2" s="1"/>
  <c r="B2" i="1"/>
  <c r="D2" i="1" s="1"/>
  <c r="M6" i="2" l="1"/>
  <c r="K17" i="2" s="1"/>
  <c r="M17" i="2" s="1"/>
  <c r="I12" i="2"/>
  <c r="I16" i="2" s="1"/>
  <c r="J16" i="2" s="1"/>
  <c r="K16" i="2" s="1"/>
  <c r="M16" i="2" s="1"/>
  <c r="J13" i="2" l="1"/>
  <c r="K13" i="2" s="1"/>
  <c r="M13" i="2" s="1"/>
  <c r="J12" i="2"/>
  <c r="K12" i="2" s="1"/>
  <c r="M12" i="2" s="1"/>
</calcChain>
</file>

<file path=xl/sharedStrings.xml><?xml version="1.0" encoding="utf-8"?>
<sst xmlns="http://schemas.openxmlformats.org/spreadsheetml/2006/main" count="228" uniqueCount="200">
  <si>
    <t>Market Maker</t>
  </si>
  <si>
    <t>Bid</t>
  </si>
  <si>
    <t>Ask</t>
  </si>
  <si>
    <t>MLCO</t>
  </si>
  <si>
    <t>MHMY</t>
  </si>
  <si>
    <t>SALD</t>
  </si>
  <si>
    <t>WEED</t>
  </si>
  <si>
    <t>Fig. 10.1</t>
  </si>
  <si>
    <t xml:space="preserve">ORDER BOOK </t>
  </si>
  <si>
    <t>ABC Company (ABCC)</t>
  </si>
  <si>
    <t>Size
(100's)
Bid/Ask</t>
  </si>
  <si>
    <t>10/12</t>
  </si>
  <si>
    <t>16/25</t>
  </si>
  <si>
    <t>10/15</t>
  </si>
  <si>
    <t>15/19</t>
  </si>
  <si>
    <t>NASDAQ REAL TIME PRICES</t>
  </si>
  <si>
    <t>Buying on Margin</t>
  </si>
  <si>
    <t>Buying on Margin Vs No-Margin</t>
  </si>
  <si>
    <t>Buying with on Margin</t>
  </si>
  <si>
    <t>Stock Price</t>
  </si>
  <si>
    <t>Obtaining 
Margin Loan</t>
  </si>
  <si>
    <t>Margin Loan</t>
  </si>
  <si>
    <t>Initial 
Cash
by Investor</t>
  </si>
  <si>
    <t>Annual Interest 
on Margin Loan (Cost) %</t>
  </si>
  <si>
    <t>Initial Purchase of Stock</t>
  </si>
  <si>
    <t>Final Sale of Stock</t>
  </si>
  <si>
    <t>Profit</t>
  </si>
  <si>
    <t>Total 
Proceeds</t>
  </si>
  <si>
    <t>HPR%</t>
  </si>
  <si>
    <t>Profit / Initial Investment</t>
  </si>
  <si>
    <t>Year 0</t>
  </si>
  <si>
    <t>Year 1</t>
  </si>
  <si>
    <t>Net Profit
Less Initial 
Cash by Investor</t>
  </si>
  <si>
    <t>Figure 10.2</t>
  </si>
  <si>
    <t>Investment</t>
  </si>
  <si>
    <t>Selling Short</t>
  </si>
  <si>
    <t>Short Sell
Stock Price</t>
  </si>
  <si>
    <t>Shares
Borrowed</t>
  </si>
  <si>
    <t>Credit
on Short
Sale</t>
  </si>
  <si>
    <t>Figure 10.3</t>
  </si>
  <si>
    <t>Initial Short Sale</t>
  </si>
  <si>
    <t>Short Sale</t>
  </si>
  <si>
    <t>Margin Percentage
%</t>
  </si>
  <si>
    <t>Stock 
Price</t>
  </si>
  <si>
    <t>Profit/Loss</t>
  </si>
  <si>
    <t xml:space="preserve"> HPR%</t>
  </si>
  <si>
    <t>Buying the Stock / Cover Short Sale</t>
  </si>
  <si>
    <t>Payment to 
Purchase 
New Shares</t>
  </si>
  <si>
    <t>Purchase
Stock Price
@</t>
  </si>
  <si>
    <t>Sell Stock Price 
@</t>
  </si>
  <si>
    <t>Number of
Shares
Purchased</t>
  </si>
  <si>
    <t>Total 
Cost</t>
  </si>
  <si>
    <t>Payment of
Margin 
Loan</t>
  </si>
  <si>
    <t>Payment of Interest Expense</t>
  </si>
  <si>
    <t>Net Proceeds
After 
Loan
Payment</t>
  </si>
  <si>
    <t>Selling @ a gain</t>
  </si>
  <si>
    <t>Selling @ a loss</t>
  </si>
  <si>
    <t>Hyatt Hotels Corporation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</si>
  <si>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</si>
  <si>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</si>
  <si>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</si>
  <si>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</si>
  <si>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</si>
  <si>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</si>
  <si>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</si>
  <si>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</si>
  <si>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</si>
  <si>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</si>
  <si>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</si>
  <si>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</si>
  <si>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</si>
  <si>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</si>
  <si>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Hyatt's Enteprise Value</t>
  </si>
  <si>
    <t>Figure 10.4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</si>
  <si>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</si>
  <si>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</si>
  <si>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</si>
  <si>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</si>
  <si>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</si>
  <si>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</si>
  <si>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</si>
  <si>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</si>
  <si>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</si>
  <si>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</si>
  <si>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>SP</t>
  </si>
  <si>
    <t>SO</t>
  </si>
  <si>
    <t>SP * SO = EQ</t>
  </si>
  <si>
    <t>D</t>
  </si>
  <si>
    <t>C</t>
  </si>
  <si>
    <t>EQ + D - C = EV</t>
  </si>
  <si>
    <t>E</t>
  </si>
  <si>
    <t>EV / E</t>
  </si>
  <si>
    <t>Company</t>
  </si>
  <si>
    <t>Symbol</t>
  </si>
  <si>
    <t>Stocks Outstanding ($000)</t>
  </si>
  <si>
    <t>Debt (ST&amp;LT)
($000)</t>
  </si>
  <si>
    <t>Cash
 ($000)</t>
  </si>
  <si>
    <t>Enterprise Value 
($000)</t>
  </si>
  <si>
    <t>EBITDA Multiple</t>
  </si>
  <si>
    <t>Beta</t>
  </si>
  <si>
    <t>Choice Hotels International</t>
  </si>
  <si>
    <t>CHH</t>
  </si>
  <si>
    <t>Hilton Worldwide Holdings Inc.</t>
  </si>
  <si>
    <t>HLT</t>
  </si>
  <si>
    <t>Intercontinental Hotel</t>
  </si>
  <si>
    <t>IHG</t>
  </si>
  <si>
    <t>Marcus Corporation</t>
  </si>
  <si>
    <t>MCS</t>
  </si>
  <si>
    <t>Marriott International</t>
  </si>
  <si>
    <t>MAR</t>
  </si>
  <si>
    <t>Park Hotels &amp; Resorts Inc.</t>
  </si>
  <si>
    <t>PK</t>
  </si>
  <si>
    <t>Belmond (A/K Orient Express Hotels Ltd)</t>
  </si>
  <si>
    <t>BEL</t>
  </si>
  <si>
    <t>Wyndham Worldwide</t>
  </si>
  <si>
    <t>WYN</t>
  </si>
  <si>
    <t>Hyatt</t>
  </si>
  <si>
    <t>HOT</t>
  </si>
  <si>
    <t>EBITDA * Average Multiple</t>
  </si>
  <si>
    <t>Average</t>
  </si>
  <si>
    <t>Outliers</t>
  </si>
  <si>
    <t>Figure 10.6</t>
  </si>
  <si>
    <t xml:space="preserve">Average  EBITDA  Industry Trading Multiples </t>
  </si>
  <si>
    <t>Dividend Discount Model (DDM)</t>
  </si>
  <si>
    <t>Intrinsic Value</t>
  </si>
  <si>
    <t xml:space="preserve">  year =</t>
  </si>
  <si>
    <t>Discout Cash Flow Valuation Analysis</t>
  </si>
  <si>
    <t>Historical</t>
  </si>
  <si>
    <t>Projected</t>
  </si>
  <si>
    <t>Input Actual</t>
  </si>
  <si>
    <t>EXIT YEAR</t>
  </si>
  <si>
    <t>Assumptions</t>
  </si>
  <si>
    <t>Revenues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</si>
  <si>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</si>
  <si>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</si>
  <si>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</si>
  <si>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</si>
  <si>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</si>
  <si>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</si>
  <si>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>Less Working Capital</t>
  </si>
  <si>
    <t xml:space="preserve">Less Capex </t>
  </si>
  <si>
    <t>Cash Flow</t>
  </si>
  <si>
    <t>EBITDA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</si>
  <si>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</si>
  <si>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</si>
  <si>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</si>
  <si>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</si>
  <si>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</si>
  <si>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</si>
  <si>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</si>
  <si>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 xml:space="preserve"> (80% of WACC)</t>
  </si>
  <si>
    <t>Less Debt Outstanding (at Exit)</t>
  </si>
  <si>
    <t>Plus Cash (at Exit)</t>
  </si>
  <si>
    <t>Equity Value at Terminal</t>
  </si>
  <si>
    <t>PV (for $1)</t>
  </si>
  <si>
    <t>Equity Cash Flows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</si>
  <si>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</si>
  <si>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</si>
  <si>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</si>
  <si>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</si>
  <si>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</si>
  <si>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</si>
  <si>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</si>
  <si>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</si>
  <si>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</si>
  <si>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</si>
  <si>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</si>
  <si>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</si>
  <si>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</si>
  <si>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</si>
  <si>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>Expected Equity Return =</t>
  </si>
  <si>
    <t>WACC Calc:</t>
  </si>
  <si>
    <t xml:space="preserve">  % Cap</t>
  </si>
  <si>
    <t xml:space="preserve"> AT RoR</t>
  </si>
  <si>
    <t>WACC</t>
  </si>
  <si>
    <t>Debt</t>
  </si>
  <si>
    <t>BV Equity</t>
  </si>
  <si>
    <t>Figure 10.7</t>
  </si>
  <si>
    <t>Discount Cash Flow Valuation Analysis</t>
  </si>
  <si>
    <t>Less Debt</t>
  </si>
  <si>
    <t>Plus Cash</t>
  </si>
  <si>
    <t>Equity Price</t>
  </si>
  <si>
    <t>Shares Outstanding</t>
  </si>
  <si>
    <t>Book Value Equity</t>
  </si>
  <si>
    <t xml:space="preserve">  Average of other methods</t>
  </si>
  <si>
    <t>Market Value / Using the Stock Price</t>
  </si>
  <si>
    <t>V0 (Stock Price)=</t>
  </si>
  <si>
    <t>V0 (Stock Pice) =</t>
  </si>
  <si>
    <t>Figure 10.4a</t>
  </si>
  <si>
    <t>Figure 10.4c</t>
  </si>
  <si>
    <t>Figure  10.9</t>
  </si>
  <si>
    <t>Figure 10.8</t>
  </si>
  <si>
    <t>Fig. 10.5</t>
  </si>
  <si>
    <t>Figure 10.4d</t>
  </si>
  <si>
    <t>TECHNICAL ANALYSIS (Chart Analysis)</t>
  </si>
  <si>
    <t>Equity 
Value
 ($000)</t>
  </si>
  <si>
    <t>EBITDA 
($000)</t>
  </si>
  <si>
    <t>Average  EBITDA  Industry Trading Multiples (Hotels)</t>
  </si>
  <si>
    <t>12/31/2019</t>
  </si>
  <si>
    <t>Interest 12/19 ($ 000s)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</si>
</sst>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0.00\x"/>
    <numFmt numFmtId="167" formatCode="_(* #,##0_);_(* \(#,##0\);_(* &quot;-&quot;??_);_(@_)"/>
    <numFmt numFmtId="168" formatCode="0.0\x"/>
    <numFmt numFmtId="169" formatCode="_(* #,##0.0000000_);_(* \(#,##0.0000000\);_(* &quot;-&quot;??_);_(@_)"/>
    <numFmt numFmtId="170" formatCode="0.000%"/>
    <numFmt numFmtId="171" formatCode="0.000"/>
    <numFmt numFmtId="172" formatCode="&quot;$&quot;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8"/>
      <name val="Times New Roman"/>
      <family val="1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  <font>
      <sz val="10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6" fontId="4" fillId="0" borderId="4" xfId="0" quotePrefix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" fontId="4" fillId="0" borderId="0" xfId="0" applyNumberFormat="1" applyFont="1" applyAlignment="1">
      <alignment horizontal="center" vertical="center" wrapText="1"/>
    </xf>
    <xf numFmtId="2" fontId="5" fillId="0" borderId="0" xfId="0" applyNumberFormat="1" applyFont="1"/>
    <xf numFmtId="0" fontId="6" fillId="0" borderId="0" xfId="0" applyFont="1"/>
    <xf numFmtId="10" fontId="7" fillId="0" borderId="0" xfId="1" applyNumberFormat="1" applyFont="1" applyAlignment="1">
      <alignment horizontal="left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10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vertical="center" wrapText="1"/>
    </xf>
    <xf numFmtId="0" fontId="0" fillId="0" borderId="5" xfId="0" applyBorder="1"/>
    <xf numFmtId="44" fontId="0" fillId="0" borderId="5" xfId="3" applyFont="1" applyBorder="1"/>
    <xf numFmtId="0" fontId="0" fillId="0" borderId="5" xfId="0" applyBorder="1" applyAlignment="1">
      <alignment horizontal="center"/>
    </xf>
    <xf numFmtId="164" fontId="0" fillId="0" borderId="5" xfId="0" applyNumberFormat="1" applyBorder="1"/>
    <xf numFmtId="10" fontId="0" fillId="0" borderId="5" xfId="1" applyNumberFormat="1" applyFont="1" applyBorder="1"/>
    <xf numFmtId="10" fontId="0" fillId="0" borderId="5" xfId="0" applyNumberFormat="1" applyBorder="1"/>
    <xf numFmtId="9" fontId="0" fillId="0" borderId="5" xfId="1" applyFont="1" applyBorder="1"/>
    <xf numFmtId="164" fontId="9" fillId="0" borderId="5" xfId="0" applyNumberFormat="1" applyFont="1" applyBorder="1"/>
    <xf numFmtId="10" fontId="9" fillId="0" borderId="5" xfId="1" applyNumberFormat="1" applyFont="1" applyBorder="1"/>
    <xf numFmtId="165" fontId="0" fillId="0" borderId="5" xfId="1" applyNumberFormat="1" applyFont="1" applyBorder="1"/>
    <xf numFmtId="0" fontId="0" fillId="0" borderId="0" xfId="0" applyAlignment="1">
      <alignment vertical="center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6" fontId="0" fillId="0" borderId="0" xfId="0" applyNumberFormat="1"/>
    <xf numFmtId="0" fontId="13" fillId="4" borderId="0" xfId="0" applyFont="1" applyFill="1"/>
    <xf numFmtId="0" fontId="14" fillId="4" borderId="0" xfId="0" applyFont="1" applyFill="1"/>
    <xf numFmtId="0" fontId="16" fillId="0" borderId="0" xfId="0" applyFont="1"/>
    <xf numFmtId="0" fontId="18" fillId="0" borderId="0" xfId="0" applyFont="1"/>
    <xf numFmtId="0" fontId="17" fillId="0" borderId="0" xfId="0" applyFont="1"/>
    <xf numFmtId="10" fontId="18" fillId="0" borderId="0" xfId="0" applyNumberFormat="1" applyFont="1"/>
    <xf numFmtId="8" fontId="18" fillId="0" borderId="0" xfId="0" applyNumberFormat="1" applyFont="1"/>
    <xf numFmtId="166" fontId="18" fillId="0" borderId="0" xfId="0" applyNumberFormat="1" applyFont="1"/>
    <xf numFmtId="8" fontId="19" fillId="0" borderId="0" xfId="0" applyNumberFormat="1" applyFont="1"/>
    <xf numFmtId="0" fontId="20" fillId="0" borderId="0" xfId="0" quotePrefix="1" applyFont="1"/>
    <xf numFmtId="166" fontId="0" fillId="0" borderId="0" xfId="0" applyNumberFormat="1"/>
    <xf numFmtId="165" fontId="18" fillId="0" borderId="0" xfId="0" applyNumberFormat="1" applyFont="1"/>
    <xf numFmtId="0" fontId="16" fillId="5" borderId="8" xfId="0" applyFont="1" applyFill="1" applyBorder="1"/>
    <xf numFmtId="0" fontId="0" fillId="2" borderId="9" xfId="0" applyFill="1" applyBorder="1"/>
    <xf numFmtId="44" fontId="16" fillId="5" borderId="2" xfId="3" applyFont="1" applyFill="1" applyBorder="1"/>
    <xf numFmtId="0" fontId="0" fillId="0" borderId="10" xfId="0" applyBorder="1"/>
    <xf numFmtId="0" fontId="0" fillId="0" borderId="4" xfId="0" applyBorder="1"/>
    <xf numFmtId="0" fontId="0" fillId="0" borderId="0" xfId="0" quotePrefix="1"/>
    <xf numFmtId="165" fontId="19" fillId="0" borderId="0" xfId="1" applyNumberFormat="1" applyFont="1"/>
    <xf numFmtId="44" fontId="18" fillId="0" borderId="0" xfId="3" applyFont="1"/>
    <xf numFmtId="10" fontId="16" fillId="5" borderId="2" xfId="1" applyNumberFormat="1" applyFont="1" applyFill="1" applyBorder="1"/>
    <xf numFmtId="0" fontId="10" fillId="0" borderId="0" xfId="0" applyFont="1"/>
    <xf numFmtId="0" fontId="11" fillId="0" borderId="0" xfId="0" applyFont="1"/>
    <xf numFmtId="0" fontId="12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22" fillId="0" borderId="12" xfId="0" applyFont="1" applyBorder="1" applyAlignment="1">
      <alignment horizontal="center" vertical="center"/>
    </xf>
    <xf numFmtId="0" fontId="22" fillId="0" borderId="12" xfId="0" quotePrefix="1" applyFont="1" applyBorder="1" applyAlignment="1">
      <alignment horizontal="center" vertical="center"/>
    </xf>
    <xf numFmtId="0" fontId="16" fillId="6" borderId="13" xfId="0" applyFont="1" applyFill="1" applyBorder="1"/>
    <xf numFmtId="0" fontId="16" fillId="6" borderId="14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 wrapText="1"/>
    </xf>
    <xf numFmtId="0" fontId="16" fillId="6" borderId="15" xfId="0" applyFont="1" applyFill="1" applyBorder="1" applyAlignment="1">
      <alignment horizontal="center" wrapText="1"/>
    </xf>
    <xf numFmtId="0" fontId="16" fillId="6" borderId="16" xfId="0" applyFont="1" applyFill="1" applyBorder="1" applyAlignment="1">
      <alignment horizontal="center" wrapText="1"/>
    </xf>
    <xf numFmtId="0" fontId="16" fillId="7" borderId="1" xfId="0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/>
    </xf>
    <xf numFmtId="167" fontId="23" fillId="0" borderId="18" xfId="2" applyNumberFormat="1" applyFont="1" applyBorder="1"/>
    <xf numFmtId="167" fontId="20" fillId="0" borderId="18" xfId="2" applyNumberFormat="1" applyFont="1" applyBorder="1"/>
    <xf numFmtId="167" fontId="23" fillId="0" borderId="19" xfId="2" applyNumberFormat="1" applyFont="1" applyBorder="1"/>
    <xf numFmtId="167" fontId="23" fillId="0" borderId="20" xfId="2" applyNumberFormat="1" applyFont="1" applyBorder="1"/>
    <xf numFmtId="167" fontId="24" fillId="7" borderId="21" xfId="2" applyNumberFormat="1" applyFont="1" applyFill="1" applyBorder="1"/>
    <xf numFmtId="166" fontId="25" fillId="7" borderId="21" xfId="2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/>
    </xf>
    <xf numFmtId="167" fontId="23" fillId="0" borderId="12" xfId="2" applyNumberFormat="1" applyFont="1" applyBorder="1"/>
    <xf numFmtId="167" fontId="23" fillId="0" borderId="23" xfId="2" applyNumberFormat="1" applyFont="1" applyBorder="1"/>
    <xf numFmtId="167" fontId="23" fillId="0" borderId="24" xfId="2" applyNumberFormat="1" applyFont="1" applyBorder="1"/>
    <xf numFmtId="44" fontId="20" fillId="0" borderId="12" xfId="3" applyFont="1" applyBorder="1" applyAlignment="1">
      <alignment horizontal="center"/>
    </xf>
    <xf numFmtId="0" fontId="11" fillId="0" borderId="25" xfId="0" applyFont="1" applyBorder="1" applyAlignment="1">
      <alignment horizontal="left" vertical="center" wrapText="1"/>
    </xf>
    <xf numFmtId="44" fontId="20" fillId="0" borderId="26" xfId="3" applyFont="1" applyBorder="1" applyAlignment="1">
      <alignment horizontal="center"/>
    </xf>
    <xf numFmtId="167" fontId="23" fillId="0" borderId="26" xfId="2" applyNumberFormat="1" applyFont="1" applyBorder="1"/>
    <xf numFmtId="167" fontId="20" fillId="0" borderId="27" xfId="2" applyNumberFormat="1" applyFont="1" applyBorder="1"/>
    <xf numFmtId="167" fontId="23" fillId="0" borderId="28" xfId="2" applyNumberFormat="1" applyFont="1" applyBorder="1"/>
    <xf numFmtId="167" fontId="23" fillId="0" borderId="29" xfId="2" applyNumberFormat="1" applyFont="1" applyBorder="1"/>
    <xf numFmtId="167" fontId="24" fillId="7" borderId="3" xfId="2" applyNumberFormat="1" applyFont="1" applyFill="1" applyBorder="1"/>
    <xf numFmtId="166" fontId="25" fillId="7" borderId="3" xfId="2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44" fontId="20" fillId="0" borderId="14" xfId="3" applyFont="1" applyBorder="1" applyAlignment="1">
      <alignment horizontal="center"/>
    </xf>
    <xf numFmtId="167" fontId="20" fillId="0" borderId="14" xfId="2" applyNumberFormat="1" applyFont="1" applyBorder="1"/>
    <xf numFmtId="167" fontId="20" fillId="0" borderId="15" xfId="2" applyNumberFormat="1" applyFont="1" applyBorder="1"/>
    <xf numFmtId="167" fontId="20" fillId="0" borderId="16" xfId="2" applyNumberFormat="1" applyFont="1" applyBorder="1"/>
    <xf numFmtId="167" fontId="24" fillId="7" borderId="1" xfId="2" applyNumberFormat="1" applyFont="1" applyFill="1" applyBorder="1"/>
    <xf numFmtId="166" fontId="25" fillId="7" borderId="1" xfId="2" applyNumberFormat="1" applyFont="1" applyFill="1" applyBorder="1" applyAlignment="1">
      <alignment horizontal="center"/>
    </xf>
    <xf numFmtId="167" fontId="0" fillId="0" borderId="0" xfId="2" applyNumberFormat="1" applyFont="1"/>
    <xf numFmtId="166" fontId="20" fillId="0" borderId="0" xfId="0" applyNumberFormat="1" applyFont="1"/>
    <xf numFmtId="167" fontId="0" fillId="0" borderId="0" xfId="0" applyNumberFormat="1"/>
    <xf numFmtId="166" fontId="24" fillId="0" borderId="0" xfId="0" applyNumberFormat="1" applyFont="1"/>
    <xf numFmtId="0" fontId="20" fillId="0" borderId="0" xfId="0" applyFont="1"/>
    <xf numFmtId="0" fontId="12" fillId="4" borderId="0" xfId="0" applyFont="1" applyFill="1"/>
    <xf numFmtId="0" fontId="26" fillId="0" borderId="5" xfId="0" applyFont="1" applyBorder="1" applyAlignment="1">
      <alignment horizontal="right"/>
    </xf>
    <xf numFmtId="0" fontId="26" fillId="0" borderId="5" xfId="0" applyFont="1" applyBorder="1" applyAlignment="1">
      <alignment horizontal="center"/>
    </xf>
    <xf numFmtId="0" fontId="16" fillId="6" borderId="3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16" fillId="6" borderId="21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14" fontId="27" fillId="6" borderId="3" xfId="0" quotePrefix="1" applyNumberFormat="1" applyFont="1" applyFill="1" applyBorder="1" applyAlignment="1">
      <alignment horizontal="center"/>
    </xf>
    <xf numFmtId="14" fontId="16" fillId="6" borderId="11" xfId="0" applyNumberFormat="1" applyFont="1" applyFill="1" applyBorder="1" applyAlignment="1">
      <alignment horizontal="right"/>
    </xf>
    <xf numFmtId="14" fontId="16" fillId="6" borderId="3" xfId="0" applyNumberFormat="1" applyFont="1" applyFill="1" applyBorder="1" applyAlignment="1">
      <alignment horizontal="right"/>
    </xf>
    <xf numFmtId="9" fontId="19" fillId="0" borderId="30" xfId="0" applyNumberFormat="1" applyFont="1" applyBorder="1" applyAlignment="1">
      <alignment horizontal="center"/>
    </xf>
    <xf numFmtId="9" fontId="19" fillId="0" borderId="0" xfId="0" applyNumberFormat="1" applyFont="1" applyAlignment="1">
      <alignment horizontal="center"/>
    </xf>
    <xf numFmtId="167" fontId="19" fillId="0" borderId="31" xfId="2" applyNumberFormat="1" applyFont="1" applyBorder="1"/>
    <xf numFmtId="167" fontId="0" fillId="0" borderId="31" xfId="2" applyNumberFormat="1" applyFont="1" applyBorder="1"/>
    <xf numFmtId="167" fontId="0" fillId="0" borderId="7" xfId="2" applyNumberFormat="1" applyFont="1" applyBorder="1"/>
    <xf numFmtId="165" fontId="19" fillId="0" borderId="30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7" fontId="18" fillId="0" borderId="31" xfId="2" applyNumberFormat="1" applyFont="1" applyBorder="1"/>
    <xf numFmtId="165" fontId="23" fillId="0" borderId="0" xfId="1" applyNumberFormat="1" applyFont="1"/>
    <xf numFmtId="165" fontId="23" fillId="0" borderId="31" xfId="1" applyNumberFormat="1" applyFont="1" applyBorder="1"/>
    <xf numFmtId="165" fontId="23" fillId="0" borderId="7" xfId="1" applyNumberFormat="1" applyFont="1" applyBorder="1"/>
    <xf numFmtId="0" fontId="18" fillId="0" borderId="0" xfId="0" quotePrefix="1" applyFont="1" applyAlignment="1">
      <alignment shrinkToFit="1"/>
    </xf>
    <xf numFmtId="167" fontId="19" fillId="0" borderId="21" xfId="2" applyNumberFormat="1" applyFont="1" applyBorder="1"/>
    <xf numFmtId="167" fontId="0" fillId="0" borderId="5" xfId="2" applyNumberFormat="1" applyFont="1" applyBorder="1"/>
    <xf numFmtId="167" fontId="0" fillId="0" borderId="21" xfId="2" applyNumberFormat="1" applyFont="1" applyBorder="1"/>
    <xf numFmtId="167" fontId="0" fillId="0" borderId="32" xfId="2" applyNumberFormat="1" applyFont="1" applyBorder="1"/>
    <xf numFmtId="0" fontId="19" fillId="0" borderId="3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30" xfId="0" applyBorder="1"/>
    <xf numFmtId="167" fontId="16" fillId="0" borderId="33" xfId="2" applyNumberFormat="1" applyFont="1" applyBorder="1"/>
    <xf numFmtId="167" fontId="16" fillId="0" borderId="34" xfId="2" applyNumberFormat="1" applyFont="1" applyBorder="1"/>
    <xf numFmtId="167" fontId="16" fillId="0" borderId="35" xfId="2" applyNumberFormat="1" applyFont="1" applyBorder="1"/>
    <xf numFmtId="0" fontId="0" fillId="0" borderId="36" xfId="0" applyBorder="1"/>
    <xf numFmtId="167" fontId="16" fillId="0" borderId="36" xfId="0" applyNumberFormat="1" applyFont="1" applyBorder="1"/>
    <xf numFmtId="167" fontId="16" fillId="0" borderId="37" xfId="0" applyNumberFormat="1" applyFont="1" applyBorder="1"/>
    <xf numFmtId="167" fontId="16" fillId="0" borderId="38" xfId="0" applyNumberFormat="1" applyFont="1" applyBorder="1"/>
    <xf numFmtId="0" fontId="16" fillId="0" borderId="5" xfId="0" applyFont="1" applyBorder="1"/>
    <xf numFmtId="167" fontId="16" fillId="0" borderId="5" xfId="0" applyNumberFormat="1" applyFont="1" applyBorder="1"/>
    <xf numFmtId="167" fontId="16" fillId="0" borderId="21" xfId="2" applyNumberFormat="1" applyFont="1" applyBorder="1"/>
    <xf numFmtId="167" fontId="16" fillId="0" borderId="32" xfId="2" applyNumberFormat="1" applyFont="1" applyBorder="1"/>
    <xf numFmtId="0" fontId="0" fillId="0" borderId="31" xfId="0" applyBorder="1"/>
    <xf numFmtId="0" fontId="28" fillId="0" borderId="0" xfId="0" applyFont="1"/>
    <xf numFmtId="0" fontId="16" fillId="0" borderId="11" xfId="0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168" fontId="0" fillId="0" borderId="0" xfId="0" applyNumberFormat="1"/>
    <xf numFmtId="167" fontId="0" fillId="0" borderId="31" xfId="0" applyNumberFormat="1" applyBorder="1"/>
    <xf numFmtId="10" fontId="19" fillId="0" borderId="0" xfId="0" applyNumberFormat="1" applyFont="1"/>
    <xf numFmtId="0" fontId="20" fillId="0" borderId="0" xfId="0" quotePrefix="1" applyFont="1" applyAlignment="1">
      <alignment shrinkToFit="1"/>
    </xf>
    <xf numFmtId="167" fontId="0" fillId="0" borderId="37" xfId="2" applyNumberFormat="1" applyFont="1" applyBorder="1"/>
    <xf numFmtId="167" fontId="0" fillId="0" borderId="21" xfId="0" applyNumberFormat="1" applyBorder="1"/>
    <xf numFmtId="0" fontId="24" fillId="0" borderId="30" xfId="0" applyFont="1" applyBorder="1" applyAlignment="1">
      <alignment horizontal="center"/>
    </xf>
    <xf numFmtId="0" fontId="0" fillId="0" borderId="34" xfId="0" applyBorder="1"/>
    <xf numFmtId="165" fontId="16" fillId="0" borderId="34" xfId="0" applyNumberFormat="1" applyFont="1" applyBorder="1"/>
    <xf numFmtId="0" fontId="0" fillId="0" borderId="39" xfId="0" applyBorder="1"/>
    <xf numFmtId="167" fontId="16" fillId="0" borderId="34" xfId="0" applyNumberFormat="1" applyFont="1" applyBorder="1"/>
    <xf numFmtId="167" fontId="16" fillId="0" borderId="33" xfId="0" applyNumberFormat="1" applyFont="1" applyBorder="1"/>
    <xf numFmtId="0" fontId="16" fillId="0" borderId="0" xfId="0" applyFont="1" applyAlignment="1">
      <alignment horizontal="right"/>
    </xf>
    <xf numFmtId="169" fontId="16" fillId="0" borderId="30" xfId="2" applyNumberFormat="1" applyFont="1" applyBorder="1"/>
    <xf numFmtId="6" fontId="16" fillId="0" borderId="0" xfId="0" applyNumberFormat="1" applyFont="1"/>
    <xf numFmtId="43" fontId="0" fillId="0" borderId="0" xfId="0" applyNumberFormat="1"/>
    <xf numFmtId="6" fontId="16" fillId="0" borderId="34" xfId="0" applyNumberFormat="1" applyFont="1" applyBorder="1"/>
    <xf numFmtId="0" fontId="21" fillId="6" borderId="8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9" fillId="6" borderId="8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16" fillId="0" borderId="6" xfId="0" applyFont="1" applyBorder="1"/>
    <xf numFmtId="10" fontId="16" fillId="0" borderId="7" xfId="0" applyNumberFormat="1" applyFont="1" applyBorder="1"/>
    <xf numFmtId="0" fontId="17" fillId="0" borderId="0" xfId="0" applyFont="1" applyAlignment="1">
      <alignment horizontal="right"/>
    </xf>
    <xf numFmtId="6" fontId="17" fillId="0" borderId="0" xfId="0" applyNumberFormat="1" applyFont="1"/>
    <xf numFmtId="166" fontId="16" fillId="0" borderId="7" xfId="0" applyNumberFormat="1" applyFont="1" applyBorder="1"/>
    <xf numFmtId="167" fontId="16" fillId="0" borderId="0" xfId="0" applyNumberFormat="1" applyFont="1"/>
    <xf numFmtId="0" fontId="16" fillId="0" borderId="10" xfId="0" applyFont="1" applyBorder="1"/>
    <xf numFmtId="0" fontId="16" fillId="0" borderId="11" xfId="0" applyFont="1" applyBorder="1"/>
    <xf numFmtId="165" fontId="16" fillId="0" borderId="1" xfId="1" applyNumberFormat="1" applyFont="1" applyBorder="1"/>
    <xf numFmtId="0" fontId="21" fillId="6" borderId="9" xfId="0" applyFont="1" applyFill="1" applyBorder="1" applyAlignment="1">
      <alignment horizontal="right" vertical="center"/>
    </xf>
    <xf numFmtId="0" fontId="21" fillId="6" borderId="2" xfId="0" applyFont="1" applyFill="1" applyBorder="1" applyAlignment="1">
      <alignment horizontal="right" vertical="center"/>
    </xf>
    <xf numFmtId="165" fontId="16" fillId="0" borderId="0" xfId="1" applyNumberFormat="1" applyFont="1"/>
    <xf numFmtId="170" fontId="16" fillId="0" borderId="0" xfId="1" applyNumberFormat="1" applyFont="1"/>
    <xf numFmtId="170" fontId="16" fillId="0" borderId="7" xfId="1" applyNumberFormat="1" applyFont="1" applyBorder="1"/>
    <xf numFmtId="170" fontId="16" fillId="0" borderId="0" xfId="0" applyNumberFormat="1" applyFont="1"/>
    <xf numFmtId="167" fontId="16" fillId="0" borderId="11" xfId="0" applyNumberFormat="1" applyFont="1" applyBorder="1"/>
    <xf numFmtId="165" fontId="16" fillId="0" borderId="40" xfId="1" applyNumberFormat="1" applyFont="1" applyBorder="1"/>
    <xf numFmtId="0" fontId="16" fillId="0" borderId="40" xfId="0" applyFont="1" applyBorder="1"/>
    <xf numFmtId="170" fontId="16" fillId="0" borderId="41" xfId="0" applyNumberFormat="1" applyFont="1" applyBorder="1"/>
    <xf numFmtId="0" fontId="15" fillId="0" borderId="0" xfId="0" applyFont="1" applyAlignment="1">
      <alignment horizontal="left"/>
    </xf>
    <xf numFmtId="0" fontId="16" fillId="5" borderId="9" xfId="0" applyFont="1" applyFill="1" applyBorder="1"/>
    <xf numFmtId="0" fontId="21" fillId="0" borderId="0" xfId="0" applyFont="1" applyAlignment="1">
      <alignment horizontal="left" vertical="center" wrapText="1"/>
    </xf>
    <xf numFmtId="167" fontId="0" fillId="0" borderId="34" xfId="0" applyNumberFormat="1" applyBorder="1"/>
    <xf numFmtId="44" fontId="9" fillId="2" borderId="1" xfId="3" applyFont="1" applyFill="1" applyBorder="1"/>
    <xf numFmtId="0" fontId="0" fillId="3" borderId="0" xfId="0" applyFill="1"/>
    <xf numFmtId="167" fontId="16" fillId="3" borderId="0" xfId="0" applyNumberFormat="1" applyFont="1" applyFill="1"/>
    <xf numFmtId="0" fontId="21" fillId="3" borderId="0" xfId="0" applyFont="1" applyFill="1" applyAlignment="1">
      <alignment horizontal="left" vertical="center"/>
    </xf>
    <xf numFmtId="0" fontId="30" fillId="0" borderId="5" xfId="0" applyFont="1" applyBorder="1"/>
    <xf numFmtId="0" fontId="0" fillId="0" borderId="42" xfId="0" applyBorder="1"/>
    <xf numFmtId="44" fontId="16" fillId="0" borderId="0" xfId="3" applyFont="1"/>
    <xf numFmtId="44" fontId="30" fillId="0" borderId="5" xfId="3" applyFont="1" applyBorder="1"/>
    <xf numFmtId="44" fontId="0" fillId="0" borderId="42" xfId="3" applyFont="1" applyBorder="1"/>
    <xf numFmtId="17" fontId="0" fillId="0" borderId="0" xfId="0" applyNumberFormat="1"/>
    <xf numFmtId="171" fontId="0" fillId="0" borderId="0" xfId="0" applyNumberFormat="1"/>
    <xf numFmtId="43" fontId="0" fillId="0" borderId="0" xfId="2" applyFont="1"/>
    <xf numFmtId="167" fontId="0" fillId="0" borderId="0" xfId="2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72" fontId="20" fillId="8" borderId="18" xfId="3" applyNumberFormat="1" applyFont="1" applyFill="1" applyBorder="1" applyAlignment="1">
      <alignment horizontal="center"/>
    </xf>
    <xf numFmtId="172" fontId="20" fillId="8" borderId="12" xfId="3" applyNumberFormat="1" applyFont="1" applyFill="1" applyBorder="1" applyAlignment="1">
      <alignment horizontal="center"/>
    </xf>
    <xf numFmtId="172" fontId="20" fillId="8" borderId="26" xfId="3" applyNumberFormat="1" applyFont="1" applyFill="1" applyBorder="1" applyAlignment="1">
      <alignment horizontal="center"/>
    </xf>
    <xf numFmtId="166" fontId="24" fillId="7" borderId="21" xfId="2" applyNumberFormat="1" applyFont="1" applyFill="1" applyBorder="1" applyAlignment="1">
      <alignment horizontal="center"/>
    </xf>
    <xf numFmtId="166" fontId="24" fillId="7" borderId="3" xfId="2" applyNumberFormat="1" applyFont="1" applyFill="1" applyBorder="1" applyAlignment="1">
      <alignment horizontal="center"/>
    </xf>
    <xf numFmtId="166" fontId="24" fillId="7" borderId="1" xfId="2" applyNumberFormat="1" applyFont="1" applyFill="1" applyBorder="1" applyAlignment="1">
      <alignment horizontal="center"/>
    </xf>
    <xf numFmtId="10" fontId="31" fillId="0" borderId="0" xfId="0" applyNumberFormat="1" applyFont="1"/>
    <xf numFmtId="167" fontId="16" fillId="0" borderId="6" xfId="2" applyNumberFormat="1" applyFont="1" applyBorder="1"/>
    <xf numFmtId="0" fontId="9" fillId="0" borderId="7" xfId="0" applyFont="1" applyBorder="1"/>
    <xf numFmtId="10" fontId="9" fillId="0" borderId="6" xfId="1" applyNumberFormat="1" applyFont="1" applyBorder="1"/>
    <xf numFmtId="0" fontId="16" fillId="0" borderId="7" xfId="0" applyFont="1" applyBorder="1"/>
    <xf numFmtId="10" fontId="19" fillId="0" borderId="0" xfId="1" applyNumberFormat="1" applyFont="1"/>
    <xf numFmtId="0" fontId="8" fillId="4" borderId="0" xfId="0" applyFont="1" applyFill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 textRotation="90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Trendline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10.4'!$B$53:$B$93</c:f>
              <c:numCache>
                <c:formatCode>mmm\-yy</c:formatCode>
                <c:ptCount val="4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</c:numCache>
            </c:numRef>
          </c:cat>
          <c:val>
            <c:numRef>
              <c:f>'Fig. 10.4'!$C$53:$C$93</c:f>
              <c:numCache>
                <c:formatCode>General</c:formatCode>
                <c:ptCount val="41"/>
                <c:pt idx="0">
                  <c:v>25</c:v>
                </c:pt>
                <c:pt idx="1">
                  <c:v>29</c:v>
                </c:pt>
                <c:pt idx="2">
                  <c:v>20</c:v>
                </c:pt>
                <c:pt idx="3">
                  <c:v>24</c:v>
                </c:pt>
                <c:pt idx="4">
                  <c:v>27</c:v>
                </c:pt>
                <c:pt idx="5">
                  <c:v>30</c:v>
                </c:pt>
                <c:pt idx="6">
                  <c:v>34</c:v>
                </c:pt>
                <c:pt idx="7">
                  <c:v>30</c:v>
                </c:pt>
                <c:pt idx="8">
                  <c:v>28</c:v>
                </c:pt>
                <c:pt idx="9">
                  <c:v>35</c:v>
                </c:pt>
                <c:pt idx="10">
                  <c:v>36</c:v>
                </c:pt>
                <c:pt idx="11">
                  <c:v>32</c:v>
                </c:pt>
                <c:pt idx="12">
                  <c:v>37</c:v>
                </c:pt>
                <c:pt idx="13">
                  <c:v>40</c:v>
                </c:pt>
                <c:pt idx="14">
                  <c:v>44</c:v>
                </c:pt>
                <c:pt idx="15">
                  <c:v>45</c:v>
                </c:pt>
                <c:pt idx="16">
                  <c:v>42</c:v>
                </c:pt>
                <c:pt idx="17">
                  <c:v>47</c:v>
                </c:pt>
                <c:pt idx="18">
                  <c:v>50</c:v>
                </c:pt>
                <c:pt idx="19">
                  <c:v>46</c:v>
                </c:pt>
                <c:pt idx="20">
                  <c:v>42</c:v>
                </c:pt>
                <c:pt idx="21">
                  <c:v>48</c:v>
                </c:pt>
                <c:pt idx="22">
                  <c:v>52</c:v>
                </c:pt>
                <c:pt idx="23">
                  <c:v>56</c:v>
                </c:pt>
                <c:pt idx="24">
                  <c:v>50</c:v>
                </c:pt>
                <c:pt idx="25">
                  <c:v>54</c:v>
                </c:pt>
                <c:pt idx="26">
                  <c:v>59</c:v>
                </c:pt>
                <c:pt idx="27">
                  <c:v>53</c:v>
                </c:pt>
                <c:pt idx="28">
                  <c:v>50</c:v>
                </c:pt>
                <c:pt idx="29">
                  <c:v>54</c:v>
                </c:pt>
                <c:pt idx="30">
                  <c:v>59</c:v>
                </c:pt>
                <c:pt idx="31">
                  <c:v>64</c:v>
                </c:pt>
                <c:pt idx="32">
                  <c:v>62</c:v>
                </c:pt>
                <c:pt idx="33">
                  <c:v>67</c:v>
                </c:pt>
                <c:pt idx="34">
                  <c:v>65</c:v>
                </c:pt>
                <c:pt idx="35">
                  <c:v>70</c:v>
                </c:pt>
                <c:pt idx="36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2E-4527-84A1-F0C577D1C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8836544"/>
        <c:axId val="1198838840"/>
      </c:lineChart>
      <c:dateAx>
        <c:axId val="11988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38840"/>
        <c:crosses val="autoZero"/>
        <c:auto val="1"/>
        <c:lblOffset val="100"/>
        <c:baseTimeUnit val="months"/>
      </c:dateAx>
      <c:valAx>
        <c:axId val="1198838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3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Price</a:t>
            </a:r>
            <a:r>
              <a:rPr lang="en-US" b="1" baseline="0"/>
              <a:t> Channel Analysis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10.4'!$E$54:$E$93</c:f>
              <c:numCache>
                <c:formatCode>mmm\-yy</c:formatCode>
                <c:ptCount val="40"/>
                <c:pt idx="0">
                  <c:v>42401</c:v>
                </c:pt>
                <c:pt idx="1">
                  <c:v>42430</c:v>
                </c:pt>
                <c:pt idx="2">
                  <c:v>42461</c:v>
                </c:pt>
                <c:pt idx="3">
                  <c:v>42491</c:v>
                </c:pt>
                <c:pt idx="4">
                  <c:v>42522</c:v>
                </c:pt>
                <c:pt idx="5">
                  <c:v>42552</c:v>
                </c:pt>
                <c:pt idx="6">
                  <c:v>42583</c:v>
                </c:pt>
                <c:pt idx="7">
                  <c:v>42614</c:v>
                </c:pt>
                <c:pt idx="8">
                  <c:v>42644</c:v>
                </c:pt>
                <c:pt idx="9">
                  <c:v>42675</c:v>
                </c:pt>
                <c:pt idx="10">
                  <c:v>42705</c:v>
                </c:pt>
                <c:pt idx="11">
                  <c:v>42736</c:v>
                </c:pt>
                <c:pt idx="12">
                  <c:v>42767</c:v>
                </c:pt>
                <c:pt idx="13">
                  <c:v>42795</c:v>
                </c:pt>
                <c:pt idx="14">
                  <c:v>42826</c:v>
                </c:pt>
                <c:pt idx="15">
                  <c:v>42856</c:v>
                </c:pt>
                <c:pt idx="16">
                  <c:v>42887</c:v>
                </c:pt>
                <c:pt idx="17">
                  <c:v>42917</c:v>
                </c:pt>
                <c:pt idx="18">
                  <c:v>42948</c:v>
                </c:pt>
                <c:pt idx="19">
                  <c:v>42979</c:v>
                </c:pt>
                <c:pt idx="20">
                  <c:v>43009</c:v>
                </c:pt>
                <c:pt idx="21">
                  <c:v>43040</c:v>
                </c:pt>
                <c:pt idx="22">
                  <c:v>43070</c:v>
                </c:pt>
                <c:pt idx="23">
                  <c:v>43101</c:v>
                </c:pt>
                <c:pt idx="24">
                  <c:v>43132</c:v>
                </c:pt>
                <c:pt idx="25">
                  <c:v>43160</c:v>
                </c:pt>
                <c:pt idx="26">
                  <c:v>43191</c:v>
                </c:pt>
                <c:pt idx="27">
                  <c:v>43221</c:v>
                </c:pt>
                <c:pt idx="28">
                  <c:v>43252</c:v>
                </c:pt>
                <c:pt idx="29">
                  <c:v>43282</c:v>
                </c:pt>
                <c:pt idx="30">
                  <c:v>43313</c:v>
                </c:pt>
                <c:pt idx="31">
                  <c:v>43344</c:v>
                </c:pt>
                <c:pt idx="32">
                  <c:v>43374</c:v>
                </c:pt>
                <c:pt idx="33">
                  <c:v>43405</c:v>
                </c:pt>
                <c:pt idx="34">
                  <c:v>43435</c:v>
                </c:pt>
                <c:pt idx="35">
                  <c:v>43466</c:v>
                </c:pt>
                <c:pt idx="36">
                  <c:v>43497</c:v>
                </c:pt>
                <c:pt idx="37">
                  <c:v>43525</c:v>
                </c:pt>
                <c:pt idx="38">
                  <c:v>43556</c:v>
                </c:pt>
                <c:pt idx="39">
                  <c:v>43586</c:v>
                </c:pt>
              </c:numCache>
            </c:numRef>
          </c:cat>
          <c:val>
            <c:numRef>
              <c:f>'Fig. 10.4'!$F$54:$F$93</c:f>
              <c:numCache>
                <c:formatCode>0.0%</c:formatCode>
                <c:ptCount val="40"/>
                <c:pt idx="0">
                  <c:v>0.15999999999999992</c:v>
                </c:pt>
                <c:pt idx="1">
                  <c:v>-0.31034482758620685</c:v>
                </c:pt>
                <c:pt idx="2">
                  <c:v>0.19999999999999996</c:v>
                </c:pt>
                <c:pt idx="3">
                  <c:v>0.125</c:v>
                </c:pt>
                <c:pt idx="4">
                  <c:v>0.11111111111111116</c:v>
                </c:pt>
                <c:pt idx="5">
                  <c:v>0.1333333333333333</c:v>
                </c:pt>
                <c:pt idx="6">
                  <c:v>-0.11764705882352944</c:v>
                </c:pt>
                <c:pt idx="7">
                  <c:v>-6.6666666666666652E-2</c:v>
                </c:pt>
                <c:pt idx="8">
                  <c:v>0.25</c:v>
                </c:pt>
                <c:pt idx="9">
                  <c:v>2.857142857142847E-2</c:v>
                </c:pt>
                <c:pt idx="10">
                  <c:v>-0.11111111111111116</c:v>
                </c:pt>
                <c:pt idx="11">
                  <c:v>0.15625</c:v>
                </c:pt>
                <c:pt idx="12">
                  <c:v>8.1081081081081141E-2</c:v>
                </c:pt>
                <c:pt idx="13">
                  <c:v>0.10000000000000009</c:v>
                </c:pt>
                <c:pt idx="14">
                  <c:v>2.2727272727272707E-2</c:v>
                </c:pt>
                <c:pt idx="15">
                  <c:v>-6.6666666666666652E-2</c:v>
                </c:pt>
                <c:pt idx="16">
                  <c:v>0.11904761904761907</c:v>
                </c:pt>
                <c:pt idx="17">
                  <c:v>6.3829787234042534E-2</c:v>
                </c:pt>
                <c:pt idx="18">
                  <c:v>-7.999999999999996E-2</c:v>
                </c:pt>
                <c:pt idx="19">
                  <c:v>-8.6956521739130488E-2</c:v>
                </c:pt>
                <c:pt idx="20">
                  <c:v>0.14285714285714279</c:v>
                </c:pt>
                <c:pt idx="21">
                  <c:v>8.3333333333333259E-2</c:v>
                </c:pt>
                <c:pt idx="22">
                  <c:v>7.6923076923076872E-2</c:v>
                </c:pt>
                <c:pt idx="23">
                  <c:v>-0.1071428571428571</c:v>
                </c:pt>
                <c:pt idx="24">
                  <c:v>8.0000000000000071E-2</c:v>
                </c:pt>
                <c:pt idx="25">
                  <c:v>9.259259259259256E-2</c:v>
                </c:pt>
                <c:pt idx="26">
                  <c:v>-0.10169491525423724</c:v>
                </c:pt>
                <c:pt idx="27">
                  <c:v>-5.6603773584905648E-2</c:v>
                </c:pt>
                <c:pt idx="28">
                  <c:v>8.0000000000000071E-2</c:v>
                </c:pt>
                <c:pt idx="29">
                  <c:v>9.259259259259256E-2</c:v>
                </c:pt>
                <c:pt idx="30">
                  <c:v>8.4745762711864403E-2</c:v>
                </c:pt>
                <c:pt idx="31">
                  <c:v>-3.125E-2</c:v>
                </c:pt>
                <c:pt idx="32">
                  <c:v>8.0645161290322509E-2</c:v>
                </c:pt>
                <c:pt idx="33">
                  <c:v>-2.9850746268656692E-2</c:v>
                </c:pt>
                <c:pt idx="34">
                  <c:v>7.6923076923076872E-2</c:v>
                </c:pt>
                <c:pt idx="35">
                  <c:v>2.857142857142847E-2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6-44B1-8C6B-0FDF5B665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5555504"/>
        <c:axId val="1215553208"/>
      </c:lineChart>
      <c:dateAx>
        <c:axId val="12155555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15553208"/>
        <c:crosses val="autoZero"/>
        <c:auto val="1"/>
        <c:lblOffset val="100"/>
        <c:baseTimeUnit val="months"/>
      </c:dateAx>
      <c:valAx>
        <c:axId val="121555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5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</a:t>
            </a:r>
            <a:r>
              <a:rPr lang="en-US" b="1" baseline="0"/>
              <a:t> Line Analysis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683365129496976E-2"/>
          <c:y val="0.17118465685879031"/>
          <c:w val="0.9337411240086394"/>
          <c:h val="0.6434229299631568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'Fig. 10.4'!$H$53:$H$93</c:f>
              <c:numCache>
                <c:formatCode>mmm\-yy</c:formatCode>
                <c:ptCount val="41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</c:numCache>
            </c:numRef>
          </c:cat>
          <c:val>
            <c:numRef>
              <c:f>'Fig. 10.4'!$I$53:$I$93</c:f>
              <c:numCache>
                <c:formatCode>0.000</c:formatCode>
                <c:ptCount val="41"/>
                <c:pt idx="0">
                  <c:v>1</c:v>
                </c:pt>
                <c:pt idx="1">
                  <c:v>1.1599999999999999</c:v>
                </c:pt>
                <c:pt idx="2">
                  <c:v>0.84965517241379307</c:v>
                </c:pt>
                <c:pt idx="3">
                  <c:v>1.049655172413793</c:v>
                </c:pt>
                <c:pt idx="4">
                  <c:v>1.174655172413793</c:v>
                </c:pt>
                <c:pt idx="5">
                  <c:v>1.2857662835249042</c:v>
                </c:pt>
                <c:pt idx="6">
                  <c:v>1.4190996168582375</c:v>
                </c:pt>
                <c:pt idx="7">
                  <c:v>1.3014525580347081</c:v>
                </c:pt>
                <c:pt idx="8">
                  <c:v>1.2347858913680414</c:v>
                </c:pt>
                <c:pt idx="9">
                  <c:v>1.4847858913680414</c:v>
                </c:pt>
                <c:pt idx="10">
                  <c:v>1.5133573199394699</c:v>
                </c:pt>
                <c:pt idx="11">
                  <c:v>1.4022462088283587</c:v>
                </c:pt>
                <c:pt idx="12">
                  <c:v>1.5584962088283587</c:v>
                </c:pt>
                <c:pt idx="13">
                  <c:v>1.6395772899094399</c:v>
                </c:pt>
                <c:pt idx="14">
                  <c:v>1.7395772899094399</c:v>
                </c:pt>
                <c:pt idx="15">
                  <c:v>1.7623045626367126</c:v>
                </c:pt>
                <c:pt idx="16">
                  <c:v>1.695637895970046</c:v>
                </c:pt>
                <c:pt idx="17">
                  <c:v>1.8146855150176651</c:v>
                </c:pt>
                <c:pt idx="18">
                  <c:v>1.8785153022517076</c:v>
                </c:pt>
                <c:pt idx="19">
                  <c:v>1.7985153022517077</c:v>
                </c:pt>
                <c:pt idx="20">
                  <c:v>1.7115587805125774</c:v>
                </c:pt>
                <c:pt idx="21">
                  <c:v>1.8544159233697202</c:v>
                </c:pt>
                <c:pt idx="22">
                  <c:v>1.9377492567030534</c:v>
                </c:pt>
                <c:pt idx="23">
                  <c:v>2.0146723336261303</c:v>
                </c:pt>
                <c:pt idx="24">
                  <c:v>1.9075294764832731</c:v>
                </c:pt>
                <c:pt idx="25">
                  <c:v>1.9875294764832732</c:v>
                </c:pt>
                <c:pt idx="26">
                  <c:v>2.0801220690758657</c:v>
                </c:pt>
                <c:pt idx="27">
                  <c:v>1.9784271538216285</c:v>
                </c:pt>
                <c:pt idx="28">
                  <c:v>1.9218233802367228</c:v>
                </c:pt>
                <c:pt idx="29">
                  <c:v>2.0018233802367229</c:v>
                </c:pt>
                <c:pt idx="30">
                  <c:v>2.0944159728293155</c:v>
                </c:pt>
                <c:pt idx="31">
                  <c:v>2.1791617355411796</c:v>
                </c:pt>
                <c:pt idx="32">
                  <c:v>2.1479117355411796</c:v>
                </c:pt>
                <c:pt idx="33">
                  <c:v>2.2285568968315022</c:v>
                </c:pt>
                <c:pt idx="34">
                  <c:v>2.1987061505628454</c:v>
                </c:pt>
                <c:pt idx="35">
                  <c:v>2.275629227485922</c:v>
                </c:pt>
                <c:pt idx="36">
                  <c:v>2.3042006560573505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3-43F0-AB3A-840D59695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8870984"/>
        <c:axId val="1198872952"/>
      </c:lineChart>
      <c:dateAx>
        <c:axId val="1198870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72952"/>
        <c:crosses val="autoZero"/>
        <c:auto val="1"/>
        <c:lblOffset val="100"/>
        <c:baseTimeUnit val="months"/>
      </c:dateAx>
      <c:valAx>
        <c:axId val="1198872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7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Momentum Indicator (MI)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74515028167028"/>
          <c:y val="0.17907057549777836"/>
          <c:w val="0.87683830798068452"/>
          <c:h val="0.6361941206346503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10.4'!$L$53:$L$88</c:f>
              <c:numCache>
                <c:formatCode>_(* #,##0.00_);_(* \(#,##0.00\);_(* "-"??_);_(@_)</c:formatCode>
                <c:ptCount val="36"/>
                <c:pt idx="0">
                  <c:v>0</c:v>
                </c:pt>
                <c:pt idx="1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C3-4459-B87D-C5CD6BD8FD71}"/>
            </c:ext>
          </c:extLst>
        </c:ser>
        <c:ser>
          <c:idx val="1"/>
          <c:order val="1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10.4'!$M$53:$M$88</c:f>
              <c:numCache>
                <c:formatCode>_(* #,##0.00_);_(* \(#,##0.00\);_(* "-"??_);_(@_)</c:formatCode>
                <c:ptCount val="36"/>
                <c:pt idx="2">
                  <c:v>0.5</c:v>
                </c:pt>
                <c:pt idx="3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C3-4459-B87D-C5CD6BD8FD71}"/>
            </c:ext>
          </c:extLst>
        </c:ser>
        <c:ser>
          <c:idx val="2"/>
          <c:order val="2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10.4'!$N$53:$N$88</c:f>
              <c:numCache>
                <c:formatCode>_(* #,##0.00_);_(* \(#,##0.00\);_(* "-"??_);_(@_)</c:formatCode>
                <c:ptCount val="36"/>
                <c:pt idx="4">
                  <c:v>1</c:v>
                </c:pt>
                <c:pt idx="5">
                  <c:v>2.1111111111111112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C3-4459-B87D-C5CD6BD8FD71}"/>
            </c:ext>
          </c:extLst>
        </c:ser>
        <c:ser>
          <c:idx val="3"/>
          <c:order val="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10.4'!$O$53:$O$88</c:f>
              <c:numCache>
                <c:formatCode>_(* #,##0.00_);_(* \(#,##0.00\);_(* "-"??_);_(@_)</c:formatCode>
                <c:ptCount val="36"/>
                <c:pt idx="6">
                  <c:v>1.5</c:v>
                </c:pt>
                <c:pt idx="7">
                  <c:v>0.61764705882352944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C3-4459-B87D-C5CD6BD8FD7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10.4'!$P$53:$P$88</c:f>
              <c:numCache>
                <c:formatCode>_(* #,##0.00_);_(* \(#,##0.00\);_(* "-"??_);_(@_)</c:formatCode>
                <c:ptCount val="36"/>
                <c:pt idx="8">
                  <c:v>2</c:v>
                </c:pt>
                <c:pt idx="9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CC3-4459-B87D-C5CD6BD8FD71}"/>
            </c:ext>
          </c:extLst>
        </c:ser>
        <c:ser>
          <c:idx val="5"/>
          <c:order val="5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10.4'!$Q$53:$Q$88</c:f>
              <c:numCache>
                <c:formatCode>_(* #,##0.00_);_(* \(#,##0.00\);_(* "-"??_);_(@_)</c:formatCode>
                <c:ptCount val="36"/>
                <c:pt idx="10">
                  <c:v>2.5</c:v>
                </c:pt>
                <c:pt idx="11">
                  <c:v>1.6111111111111112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CC3-4459-B87D-C5CD6BD8FD71}"/>
            </c:ext>
          </c:extLst>
        </c:ser>
        <c:ser>
          <c:idx val="6"/>
          <c:order val="6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10.4'!$R$53:$R$88</c:f>
              <c:numCache>
                <c:formatCode>_(* #,##0.00_);_(* \(#,##0.00\);_(* "-"??_);_(@_)</c:formatCode>
                <c:ptCount val="36"/>
                <c:pt idx="12">
                  <c:v>3</c:v>
                </c:pt>
                <c:pt idx="13">
                  <c:v>4.0810810810810807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C3-4459-B87D-C5CD6BD8FD71}"/>
            </c:ext>
          </c:extLst>
        </c:ser>
        <c:ser>
          <c:idx val="7"/>
          <c:order val="7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10.4'!$S$53:$S$88</c:f>
              <c:numCache>
                <c:formatCode>_(* #,##0.00_);_(* \(#,##0.00\);_(* "-"??_);_(@_)</c:formatCode>
                <c:ptCount val="36"/>
                <c:pt idx="14">
                  <c:v>3.5</c:v>
                </c:pt>
                <c:pt idx="15">
                  <c:v>4.5227272727272725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CC3-4459-B87D-C5CD6BD8FD71}"/>
            </c:ext>
          </c:extLst>
        </c:ser>
        <c:ser>
          <c:idx val="8"/>
          <c:order val="8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10.4'!$T$53:$T$88</c:f>
              <c:numCache>
                <c:formatCode>_(* #,##0.00_);_(* \(#,##0.00\);_(* "-"??_);_(@_)</c:formatCode>
                <c:ptCount val="36"/>
                <c:pt idx="16">
                  <c:v>4</c:v>
                </c:pt>
                <c:pt idx="17">
                  <c:v>5.1190476190476186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C3-4459-B87D-C5CD6BD8FD71}"/>
            </c:ext>
          </c:extLst>
        </c:ser>
        <c:ser>
          <c:idx val="9"/>
          <c:order val="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10.4'!$U$53:$U$88</c:f>
              <c:numCache>
                <c:formatCode>_(* #,##0.00_);_(* \(#,##0.00\);_(* "-"??_);_(@_)</c:formatCode>
                <c:ptCount val="36"/>
                <c:pt idx="18">
                  <c:v>4.5</c:v>
                </c:pt>
                <c:pt idx="19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CC3-4459-B87D-C5CD6BD8FD71}"/>
            </c:ext>
          </c:extLst>
        </c:ser>
        <c:ser>
          <c:idx val="10"/>
          <c:order val="10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10.4'!$V$53:$V$88</c:f>
              <c:numCache>
                <c:formatCode>_(* #,##0.00_);_(* \(#,##0.00\);_(* "-"??_);_(@_)</c:formatCode>
                <c:ptCount val="36"/>
                <c:pt idx="20">
                  <c:v>5</c:v>
                </c:pt>
                <c:pt idx="21">
                  <c:v>6.1428571428571423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CC3-4459-B87D-C5CD6BD8FD71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10.4'!$W$53:$W$88</c:f>
              <c:numCache>
                <c:formatCode>_(* #,##0.00_);_(* \(#,##0.00\);_(* "-"??_);_(@_)</c:formatCode>
                <c:ptCount val="36"/>
                <c:pt idx="22">
                  <c:v>5.5</c:v>
                </c:pt>
                <c:pt idx="23">
                  <c:v>6.5769230769230766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CC3-4459-B87D-C5CD6BD8FD71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C3-4459-B87D-C5CD6BD8FD71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7CC3-4459-B87D-C5CD6BD8FD71}"/>
              </c:ext>
            </c:extLst>
          </c:dPt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10.4'!$X$53:$X$88</c:f>
              <c:numCache>
                <c:formatCode>_(* #,##0.00_);_(* \(#,##0.00\);_(* "-"??_);_(@_)</c:formatCode>
                <c:ptCount val="36"/>
                <c:pt idx="24">
                  <c:v>6</c:v>
                </c:pt>
                <c:pt idx="25">
                  <c:v>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CC3-4459-B87D-C5CD6BD8FD71}"/>
            </c:ext>
          </c:extLst>
        </c:ser>
        <c:ser>
          <c:idx val="13"/>
          <c:order val="13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10.4'!$Y$53:$Y$88</c:f>
              <c:numCache>
                <c:formatCode>_(* #,##0.00_);_(* \(#,##0.00\);_(* "-"??_);_(@_)</c:formatCode>
                <c:ptCount val="36"/>
                <c:pt idx="26">
                  <c:v>6.5</c:v>
                </c:pt>
                <c:pt idx="27">
                  <c:v>5.601694915254237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C3-4459-B87D-C5CD6BD8FD71}"/>
            </c:ext>
          </c:extLst>
        </c:ser>
        <c:ser>
          <c:idx val="14"/>
          <c:order val="14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10.4'!$Z$53:$Z$88</c:f>
              <c:numCache>
                <c:formatCode>_(* #,##0.00_);_(* \(#,##0.00\);_(* "-"??_);_(@_)</c:formatCode>
                <c:ptCount val="36"/>
                <c:pt idx="28">
                  <c:v>7</c:v>
                </c:pt>
                <c:pt idx="29">
                  <c:v>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C3-4459-B87D-C5CD6BD8FD71}"/>
            </c:ext>
          </c:extLst>
        </c:ser>
        <c:ser>
          <c:idx val="15"/>
          <c:order val="15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10.4'!$AA$53:$AA$88</c:f>
              <c:numCache>
                <c:formatCode>_(* #,##0.00_);_(* \(#,##0.00\);_(* "-"??_);_(@_)</c:formatCode>
                <c:ptCount val="36"/>
                <c:pt idx="30">
                  <c:v>7.5</c:v>
                </c:pt>
                <c:pt idx="31">
                  <c:v>8.5847457627118651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CC3-4459-B87D-C5CD6BD8FD71}"/>
            </c:ext>
          </c:extLst>
        </c:ser>
        <c:ser>
          <c:idx val="16"/>
          <c:order val="16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10.4'!$AB$53:$AB$88</c:f>
              <c:numCache>
                <c:formatCode>_(* #,##0.00_);_(* \(#,##0.00\);_(* "-"??_);_(@_)</c:formatCode>
                <c:ptCount val="36"/>
                <c:pt idx="32">
                  <c:v>8</c:v>
                </c:pt>
                <c:pt idx="33">
                  <c:v>9.0806451612903221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CC3-4459-B87D-C5CD6BD8FD71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'Fig. 10.4'!$K$53:$K$88</c:f>
              <c:numCache>
                <c:formatCode>mmm\-yy</c:formatCode>
                <c:ptCount val="36"/>
                <c:pt idx="0">
                  <c:v>42401</c:v>
                </c:pt>
                <c:pt idx="1">
                  <c:v>42401</c:v>
                </c:pt>
                <c:pt idx="2">
                  <c:v>42461</c:v>
                </c:pt>
                <c:pt idx="3">
                  <c:v>42461</c:v>
                </c:pt>
                <c:pt idx="4">
                  <c:v>42522</c:v>
                </c:pt>
                <c:pt idx="5">
                  <c:v>42522</c:v>
                </c:pt>
                <c:pt idx="6">
                  <c:v>42583</c:v>
                </c:pt>
                <c:pt idx="7">
                  <c:v>42583</c:v>
                </c:pt>
                <c:pt idx="8">
                  <c:v>42644</c:v>
                </c:pt>
                <c:pt idx="9">
                  <c:v>42644</c:v>
                </c:pt>
                <c:pt idx="10">
                  <c:v>42705</c:v>
                </c:pt>
                <c:pt idx="11">
                  <c:v>42705</c:v>
                </c:pt>
                <c:pt idx="12">
                  <c:v>42767</c:v>
                </c:pt>
                <c:pt idx="13">
                  <c:v>42767</c:v>
                </c:pt>
                <c:pt idx="14">
                  <c:v>42826</c:v>
                </c:pt>
                <c:pt idx="15">
                  <c:v>42826</c:v>
                </c:pt>
                <c:pt idx="16">
                  <c:v>42887</c:v>
                </c:pt>
                <c:pt idx="17">
                  <c:v>42887</c:v>
                </c:pt>
                <c:pt idx="18">
                  <c:v>42948</c:v>
                </c:pt>
                <c:pt idx="19">
                  <c:v>42948</c:v>
                </c:pt>
                <c:pt idx="20">
                  <c:v>43009</c:v>
                </c:pt>
                <c:pt idx="21">
                  <c:v>43009</c:v>
                </c:pt>
                <c:pt idx="22">
                  <c:v>43070</c:v>
                </c:pt>
                <c:pt idx="23">
                  <c:v>43070</c:v>
                </c:pt>
                <c:pt idx="24">
                  <c:v>43132</c:v>
                </c:pt>
                <c:pt idx="25">
                  <c:v>43132</c:v>
                </c:pt>
                <c:pt idx="26">
                  <c:v>43191</c:v>
                </c:pt>
                <c:pt idx="27">
                  <c:v>43191</c:v>
                </c:pt>
                <c:pt idx="28">
                  <c:v>43252</c:v>
                </c:pt>
                <c:pt idx="29">
                  <c:v>43252</c:v>
                </c:pt>
                <c:pt idx="30">
                  <c:v>43313</c:v>
                </c:pt>
                <c:pt idx="31">
                  <c:v>43313</c:v>
                </c:pt>
                <c:pt idx="32">
                  <c:v>43374</c:v>
                </c:pt>
                <c:pt idx="33">
                  <c:v>43374</c:v>
                </c:pt>
                <c:pt idx="34">
                  <c:v>43435</c:v>
                </c:pt>
                <c:pt idx="35">
                  <c:v>43435</c:v>
                </c:pt>
              </c:numCache>
            </c:numRef>
          </c:cat>
          <c:val>
            <c:numRef>
              <c:f>'Fig. 10.4'!$AC$53:$AC$88</c:f>
              <c:numCache>
                <c:formatCode>_(* #,##0.00_);_(* \(#,##0.00\);_(* "-"??_);_(@_)</c:formatCode>
                <c:ptCount val="36"/>
                <c:pt idx="34">
                  <c:v>8.5</c:v>
                </c:pt>
                <c:pt idx="35">
                  <c:v>9.5769230769230766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CC3-4459-B87D-C5CD6BD8F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1380328"/>
        <c:axId val="1211376392"/>
      </c:lineChart>
      <c:dateAx>
        <c:axId val="1211380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76392"/>
        <c:crosses val="autoZero"/>
        <c:auto val="1"/>
        <c:lblOffset val="100"/>
        <c:baseTimeUnit val="days"/>
      </c:dateAx>
      <c:valAx>
        <c:axId val="121137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38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496358</xdr:colOff>
      <xdr:row>1</xdr:row>
      <xdr:rowOff>7408</xdr:rowOff>
    </xdr:from>
    <xdr:to>
      <xdr:col>2</xdr:col>
      <xdr:colOff>496358</xdr:colOff>
      <xdr:row>1</xdr:row>
      <xdr:rowOff>312208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FAEAAB1-A450-4C01-9A2D-76C185DD3B25}"/>
            </a:ext>
          </a:extLst>
        </xdr:cNvPr>
        <xdr:cNvCxnSpPr/>
      </xdr:nvCxnSpPr>
      <xdr:spPr>
        <a:xfrm flipV="1">
          <a:off x="2134658" y="274108"/>
          <a:ext cx="0" cy="304800"/>
        </a:xfrm>
        <a:prstGeom prst="straightConnector1">
          <a:avLst/>
        </a:prstGeom>
        <a:ln w="4762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37042</xdr:colOff>
      <xdr:row>2</xdr:row>
      <xdr:rowOff>18521</xdr:rowOff>
    </xdr:from>
    <xdr:to>
      <xdr:col>8</xdr:col>
      <xdr:colOff>75142</xdr:colOff>
      <xdr:row>16</xdr:row>
      <xdr:rowOff>114301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714218D-9151-4300-95EA-C93F1F0C86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217106</xdr:colOff>
      <xdr:row>2</xdr:row>
      <xdr:rowOff>29104</xdr:rowOff>
    </xdr:from>
    <xdr:to>
      <xdr:col>14</xdr:col>
      <xdr:colOff>657225</xdr:colOff>
      <xdr:row>16</xdr:row>
      <xdr:rowOff>124883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089930E-0DE7-48CE-A886-0D1DB3965A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10581</xdr:colOff>
      <xdr:row>19</xdr:row>
      <xdr:rowOff>11111</xdr:rowOff>
    </xdr:from>
    <xdr:to>
      <xdr:col>8</xdr:col>
      <xdr:colOff>76201</xdr:colOff>
      <xdr:row>33</xdr:row>
      <xdr:rowOff>131233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420E1D3-9E79-4343-A7FA-B700CB963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391583</xdr:colOff>
      <xdr:row>4</xdr:row>
      <xdr:rowOff>66675</xdr:rowOff>
    </xdr:from>
    <xdr:to>
      <xdr:col>8</xdr:col>
      <xdr:colOff>86783</xdr:colOff>
      <xdr:row>10</xdr:row>
      <xdr:rowOff>115358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AEA0391-969D-4F96-9E36-6F9D58CAB063}"/>
            </a:ext>
          </a:extLst>
        </xdr:cNvPr>
        <xdr:cNvCxnSpPr/>
      </xdr:nvCxnSpPr>
      <xdr:spPr>
        <a:xfrm flipV="1">
          <a:off x="1039283" y="933450"/>
          <a:ext cx="4229100" cy="1134533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476250</xdr:colOff>
      <xdr:row>5</xdr:row>
      <xdr:rowOff>140759</xdr:rowOff>
    </xdr:from>
    <xdr:to>
      <xdr:col>8</xdr:col>
      <xdr:colOff>171450</xdr:colOff>
      <xdr:row>12</xdr:row>
      <xdr:rowOff>8466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14116B2E-9896-4299-8F8E-DF8800C6B9AF}"/>
            </a:ext>
          </a:extLst>
        </xdr:cNvPr>
        <xdr:cNvCxnSpPr/>
      </xdr:nvCxnSpPr>
      <xdr:spPr>
        <a:xfrm flipV="1">
          <a:off x="1123950" y="1188509"/>
          <a:ext cx="4229100" cy="1134532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445609</xdr:colOff>
      <xdr:row>7</xdr:row>
      <xdr:rowOff>172509</xdr:rowOff>
    </xdr:from>
    <xdr:to>
      <xdr:col>14</xdr:col>
      <xdr:colOff>322740</xdr:colOff>
      <xdr:row>8</xdr:row>
      <xdr:rowOff>29634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249A47C2-E50E-4E0F-A7FF-E1E9F466070C}"/>
            </a:ext>
          </a:extLst>
        </xdr:cNvPr>
        <xdr:cNvCxnSpPr/>
      </xdr:nvCxnSpPr>
      <xdr:spPr>
        <a:xfrm flipV="1">
          <a:off x="5627209" y="1582209"/>
          <a:ext cx="3763331" cy="38100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505073</xdr:colOff>
      <xdr:row>11</xdr:row>
      <xdr:rowOff>56094</xdr:rowOff>
    </xdr:from>
    <xdr:to>
      <xdr:col>14</xdr:col>
      <xdr:colOff>392390</xdr:colOff>
      <xdr:row>11</xdr:row>
      <xdr:rowOff>93133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DA5FFA7-593B-4A8C-BBAF-958873279B21}"/>
            </a:ext>
          </a:extLst>
        </xdr:cNvPr>
        <xdr:cNvCxnSpPr/>
      </xdr:nvCxnSpPr>
      <xdr:spPr>
        <a:xfrm flipV="1">
          <a:off x="5686673" y="2189694"/>
          <a:ext cx="3773517" cy="37039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436033</xdr:colOff>
      <xdr:row>21</xdr:row>
      <xdr:rowOff>152400</xdr:rowOff>
    </xdr:from>
    <xdr:to>
      <xdr:col>7</xdr:col>
      <xdr:colOff>342900</xdr:colOff>
      <xdr:row>27</xdr:row>
      <xdr:rowOff>58210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EBCB51C-482B-44D2-A81C-FAE3469F3C5E}"/>
            </a:ext>
          </a:extLst>
        </xdr:cNvPr>
        <xdr:cNvCxnSpPr/>
      </xdr:nvCxnSpPr>
      <xdr:spPr>
        <a:xfrm flipV="1">
          <a:off x="1083733" y="4095750"/>
          <a:ext cx="3793067" cy="991660"/>
        </a:xfrm>
        <a:prstGeom prst="line">
          <a:avLst/>
        </a:prstGeom>
        <a:ln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4</xdr:row>
      <xdr:rowOff>174633</xdr:rowOff>
    </xdr:from>
    <xdr:to>
      <xdr:col>8</xdr:col>
      <xdr:colOff>102458</xdr:colOff>
      <xdr:row>6</xdr:row>
      <xdr:rowOff>115537</xdr:rowOff>
    </xdr:to>
    <xdr:sp macro="" textlink="">
      <xdr:nvSpPr>
        <xdr:cNvPr id="20" name="Freeform: Shape 19">
          <a:extLst>
            <a:ext uri="{FF2B5EF4-FFF2-40B4-BE49-F238E27FC236}">
              <a16:creationId xmlns:a16="http://schemas.microsoft.com/office/drawing/2014/main" id="{31D64AC3-DB11-45FE-9008-88B7039C2B3D}"/>
            </a:ext>
          </a:extLst>
        </xdr:cNvPr>
        <xdr:cNvSpPr/>
      </xdr:nvSpPr>
      <xdr:spPr>
        <a:xfrm>
          <a:off x="4667250" y="717558"/>
          <a:ext cx="616808" cy="302854"/>
        </a:xfrm>
        <a:custGeom>
          <a:avLst/>
          <a:gdLst>
            <a:gd name="connsiteX0" fmla="*/ 0 w 616808"/>
            <a:gd name="connsiteY0" fmla="*/ 92067 h 302854"/>
            <a:gd name="connsiteX1" fmla="*/ 247650 w 616808"/>
            <a:gd name="connsiteY1" fmla="*/ 301617 h 302854"/>
            <a:gd name="connsiteX2" fmla="*/ 352425 w 616808"/>
            <a:gd name="connsiteY2" fmla="*/ 6342 h 302854"/>
            <a:gd name="connsiteX3" fmla="*/ 590550 w 616808"/>
            <a:gd name="connsiteY3" fmla="*/ 101592 h 302854"/>
            <a:gd name="connsiteX4" fmla="*/ 600075 w 616808"/>
            <a:gd name="connsiteY4" fmla="*/ 130167 h 3028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6808" h="302854">
              <a:moveTo>
                <a:pt x="0" y="92067"/>
              </a:moveTo>
              <a:cubicBezTo>
                <a:pt x="94456" y="203986"/>
                <a:pt x="188913" y="315905"/>
                <a:pt x="247650" y="301617"/>
              </a:cubicBezTo>
              <a:cubicBezTo>
                <a:pt x="306388" y="287330"/>
                <a:pt x="295275" y="39679"/>
                <a:pt x="352425" y="6342"/>
              </a:cubicBezTo>
              <a:cubicBezTo>
                <a:pt x="409575" y="-26996"/>
                <a:pt x="549275" y="80954"/>
                <a:pt x="590550" y="101592"/>
              </a:cubicBezTo>
              <a:cubicBezTo>
                <a:pt x="631825" y="122230"/>
                <a:pt x="615950" y="126198"/>
                <a:pt x="600075" y="130167"/>
              </a:cubicBezTo>
            </a:path>
          </a:pathLst>
        </a:cu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94124</xdr:colOff>
      <xdr:row>7</xdr:row>
      <xdr:rowOff>135033</xdr:rowOff>
    </xdr:from>
    <xdr:to>
      <xdr:col>14</xdr:col>
      <xdr:colOff>571501</xdr:colOff>
      <xdr:row>11</xdr:row>
      <xdr:rowOff>27687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A8EBDBAC-600A-4855-811C-40C207B6C280}"/>
            </a:ext>
          </a:extLst>
        </xdr:cNvPr>
        <xdr:cNvSpPr/>
      </xdr:nvSpPr>
      <xdr:spPr>
        <a:xfrm>
          <a:off x="9161924" y="1544733"/>
          <a:ext cx="477377" cy="616554"/>
        </a:xfrm>
        <a:custGeom>
          <a:avLst/>
          <a:gdLst>
            <a:gd name="connsiteX0" fmla="*/ 0 w 545041"/>
            <a:gd name="connsiteY0" fmla="*/ 206808 h 619729"/>
            <a:gd name="connsiteX1" fmla="*/ 219075 w 545041"/>
            <a:gd name="connsiteY1" fmla="*/ 616383 h 619729"/>
            <a:gd name="connsiteX2" fmla="*/ 304800 w 545041"/>
            <a:gd name="connsiteY2" fmla="*/ 6783 h 619729"/>
            <a:gd name="connsiteX3" fmla="*/ 514350 w 545041"/>
            <a:gd name="connsiteY3" fmla="*/ 292533 h 619729"/>
            <a:gd name="connsiteX4" fmla="*/ 542925 w 545041"/>
            <a:gd name="connsiteY4" fmla="*/ 340158 h 619729"/>
            <a:gd name="connsiteX5" fmla="*/ 542925 w 545041"/>
            <a:gd name="connsiteY5" fmla="*/ 349683 h 619729"/>
            <a:gd name="connsiteX6" fmla="*/ 542925 w 545041"/>
            <a:gd name="connsiteY6" fmla="*/ 340158 h 619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45041" h="619729">
              <a:moveTo>
                <a:pt x="0" y="206808"/>
              </a:moveTo>
              <a:cubicBezTo>
                <a:pt x="84137" y="428264"/>
                <a:pt x="168275" y="649720"/>
                <a:pt x="219075" y="616383"/>
              </a:cubicBezTo>
              <a:cubicBezTo>
                <a:pt x="269875" y="583046"/>
                <a:pt x="255588" y="60758"/>
                <a:pt x="304800" y="6783"/>
              </a:cubicBezTo>
              <a:cubicBezTo>
                <a:pt x="354012" y="-47192"/>
                <a:pt x="474663" y="236971"/>
                <a:pt x="514350" y="292533"/>
              </a:cubicBezTo>
              <a:cubicBezTo>
                <a:pt x="554037" y="348095"/>
                <a:pt x="538162" y="330633"/>
                <a:pt x="542925" y="340158"/>
              </a:cubicBezTo>
              <a:cubicBezTo>
                <a:pt x="547688" y="349683"/>
                <a:pt x="542925" y="349683"/>
                <a:pt x="542925" y="349683"/>
              </a:cubicBezTo>
              <a:lnTo>
                <a:pt x="542925" y="340158"/>
              </a:lnTo>
            </a:path>
          </a:pathLst>
        </a:cu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285751</xdr:colOff>
      <xdr:row>20</xdr:row>
      <xdr:rowOff>114300</xdr:rowOff>
    </xdr:from>
    <xdr:to>
      <xdr:col>7</xdr:col>
      <xdr:colOff>619125</xdr:colOff>
      <xdr:row>21</xdr:row>
      <xdr:rowOff>152400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54F2936B-AF08-463B-8F82-9BA13D29E528}"/>
            </a:ext>
          </a:extLst>
        </xdr:cNvPr>
        <xdr:cNvCxnSpPr/>
      </xdr:nvCxnSpPr>
      <xdr:spPr>
        <a:xfrm flipV="1">
          <a:off x="4819651" y="3876675"/>
          <a:ext cx="333374" cy="219075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284691</xdr:colOff>
      <xdr:row>21</xdr:row>
      <xdr:rowOff>178860</xdr:rowOff>
    </xdr:from>
    <xdr:to>
      <xdr:col>7</xdr:col>
      <xdr:colOff>619125</xdr:colOff>
      <xdr:row>22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180812E-CC30-455F-A78B-406C27EF2724}"/>
            </a:ext>
          </a:extLst>
        </xdr:cNvPr>
        <xdr:cNvCxnSpPr/>
      </xdr:nvCxnSpPr>
      <xdr:spPr>
        <a:xfrm>
          <a:off x="4818591" y="4122210"/>
          <a:ext cx="334434" cy="144990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75840</xdr:colOff>
      <xdr:row>7</xdr:row>
      <xdr:rowOff>39158</xdr:rowOff>
    </xdr:from>
    <xdr:to>
      <xdr:col>14</xdr:col>
      <xdr:colOff>569741</xdr:colOff>
      <xdr:row>8</xdr:row>
      <xdr:rowOff>142875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23F9BB-FA59-4E09-9DA9-410066939E54}"/>
            </a:ext>
          </a:extLst>
        </xdr:cNvPr>
        <xdr:cNvCxnSpPr/>
      </xdr:nvCxnSpPr>
      <xdr:spPr>
        <a:xfrm flipV="1">
          <a:off x="9143640" y="1448858"/>
          <a:ext cx="493901" cy="284692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162983</xdr:colOff>
      <xdr:row>5</xdr:row>
      <xdr:rowOff>134410</xdr:rowOff>
    </xdr:from>
    <xdr:to>
      <xdr:col>8</xdr:col>
      <xdr:colOff>47625</xdr:colOff>
      <xdr:row>6</xdr:row>
      <xdr:rowOff>28575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DA03BCF-860A-4004-9FDD-31E06CE8E6E5}"/>
            </a:ext>
          </a:extLst>
        </xdr:cNvPr>
        <xdr:cNvCxnSpPr/>
      </xdr:nvCxnSpPr>
      <xdr:spPr>
        <a:xfrm>
          <a:off x="4696883" y="858310"/>
          <a:ext cx="532342" cy="75140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143933</xdr:colOff>
      <xdr:row>3</xdr:row>
      <xdr:rowOff>153458</xdr:rowOff>
    </xdr:from>
    <xdr:to>
      <xdr:col>8</xdr:col>
      <xdr:colOff>30691</xdr:colOff>
      <xdr:row>5</xdr:row>
      <xdr:rowOff>75142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32652CDA-7709-480A-8320-0C4EC775A00B}"/>
            </a:ext>
          </a:extLst>
        </xdr:cNvPr>
        <xdr:cNvCxnSpPr/>
      </xdr:nvCxnSpPr>
      <xdr:spPr>
        <a:xfrm flipV="1">
          <a:off x="4677833" y="839258"/>
          <a:ext cx="534458" cy="283634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75954</xdr:colOff>
      <xdr:row>8</xdr:row>
      <xdr:rowOff>172509</xdr:rowOff>
    </xdr:from>
    <xdr:to>
      <xdr:col>14</xdr:col>
      <xdr:colOff>609845</xdr:colOff>
      <xdr:row>10</xdr:row>
      <xdr:rowOff>103714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C7EAF048-EF27-43E7-AD2E-5598BBE42C3E}"/>
            </a:ext>
          </a:extLst>
        </xdr:cNvPr>
        <xdr:cNvCxnSpPr/>
      </xdr:nvCxnSpPr>
      <xdr:spPr>
        <a:xfrm>
          <a:off x="9143754" y="1763184"/>
          <a:ext cx="533891" cy="293155"/>
        </a:xfrm>
        <a:prstGeom prst="straightConnector1">
          <a:avLst/>
        </a:prstGeom>
        <a:ln w="25400">
          <a:solidFill>
            <a:schemeClr val="tx1"/>
          </a:solidFill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285751</xdr:colOff>
      <xdr:row>21</xdr:row>
      <xdr:rowOff>27517</xdr:rowOff>
    </xdr:from>
    <xdr:to>
      <xdr:col>8</xdr:col>
      <xdr:colOff>19050</xdr:colOff>
      <xdr:row>22</xdr:row>
      <xdr:rowOff>76637</xdr:rowOff>
    </xdr:to>
    <xdr:sp macro="" textlink="">
      <xdr:nvSpPr>
        <xdr:cNvPr id="41" name="Freeform: Shape 40">
          <a:extLst>
            <a:ext uri="{FF2B5EF4-FFF2-40B4-BE49-F238E27FC236}">
              <a16:creationId xmlns:a16="http://schemas.microsoft.com/office/drawing/2014/main" id="{A2D8BA7E-B9DB-4F65-A5F0-74F42B53286C}"/>
            </a:ext>
          </a:extLst>
        </xdr:cNvPr>
        <xdr:cNvSpPr/>
      </xdr:nvSpPr>
      <xdr:spPr>
        <a:xfrm>
          <a:off x="4819651" y="3970867"/>
          <a:ext cx="380999" cy="230095"/>
        </a:xfrm>
        <a:custGeom>
          <a:avLst/>
          <a:gdLst>
            <a:gd name="connsiteX0" fmla="*/ 0 w 933299"/>
            <a:gd name="connsiteY0" fmla="*/ 200222 h 219709"/>
            <a:gd name="connsiteX1" fmla="*/ 371475 w 933299"/>
            <a:gd name="connsiteY1" fmla="*/ 76397 h 219709"/>
            <a:gd name="connsiteX2" fmla="*/ 685800 w 933299"/>
            <a:gd name="connsiteY2" fmla="*/ 219272 h 219709"/>
            <a:gd name="connsiteX3" fmla="*/ 904875 w 933299"/>
            <a:gd name="connsiteY3" fmla="*/ 19247 h 219709"/>
            <a:gd name="connsiteX4" fmla="*/ 923925 w 933299"/>
            <a:gd name="connsiteY4" fmla="*/ 19247 h 2197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33299" h="219709">
              <a:moveTo>
                <a:pt x="0" y="200222"/>
              </a:moveTo>
              <a:cubicBezTo>
                <a:pt x="128587" y="136722"/>
                <a:pt x="257175" y="73222"/>
                <a:pt x="371475" y="76397"/>
              </a:cubicBezTo>
              <a:cubicBezTo>
                <a:pt x="485775" y="79572"/>
                <a:pt x="596900" y="228797"/>
                <a:pt x="685800" y="219272"/>
              </a:cubicBezTo>
              <a:cubicBezTo>
                <a:pt x="774700" y="209747"/>
                <a:pt x="865188" y="52584"/>
                <a:pt x="904875" y="19247"/>
              </a:cubicBezTo>
              <a:cubicBezTo>
                <a:pt x="944562" y="-14090"/>
                <a:pt x="934243" y="2578"/>
                <a:pt x="923925" y="19247"/>
              </a:cubicBezTo>
            </a:path>
          </a:pathLst>
        </a:cu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238124</xdr:colOff>
      <xdr:row>6</xdr:row>
      <xdr:rowOff>49741</xdr:rowOff>
    </xdr:from>
    <xdr:to>
      <xdr:col>14</xdr:col>
      <xdr:colOff>380999</xdr:colOff>
      <xdr:row>7</xdr:row>
      <xdr:rowOff>143933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B0EEE1F5-B765-4047-A4F5-8DBAD68C0DC3}"/>
            </a:ext>
          </a:extLst>
        </xdr:cNvPr>
        <xdr:cNvSpPr txBox="1"/>
      </xdr:nvSpPr>
      <xdr:spPr>
        <a:xfrm>
          <a:off x="8010524" y="1278466"/>
          <a:ext cx="1438275" cy="27516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Resistance Level</a:t>
          </a:r>
        </a:p>
      </xdr:txBody>
    </xdr:sp>
    <xdr:clientData/>
  </xdr:twoCellAnchor>
  <xdr:twoCellAnchor>
    <xdr:from>
      <xdr:col>8</xdr:col>
      <xdr:colOff>209550</xdr:colOff>
      <xdr:row>19</xdr:row>
      <xdr:rowOff>19579</xdr:rowOff>
    </xdr:from>
    <xdr:to>
      <xdr:col>14</xdr:col>
      <xdr:colOff>695326</xdr:colOff>
      <xdr:row>33</xdr:row>
      <xdr:rowOff>114300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BD11F2F0-CD51-4708-9CB7-31AFB705B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58208</xdr:colOff>
      <xdr:row>24</xdr:row>
      <xdr:rowOff>38100</xdr:rowOff>
    </xdr:from>
    <xdr:to>
      <xdr:col>14</xdr:col>
      <xdr:colOff>685800</xdr:colOff>
      <xdr:row>31</xdr:row>
      <xdr:rowOff>2116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6162A196-6527-4D9D-B0DA-DAF35667F4DB}"/>
            </a:ext>
          </a:extLst>
        </xdr:cNvPr>
        <xdr:cNvCxnSpPr/>
      </xdr:nvCxnSpPr>
      <xdr:spPr>
        <a:xfrm flipV="1">
          <a:off x="5887508" y="4524375"/>
          <a:ext cx="3866092" cy="12308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12</xdr:row>
      <xdr:rowOff>0</xdr:rowOff>
    </xdr:from>
    <xdr:to>
      <xdr:col>14</xdr:col>
      <xdr:colOff>474134</xdr:colOff>
      <xdr:row>13</xdr:row>
      <xdr:rowOff>94192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98C6A894-B585-46BE-8C12-E9696E77B82D}"/>
            </a:ext>
          </a:extLst>
        </xdr:cNvPr>
        <xdr:cNvSpPr txBox="1"/>
      </xdr:nvSpPr>
      <xdr:spPr>
        <a:xfrm>
          <a:off x="8105775" y="2314575"/>
          <a:ext cx="1436159" cy="27516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Support Level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29</xdr:row>
      <xdr:rowOff>0</xdr:rowOff>
    </xdr:from>
    <xdr:to>
      <xdr:col>6</xdr:col>
      <xdr:colOff>411480</xdr:colOff>
      <xdr:row>30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7CBE7D-6216-432E-811E-93D64A06F84D}"/>
            </a:ext>
          </a:extLst>
        </xdr:cNvPr>
        <xdr:cNvSpPr>
          <a:spLocks noChangeShapeType="1"/>
        </xdr:cNvSpPr>
      </xdr:nvSpPr>
      <xdr:spPr bwMode="auto">
        <a:xfrm>
          <a:off x="7230322" y="5267325"/>
          <a:ext cx="0" cy="284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29</xdr:row>
      <xdr:rowOff>0</xdr:rowOff>
    </xdr:from>
    <xdr:to>
      <xdr:col>7</xdr:col>
      <xdr:colOff>361950</xdr:colOff>
      <xdr:row>31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BBCE9FA-7080-4957-94CE-059349B623E1}"/>
            </a:ext>
          </a:extLst>
        </xdr:cNvPr>
        <xdr:cNvSpPr>
          <a:spLocks noChangeShapeType="1"/>
        </xdr:cNvSpPr>
      </xdr:nvSpPr>
      <xdr:spPr bwMode="auto">
        <a:xfrm>
          <a:off x="8017933" y="5267325"/>
          <a:ext cx="0" cy="477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29</xdr:row>
      <xdr:rowOff>0</xdr:rowOff>
    </xdr:from>
    <xdr:to>
      <xdr:col>8</xdr:col>
      <xdr:colOff>411480</xdr:colOff>
      <xdr:row>32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E2AAE3A-BBFA-4142-ACA8-9994C7134A8F}"/>
            </a:ext>
          </a:extLst>
        </xdr:cNvPr>
        <xdr:cNvSpPr>
          <a:spLocks noChangeShapeType="1"/>
        </xdr:cNvSpPr>
      </xdr:nvSpPr>
      <xdr:spPr bwMode="auto">
        <a:xfrm>
          <a:off x="8906722" y="5267325"/>
          <a:ext cx="0" cy="62907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29</xdr:row>
      <xdr:rowOff>0</xdr:rowOff>
    </xdr:from>
    <xdr:to>
      <xdr:col>9</xdr:col>
      <xdr:colOff>411480</xdr:colOff>
      <xdr:row>33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E345443-9FD6-46FB-AE40-457D4926C1A2}"/>
            </a:ext>
          </a:extLst>
        </xdr:cNvPr>
        <xdr:cNvSpPr>
          <a:spLocks noChangeShapeType="1"/>
        </xdr:cNvSpPr>
      </xdr:nvSpPr>
      <xdr:spPr bwMode="auto">
        <a:xfrm>
          <a:off x="9744922" y="5267325"/>
          <a:ext cx="0" cy="817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53340</xdr:rowOff>
    </xdr:from>
    <xdr:to>
      <xdr:col>5</xdr:col>
      <xdr:colOff>491490</xdr:colOff>
      <xdr:row>29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2D4935A3-E1AE-4444-9901-A1FC9B941753}"/>
            </a:ext>
          </a:extLst>
        </xdr:cNvPr>
        <xdr:cNvSpPr>
          <a:spLocks noChangeShapeType="1"/>
        </xdr:cNvSpPr>
      </xdr:nvSpPr>
      <xdr:spPr bwMode="auto">
        <a:xfrm flipH="1">
          <a:off x="5981700" y="5322782"/>
          <a:ext cx="49572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91440</xdr:rowOff>
    </xdr:from>
    <xdr:to>
      <xdr:col>6</xdr:col>
      <xdr:colOff>411480</xdr:colOff>
      <xdr:row>30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DFF6F61C-B228-49E0-B5CD-E5988443621E}"/>
            </a:ext>
          </a:extLst>
        </xdr:cNvPr>
        <xdr:cNvSpPr>
          <a:spLocks noChangeShapeType="1"/>
        </xdr:cNvSpPr>
      </xdr:nvSpPr>
      <xdr:spPr bwMode="auto">
        <a:xfrm flipH="1">
          <a:off x="5981700" y="5551382"/>
          <a:ext cx="12486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91440</xdr:rowOff>
    </xdr:from>
    <xdr:to>
      <xdr:col>7</xdr:col>
      <xdr:colOff>361950</xdr:colOff>
      <xdr:row>31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616FFB9E-CA8C-4F0F-9D6B-D85118F05926}"/>
            </a:ext>
          </a:extLst>
        </xdr:cNvPr>
        <xdr:cNvSpPr>
          <a:spLocks noChangeShapeType="1"/>
        </xdr:cNvSpPr>
      </xdr:nvSpPr>
      <xdr:spPr bwMode="auto">
        <a:xfrm flipH="1">
          <a:off x="5981700" y="5732357"/>
          <a:ext cx="203623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64770</xdr:rowOff>
    </xdr:from>
    <xdr:to>
      <xdr:col>8</xdr:col>
      <xdr:colOff>411480</xdr:colOff>
      <xdr:row>32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539BEE77-0ED4-4EF9-A91C-41900A40CBAA}"/>
            </a:ext>
          </a:extLst>
        </xdr:cNvPr>
        <xdr:cNvSpPr>
          <a:spLocks noChangeShapeType="1"/>
        </xdr:cNvSpPr>
      </xdr:nvSpPr>
      <xdr:spPr bwMode="auto">
        <a:xfrm flipH="1">
          <a:off x="5981700" y="5887720"/>
          <a:ext cx="292502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80010</xdr:rowOff>
    </xdr:from>
    <xdr:to>
      <xdr:col>9</xdr:col>
      <xdr:colOff>422910</xdr:colOff>
      <xdr:row>33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44C83F5F-69F4-43A8-99C0-A9CED5C2C455}"/>
            </a:ext>
          </a:extLst>
        </xdr:cNvPr>
        <xdr:cNvSpPr>
          <a:spLocks noChangeShapeType="1"/>
        </xdr:cNvSpPr>
      </xdr:nvSpPr>
      <xdr:spPr bwMode="auto">
        <a:xfrm flipH="1">
          <a:off x="5981700" y="6076527"/>
          <a:ext cx="377147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29</xdr:row>
      <xdr:rowOff>0</xdr:rowOff>
    </xdr:from>
    <xdr:to>
      <xdr:col>5</xdr:col>
      <xdr:colOff>480060</xdr:colOff>
      <xdr:row>29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DB307B93-AEBC-4FF1-90A6-4809083BCAE3}"/>
            </a:ext>
          </a:extLst>
        </xdr:cNvPr>
        <xdr:cNvSpPr>
          <a:spLocks noChangeShapeType="1"/>
        </xdr:cNvSpPr>
      </xdr:nvSpPr>
      <xdr:spPr bwMode="auto">
        <a:xfrm>
          <a:off x="6459643" y="5267325"/>
          <a:ext cx="0" cy="554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19</xdr:row>
      <xdr:rowOff>83820</xdr:rowOff>
    </xdr:from>
    <xdr:to>
      <xdr:col>10</xdr:col>
      <xdr:colOff>461010</xdr:colOff>
      <xdr:row>22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1F006539-EC1A-47FC-8E22-221CC4C41C83}"/>
            </a:ext>
          </a:extLst>
        </xdr:cNvPr>
        <xdr:cNvSpPr>
          <a:spLocks noChangeShapeType="1"/>
        </xdr:cNvSpPr>
      </xdr:nvSpPr>
      <xdr:spPr bwMode="auto">
        <a:xfrm flipV="1">
          <a:off x="10629477" y="3609128"/>
          <a:ext cx="0" cy="4965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22</xdr:row>
      <xdr:rowOff>91440</xdr:rowOff>
    </xdr:from>
    <xdr:to>
      <xdr:col>10</xdr:col>
      <xdr:colOff>472440</xdr:colOff>
      <xdr:row>22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481C45D-DFE7-48D8-9082-71B36AE558A4}"/>
            </a:ext>
          </a:extLst>
        </xdr:cNvPr>
        <xdr:cNvSpPr>
          <a:spLocks noChangeShapeType="1"/>
        </xdr:cNvSpPr>
      </xdr:nvSpPr>
      <xdr:spPr bwMode="auto">
        <a:xfrm>
          <a:off x="10180955" y="4084532"/>
          <a:ext cx="46630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6921b89f68d3868/Documents/Text%20Book%20project/Figures/Chapter%2017%20-%20Valuation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7.1"/>
      <sheetName val="Fig.17.2"/>
      <sheetName val="Fig. 17.3"/>
      <sheetName val="Fig. 17.4"/>
      <sheetName val="Fig. 17.5"/>
      <sheetName val="Fig. 17.6"/>
      <sheetName val="Fig. 17.7"/>
      <sheetName val="Fig. 17.8"/>
      <sheetName val="Fig.17.9"/>
      <sheetName val="Fig. 17.10"/>
      <sheetName val="Fig. 17.11"/>
      <sheetName val="CASE STUDY 17.1"/>
      <sheetName val="CASE STUDY 17.2"/>
      <sheetName val="Sheet1"/>
    </sheetNames>
    <sheetDataSet>
      <sheetData sheetId="0"/>
      <sheetData sheetId="1"/>
      <sheetData sheetId="2"/>
      <sheetData sheetId="3">
        <row r="18">
          <cell r="G18">
            <v>1440000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2">
          <cell r="C12">
            <v>3695000</v>
          </cell>
        </row>
        <row r="20">
          <cell r="H20">
            <v>1.7999999999999998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2325-C04E-4311-BF0D-E3604204D6B0}">
  <dimension ref="B1:E11"/>
  <sheetViews>
    <sheetView showGridLines="0" workbookViewId="0">
      <selection activeCell="J8" sqref="J8"/>
    </sheetView>
  </sheetViews>
  <sheetFormatPr defaultRowHeight="14.35" x14ac:dyDescent="0.5"/>
  <cols>
    <col min="2" max="5" width="13.703125" customWidth="1"/>
  </cols>
  <sheetData>
    <row r="1" spans="2:5" ht="20.7" x14ac:dyDescent="0.7">
      <c r="B1" s="1" t="s">
        <v>9</v>
      </c>
      <c r="E1" s="13" t="s">
        <v>15</v>
      </c>
    </row>
    <row r="2" spans="2:5" ht="30" customHeight="1" x14ac:dyDescent="1">
      <c r="B2" s="9">
        <f>+C6</f>
        <v>112.5</v>
      </c>
      <c r="C2" s="10">
        <v>1.2</v>
      </c>
      <c r="D2" s="11">
        <f>+C2/B2</f>
        <v>1.0666666666666666E-2</v>
      </c>
    </row>
    <row r="4" spans="2:5" ht="18.350000000000001" thickBot="1" x14ac:dyDescent="0.65">
      <c r="B4" s="12" t="s">
        <v>8</v>
      </c>
    </row>
    <row r="5" spans="2:5" ht="47.7" customHeight="1" thickBot="1" x14ac:dyDescent="0.55000000000000004">
      <c r="B5" s="2" t="s">
        <v>0</v>
      </c>
      <c r="C5" s="3" t="s">
        <v>1</v>
      </c>
      <c r="D5" s="3" t="s">
        <v>2</v>
      </c>
      <c r="E5" s="3" t="s">
        <v>10</v>
      </c>
    </row>
    <row r="6" spans="2:5" ht="21" customHeight="1" thickBot="1" x14ac:dyDescent="0.55000000000000004">
      <c r="B6" s="4" t="s">
        <v>3</v>
      </c>
      <c r="C6" s="5">
        <v>112.5</v>
      </c>
      <c r="D6" s="5">
        <v>112.75</v>
      </c>
      <c r="E6" s="6" t="s">
        <v>11</v>
      </c>
    </row>
    <row r="7" spans="2:5" ht="21" customHeight="1" thickBot="1" x14ac:dyDescent="0.55000000000000004">
      <c r="B7" s="4" t="s">
        <v>4</v>
      </c>
      <c r="C7" s="5">
        <v>112.53</v>
      </c>
      <c r="D7" s="5">
        <v>112.79</v>
      </c>
      <c r="E7" s="7" t="s">
        <v>12</v>
      </c>
    </row>
    <row r="8" spans="2:5" ht="21" customHeight="1" thickBot="1" x14ac:dyDescent="0.55000000000000004">
      <c r="B8" s="4" t="s">
        <v>5</v>
      </c>
      <c r="C8" s="5">
        <v>112.58</v>
      </c>
      <c r="D8" s="5">
        <v>112.81</v>
      </c>
      <c r="E8" s="6" t="s">
        <v>13</v>
      </c>
    </row>
    <row r="9" spans="2:5" ht="21" customHeight="1" thickBot="1" x14ac:dyDescent="0.55000000000000004">
      <c r="B9" s="4" t="s">
        <v>6</v>
      </c>
      <c r="C9" s="5">
        <v>112.65</v>
      </c>
      <c r="D9" s="5">
        <v>112.84</v>
      </c>
      <c r="E9" s="6" t="s">
        <v>14</v>
      </c>
    </row>
    <row r="11" spans="2:5" ht="15.35" x14ac:dyDescent="0.5">
      <c r="E11" s="8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D8EA-625E-424B-A5A0-88263D272480}">
  <dimension ref="A1:M21"/>
  <sheetViews>
    <sheetView showGridLines="0" topLeftCell="A10" workbookViewId="0">
      <selection activeCell="J32" sqref="J32"/>
    </sheetView>
  </sheetViews>
  <sheetFormatPr defaultRowHeight="14.35" x14ac:dyDescent="0.5"/>
  <cols>
    <col min="1" max="1" width="9" customWidth="1"/>
    <col min="2" max="2" width="19.46875" customWidth="1"/>
    <col min="3" max="3" width="3.46875" customWidth="1"/>
    <col min="4" max="4" width="10.5859375" customWidth="1"/>
    <col min="5" max="5" width="9.76171875" customWidth="1"/>
    <col min="6" max="6" width="9.5859375" customWidth="1"/>
    <col min="7" max="7" width="2.8203125" customWidth="1"/>
    <col min="8" max="10" width="10.76171875" customWidth="1"/>
    <col min="11" max="11" width="9.9375" customWidth="1"/>
    <col min="12" max="12" width="2.76171875" customWidth="1"/>
    <col min="13" max="13" width="11.05859375" customWidth="1"/>
  </cols>
  <sheetData>
    <row r="1" spans="1:13" ht="18" x14ac:dyDescent="0.6">
      <c r="A1" s="12" t="s">
        <v>17</v>
      </c>
      <c r="C1" s="12"/>
    </row>
    <row r="3" spans="1:13" x14ac:dyDescent="0.5">
      <c r="D3" s="220" t="s">
        <v>24</v>
      </c>
      <c r="E3" s="220"/>
      <c r="F3" s="220"/>
      <c r="H3" s="220" t="s">
        <v>21</v>
      </c>
      <c r="I3" s="221"/>
      <c r="J3" s="221"/>
      <c r="M3" s="18" t="s">
        <v>34</v>
      </c>
    </row>
    <row r="4" spans="1:13" ht="70.349999999999994" customHeight="1" x14ac:dyDescent="0.5">
      <c r="B4" s="19" t="s">
        <v>30</v>
      </c>
      <c r="C4" s="32"/>
      <c r="D4" s="33" t="s">
        <v>48</v>
      </c>
      <c r="E4" s="33" t="s">
        <v>50</v>
      </c>
      <c r="F4" s="33" t="s">
        <v>51</v>
      </c>
      <c r="G4" s="34"/>
      <c r="H4" s="33" t="s">
        <v>42</v>
      </c>
      <c r="I4" s="33" t="s">
        <v>20</v>
      </c>
      <c r="J4" s="33" t="s">
        <v>23</v>
      </c>
      <c r="K4" s="32"/>
      <c r="L4" s="32"/>
      <c r="M4" s="33" t="s">
        <v>22</v>
      </c>
    </row>
    <row r="5" spans="1:13" ht="26.45" customHeight="1" x14ac:dyDescent="0.5">
      <c r="B5" s="22" t="s">
        <v>16</v>
      </c>
      <c r="C5" s="22"/>
      <c r="D5" s="23">
        <v>100</v>
      </c>
      <c r="E5" s="24">
        <v>100</v>
      </c>
      <c r="F5" s="25">
        <f>-E5*D5</f>
        <v>-10000</v>
      </c>
      <c r="G5" s="25"/>
      <c r="H5" s="26">
        <v>0.5</v>
      </c>
      <c r="I5" s="25">
        <f>-H5*F5</f>
        <v>5000</v>
      </c>
      <c r="J5" s="27">
        <v>0.05</v>
      </c>
      <c r="K5" s="22"/>
      <c r="L5" s="22"/>
      <c r="M5" s="25">
        <f>+F5+I5</f>
        <v>-5000</v>
      </c>
    </row>
    <row r="6" spans="1:13" ht="26.45" customHeight="1" x14ac:dyDescent="0.5">
      <c r="B6" s="22" t="s">
        <v>18</v>
      </c>
      <c r="C6" s="22"/>
      <c r="D6" s="23">
        <f>+D5</f>
        <v>100</v>
      </c>
      <c r="E6" s="24">
        <v>100</v>
      </c>
      <c r="F6" s="25">
        <f>-E6*D6</f>
        <v>-10000</v>
      </c>
      <c r="G6" s="25"/>
      <c r="H6" s="28">
        <v>0</v>
      </c>
      <c r="I6" s="25">
        <f>+H6*F6</f>
        <v>0</v>
      </c>
      <c r="J6" s="22"/>
      <c r="K6" s="22"/>
      <c r="L6" s="22"/>
      <c r="M6" s="25">
        <f>+F6-I6</f>
        <v>-10000</v>
      </c>
    </row>
    <row r="10" spans="1:13" x14ac:dyDescent="0.5">
      <c r="D10" s="220" t="s">
        <v>25</v>
      </c>
      <c r="E10" s="220"/>
      <c r="F10" s="220"/>
      <c r="H10" s="220" t="s">
        <v>26</v>
      </c>
      <c r="I10" s="221"/>
      <c r="J10" s="221"/>
      <c r="K10" s="221"/>
      <c r="M10" s="18" t="s">
        <v>28</v>
      </c>
    </row>
    <row r="11" spans="1:13" ht="71.7" x14ac:dyDescent="0.5">
      <c r="B11" s="19" t="s">
        <v>31</v>
      </c>
      <c r="C11" s="32"/>
      <c r="D11" s="33" t="s">
        <v>49</v>
      </c>
      <c r="E11" s="33" t="s">
        <v>50</v>
      </c>
      <c r="F11" s="33" t="s">
        <v>27</v>
      </c>
      <c r="G11" s="34"/>
      <c r="H11" s="33" t="s">
        <v>52</v>
      </c>
      <c r="I11" s="33" t="s">
        <v>53</v>
      </c>
      <c r="J11" s="21" t="s">
        <v>54</v>
      </c>
      <c r="K11" s="33" t="s">
        <v>32</v>
      </c>
      <c r="L11" s="32"/>
      <c r="M11" s="33" t="s">
        <v>29</v>
      </c>
    </row>
    <row r="12" spans="1:13" ht="26.35" customHeight="1" x14ac:dyDescent="0.5">
      <c r="A12" s="222" t="s">
        <v>55</v>
      </c>
      <c r="B12" s="22" t="s">
        <v>16</v>
      </c>
      <c r="C12" s="22"/>
      <c r="D12" s="23">
        <v>120</v>
      </c>
      <c r="E12" s="24">
        <v>100</v>
      </c>
      <c r="F12" s="25">
        <f>+E12*D12</f>
        <v>12000</v>
      </c>
      <c r="G12" s="25"/>
      <c r="H12" s="25">
        <f>-I5</f>
        <v>-5000</v>
      </c>
      <c r="I12" s="25">
        <f>-I5*J5</f>
        <v>-250</v>
      </c>
      <c r="J12" s="25">
        <f>+F12+H12+I12</f>
        <v>6750</v>
      </c>
      <c r="K12" s="29">
        <f>+J12+M5</f>
        <v>1750</v>
      </c>
      <c r="L12" s="22"/>
      <c r="M12" s="30">
        <f>+K12/-M5</f>
        <v>0.35</v>
      </c>
    </row>
    <row r="13" spans="1:13" ht="26.45" customHeight="1" x14ac:dyDescent="0.5">
      <c r="A13" s="222"/>
      <c r="B13" s="22" t="s">
        <v>18</v>
      </c>
      <c r="C13" s="22"/>
      <c r="D13" s="23">
        <f>+D12</f>
        <v>120</v>
      </c>
      <c r="E13" s="24">
        <v>100</v>
      </c>
      <c r="F13" s="25">
        <f>+E13*D13</f>
        <v>12000</v>
      </c>
      <c r="G13" s="25"/>
      <c r="H13" s="25">
        <f>-I6</f>
        <v>0</v>
      </c>
      <c r="I13" s="25">
        <v>0</v>
      </c>
      <c r="J13" s="25">
        <f>+F13+H13+I13</f>
        <v>12000</v>
      </c>
      <c r="K13" s="29">
        <f>+J13+M6</f>
        <v>2000</v>
      </c>
      <c r="L13" s="22"/>
      <c r="M13" s="30">
        <f>+K13/-M6</f>
        <v>0.2</v>
      </c>
    </row>
    <row r="16" spans="1:13" ht="26.45" customHeight="1" x14ac:dyDescent="0.5">
      <c r="A16" s="222" t="s">
        <v>56</v>
      </c>
      <c r="B16" s="22" t="s">
        <v>16</v>
      </c>
      <c r="C16" s="22"/>
      <c r="D16" s="23">
        <v>80</v>
      </c>
      <c r="E16" s="24">
        <v>100</v>
      </c>
      <c r="F16" s="25">
        <f>+E16*D16</f>
        <v>8000</v>
      </c>
      <c r="G16" s="25"/>
      <c r="H16" s="25">
        <f>+H12</f>
        <v>-5000</v>
      </c>
      <c r="I16" s="25">
        <f>+I12</f>
        <v>-250</v>
      </c>
      <c r="J16" s="25">
        <f>+F16+H16+I16</f>
        <v>2750</v>
      </c>
      <c r="K16" s="29">
        <f>+J16+M5</f>
        <v>-2250</v>
      </c>
      <c r="L16" s="22"/>
      <c r="M16" s="30">
        <f>+K16/-M5</f>
        <v>-0.45</v>
      </c>
    </row>
    <row r="17" spans="1:13" ht="26.45" customHeight="1" x14ac:dyDescent="0.5">
      <c r="A17" s="222"/>
      <c r="B17" s="22" t="s">
        <v>18</v>
      </c>
      <c r="C17" s="22"/>
      <c r="D17" s="23">
        <v>80</v>
      </c>
      <c r="E17" s="24">
        <v>100</v>
      </c>
      <c r="F17" s="25">
        <f>+E17*D17</f>
        <v>8000</v>
      </c>
      <c r="G17" s="25"/>
      <c r="H17" s="25">
        <f>-I10</f>
        <v>0</v>
      </c>
      <c r="I17" s="25">
        <v>0</v>
      </c>
      <c r="J17" s="25">
        <f>+F17+H17+I17</f>
        <v>8000</v>
      </c>
      <c r="K17" s="29">
        <f>+J17+M6</f>
        <v>-2000</v>
      </c>
      <c r="L17" s="22"/>
      <c r="M17" s="30">
        <f>+K17/-M6</f>
        <v>-0.2</v>
      </c>
    </row>
    <row r="21" spans="1:13" x14ac:dyDescent="0.5">
      <c r="M21" s="13" t="s">
        <v>33</v>
      </c>
    </row>
  </sheetData>
  <mergeCells count="6">
    <mergeCell ref="H3:J3"/>
    <mergeCell ref="H10:K10"/>
    <mergeCell ref="A12:A13"/>
    <mergeCell ref="A16:A17"/>
    <mergeCell ref="D3:F3"/>
    <mergeCell ref="D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897EA-B7CF-4866-860F-34E70605AD75}">
  <dimension ref="B1:K15"/>
  <sheetViews>
    <sheetView showGridLines="0" tabSelected="1" workbookViewId="0">
      <selection activeCell="B3" sqref="B3:K7"/>
    </sheetView>
  </sheetViews>
  <sheetFormatPr defaultRowHeight="14.35" x14ac:dyDescent="0.5"/>
  <cols>
    <col min="1" max="1" width="4.3515625" customWidth="1"/>
    <col min="2" max="2" width="19.46875" customWidth="1"/>
    <col min="3" max="3" width="3.46875" customWidth="1"/>
    <col min="4" max="4" width="10.5859375" customWidth="1"/>
    <col min="5" max="5" width="9.76171875" customWidth="1"/>
    <col min="6" max="6" width="9.5859375" customWidth="1"/>
    <col min="7" max="7" width="2.8203125" customWidth="1"/>
    <col min="8" max="8" width="10.76171875" customWidth="1"/>
    <col min="9" max="9" width="12.234375" customWidth="1"/>
    <col min="10" max="11" width="10.76171875" customWidth="1"/>
    <col min="12" max="12" width="9.9375" customWidth="1"/>
    <col min="13" max="13" width="2.76171875" customWidth="1"/>
    <col min="14" max="14" width="11.05859375" customWidth="1"/>
  </cols>
  <sheetData>
    <row r="1" spans="2:11" ht="18" x14ac:dyDescent="0.6">
      <c r="B1" s="12" t="s">
        <v>41</v>
      </c>
      <c r="C1" s="12"/>
    </row>
    <row r="3" spans="2:11" x14ac:dyDescent="0.5">
      <c r="D3" s="220" t="s">
        <v>40</v>
      </c>
      <c r="E3" s="220"/>
      <c r="F3" s="220"/>
      <c r="H3" s="220" t="s">
        <v>46</v>
      </c>
      <c r="I3" s="220"/>
      <c r="J3" s="220"/>
      <c r="K3" s="220"/>
    </row>
    <row r="4" spans="2:11" ht="43.35" customHeight="1" x14ac:dyDescent="0.5">
      <c r="D4" s="20" t="s">
        <v>36</v>
      </c>
      <c r="E4" s="20" t="s">
        <v>37</v>
      </c>
      <c r="F4" s="20" t="s">
        <v>38</v>
      </c>
      <c r="G4" s="14"/>
      <c r="H4" s="20" t="s">
        <v>43</v>
      </c>
      <c r="I4" s="20" t="s">
        <v>47</v>
      </c>
      <c r="J4" s="20" t="s">
        <v>44</v>
      </c>
      <c r="K4" s="20" t="s">
        <v>45</v>
      </c>
    </row>
    <row r="5" spans="2:11" ht="21" customHeight="1" x14ac:dyDescent="0.5">
      <c r="B5" s="22" t="s">
        <v>35</v>
      </c>
      <c r="C5" s="22"/>
      <c r="D5" s="23">
        <v>100</v>
      </c>
      <c r="E5" s="24">
        <v>100</v>
      </c>
      <c r="F5" s="25">
        <f>E5*D5</f>
        <v>10000</v>
      </c>
      <c r="G5" s="25"/>
      <c r="H5" s="25">
        <v>50</v>
      </c>
      <c r="I5" s="25">
        <f>-H5*E5</f>
        <v>-5000</v>
      </c>
      <c r="J5" s="25">
        <f>+F5+I5</f>
        <v>5000</v>
      </c>
      <c r="K5" s="31">
        <f>+J5/F5</f>
        <v>0.5</v>
      </c>
    </row>
    <row r="6" spans="2:11" ht="21" customHeight="1" x14ac:dyDescent="0.5">
      <c r="B6" s="22" t="s">
        <v>35</v>
      </c>
      <c r="C6" s="22"/>
      <c r="D6" s="23">
        <v>100</v>
      </c>
      <c r="E6" s="24">
        <v>100</v>
      </c>
      <c r="F6" s="25">
        <f t="shared" ref="F6:F13" si="0">E6*D6</f>
        <v>10000</v>
      </c>
      <c r="G6" s="25"/>
      <c r="H6" s="25">
        <v>60</v>
      </c>
      <c r="I6" s="25">
        <f t="shared" ref="I6:I13" si="1">-H6*E6</f>
        <v>-6000</v>
      </c>
      <c r="J6" s="25">
        <f t="shared" ref="J6:J13" si="2">+F6+I6</f>
        <v>4000</v>
      </c>
      <c r="K6" s="31">
        <f t="shared" ref="K6:K13" si="3">+J6/F6</f>
        <v>0.4</v>
      </c>
    </row>
    <row r="7" spans="2:11" ht="21" customHeight="1" x14ac:dyDescent="0.5">
      <c r="B7" s="22" t="s">
        <v>35</v>
      </c>
      <c r="C7" s="22"/>
      <c r="D7" s="23">
        <v>100</v>
      </c>
      <c r="E7" s="24">
        <v>100</v>
      </c>
      <c r="F7" s="25">
        <f t="shared" si="0"/>
        <v>10000</v>
      </c>
      <c r="G7" s="25"/>
      <c r="H7" s="25">
        <v>70</v>
      </c>
      <c r="I7" s="25">
        <f t="shared" si="1"/>
        <v>-7000</v>
      </c>
      <c r="J7" s="25">
        <f t="shared" si="2"/>
        <v>3000</v>
      </c>
      <c r="K7" s="31">
        <f t="shared" si="3"/>
        <v>0.3</v>
      </c>
    </row>
    <row r="8" spans="2:11" ht="21" customHeight="1" x14ac:dyDescent="0.5">
      <c r="B8" s="22" t="s">
        <v>35</v>
      </c>
      <c r="C8" s="22"/>
      <c r="D8" s="23">
        <v>100</v>
      </c>
      <c r="E8" s="24">
        <v>100</v>
      </c>
      <c r="F8" s="25">
        <f t="shared" si="0"/>
        <v>10000</v>
      </c>
      <c r="G8" s="25"/>
      <c r="H8" s="25">
        <v>80</v>
      </c>
      <c r="I8" s="25">
        <f t="shared" si="1"/>
        <v>-8000</v>
      </c>
      <c r="J8" s="25">
        <f t="shared" si="2"/>
        <v>2000</v>
      </c>
      <c r="K8" s="31">
        <f t="shared" si="3"/>
        <v>0.2</v>
      </c>
    </row>
    <row r="9" spans="2:11" ht="21" customHeight="1" x14ac:dyDescent="0.5">
      <c r="B9" s="22" t="s">
        <v>35</v>
      </c>
      <c r="C9" s="22"/>
      <c r="D9" s="23">
        <v>100</v>
      </c>
      <c r="E9" s="24">
        <v>100</v>
      </c>
      <c r="F9" s="25">
        <f t="shared" si="0"/>
        <v>10000</v>
      </c>
      <c r="G9" s="25"/>
      <c r="H9" s="25">
        <v>90</v>
      </c>
      <c r="I9" s="25">
        <f t="shared" si="1"/>
        <v>-9000</v>
      </c>
      <c r="J9" s="25">
        <f t="shared" si="2"/>
        <v>1000</v>
      </c>
      <c r="K9" s="31">
        <f t="shared" si="3"/>
        <v>0.1</v>
      </c>
    </row>
    <row r="10" spans="2:11" ht="21" customHeight="1" x14ac:dyDescent="0.5">
      <c r="B10" s="22" t="s">
        <v>35</v>
      </c>
      <c r="C10" s="22"/>
      <c r="D10" s="23">
        <v>100</v>
      </c>
      <c r="E10" s="24">
        <v>100</v>
      </c>
      <c r="F10" s="25">
        <f t="shared" si="0"/>
        <v>10000</v>
      </c>
      <c r="G10" s="25"/>
      <c r="H10" s="25">
        <v>100</v>
      </c>
      <c r="I10" s="25">
        <f t="shared" si="1"/>
        <v>-10000</v>
      </c>
      <c r="J10" s="25">
        <f t="shared" si="2"/>
        <v>0</v>
      </c>
      <c r="K10" s="31">
        <f t="shared" si="3"/>
        <v>0</v>
      </c>
    </row>
    <row r="11" spans="2:11" ht="21" customHeight="1" x14ac:dyDescent="0.5">
      <c r="B11" s="22" t="s">
        <v>35</v>
      </c>
      <c r="C11" s="22"/>
      <c r="D11" s="23">
        <v>100</v>
      </c>
      <c r="E11" s="24">
        <v>100</v>
      </c>
      <c r="F11" s="25">
        <f t="shared" si="0"/>
        <v>10000</v>
      </c>
      <c r="G11" s="25"/>
      <c r="H11" s="25">
        <v>110</v>
      </c>
      <c r="I11" s="25">
        <f t="shared" si="1"/>
        <v>-11000</v>
      </c>
      <c r="J11" s="25">
        <f t="shared" si="2"/>
        <v>-1000</v>
      </c>
      <c r="K11" s="31">
        <f t="shared" si="3"/>
        <v>-0.1</v>
      </c>
    </row>
    <row r="12" spans="2:11" ht="21" customHeight="1" x14ac:dyDescent="0.5">
      <c r="B12" s="22" t="s">
        <v>35</v>
      </c>
      <c r="C12" s="22"/>
      <c r="D12" s="23">
        <v>100</v>
      </c>
      <c r="E12" s="24">
        <v>100</v>
      </c>
      <c r="F12" s="25">
        <f t="shared" si="0"/>
        <v>10000</v>
      </c>
      <c r="G12" s="25"/>
      <c r="H12" s="25">
        <v>120</v>
      </c>
      <c r="I12" s="25">
        <f t="shared" si="1"/>
        <v>-12000</v>
      </c>
      <c r="J12" s="25">
        <f t="shared" si="2"/>
        <v>-2000</v>
      </c>
      <c r="K12" s="31">
        <f t="shared" si="3"/>
        <v>-0.2</v>
      </c>
    </row>
    <row r="13" spans="2:11" ht="21" customHeight="1" x14ac:dyDescent="0.5">
      <c r="B13" s="22" t="s">
        <v>35</v>
      </c>
      <c r="C13" s="22"/>
      <c r="D13" s="23">
        <v>100</v>
      </c>
      <c r="E13" s="24">
        <v>100</v>
      </c>
      <c r="F13" s="25">
        <f t="shared" si="0"/>
        <v>10000</v>
      </c>
      <c r="G13" s="25"/>
      <c r="H13" s="25">
        <v>130</v>
      </c>
      <c r="I13" s="25">
        <f t="shared" si="1"/>
        <v>-13000</v>
      </c>
      <c r="J13" s="25">
        <f t="shared" si="2"/>
        <v>-3000</v>
      </c>
      <c r="K13" s="31">
        <f t="shared" si="3"/>
        <v>-0.3</v>
      </c>
    </row>
    <row r="15" spans="2:11" x14ac:dyDescent="0.5">
      <c r="K15" s="13" t="s">
        <v>39</v>
      </c>
    </row>
  </sheetData>
  <mergeCells count="2">
    <mergeCell ref="D3:F3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BF48-169D-43BE-9F04-5D93A2F49FB3}">
  <dimension ref="B1:AD93"/>
  <sheetViews>
    <sheetView showGridLines="0" workbookViewId="0">
      <selection activeCell="R7" sqref="R7"/>
    </sheetView>
  </sheetViews>
  <sheetFormatPr defaultRowHeight="14.35" x14ac:dyDescent="0.5"/>
  <cols>
    <col min="15" max="15" width="9.76171875" customWidth="1"/>
    <col min="16" max="16" width="3.52734375" customWidth="1"/>
  </cols>
  <sheetData>
    <row r="1" spans="2:2" ht="25.7" x14ac:dyDescent="0.85">
      <c r="B1" s="10" t="s">
        <v>194</v>
      </c>
    </row>
    <row r="18" spans="8:15" x14ac:dyDescent="0.5">
      <c r="H18" s="13" t="s">
        <v>188</v>
      </c>
      <c r="O18" s="13" t="s">
        <v>188</v>
      </c>
    </row>
    <row r="35" spans="8:15" x14ac:dyDescent="0.5">
      <c r="H35" s="13" t="s">
        <v>189</v>
      </c>
      <c r="O35" s="13" t="s">
        <v>193</v>
      </c>
    </row>
    <row r="37" spans="8:15" x14ac:dyDescent="0.5">
      <c r="O37" t="s">
        <v>73</v>
      </c>
    </row>
    <row r="53" spans="2:30" x14ac:dyDescent="0.5">
      <c r="B53" s="203">
        <v>42370</v>
      </c>
      <c r="C53">
        <v>25</v>
      </c>
      <c r="E53" s="203">
        <f>+B53</f>
        <v>42370</v>
      </c>
      <c r="H53" s="203">
        <f>+B53</f>
        <v>42370</v>
      </c>
      <c r="I53" s="204">
        <v>1</v>
      </c>
      <c r="K53" s="203">
        <f>+K54</f>
        <v>42401</v>
      </c>
      <c r="L53" s="205">
        <v>0</v>
      </c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</row>
    <row r="54" spans="2:30" x14ac:dyDescent="0.5">
      <c r="B54" s="203">
        <v>42401</v>
      </c>
      <c r="C54">
        <v>29</v>
      </c>
      <c r="E54" s="203">
        <f t="shared" ref="E54:E93" si="0">+B54</f>
        <v>42401</v>
      </c>
      <c r="F54" s="16">
        <f t="shared" ref="F54:F89" si="1">+C54/C53-1</f>
        <v>0.15999999999999992</v>
      </c>
      <c r="H54" s="203">
        <f t="shared" ref="H54:H93" si="2">+B54</f>
        <v>42401</v>
      </c>
      <c r="I54" s="204">
        <f t="shared" ref="I54:I89" si="3">+I53+F54</f>
        <v>1.1599999999999999</v>
      </c>
      <c r="K54" s="203">
        <f>+B54</f>
        <v>42401</v>
      </c>
      <c r="L54" s="205">
        <f>+C54/C53</f>
        <v>1.1599999999999999</v>
      </c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205"/>
      <c r="Z54" s="205"/>
      <c r="AA54" s="205"/>
      <c r="AB54" s="205"/>
      <c r="AC54" s="205"/>
      <c r="AD54" s="205"/>
    </row>
    <row r="55" spans="2:30" x14ac:dyDescent="0.5">
      <c r="B55" s="203">
        <v>42430</v>
      </c>
      <c r="C55">
        <v>20</v>
      </c>
      <c r="E55" s="203">
        <f t="shared" si="0"/>
        <v>42430</v>
      </c>
      <c r="F55" s="16">
        <f t="shared" si="1"/>
        <v>-0.31034482758620685</v>
      </c>
      <c r="H55" s="203">
        <f t="shared" si="2"/>
        <v>42430</v>
      </c>
      <c r="I55" s="204">
        <f t="shared" si="3"/>
        <v>0.84965517241379307</v>
      </c>
      <c r="K55" s="203">
        <f t="shared" ref="K55" si="4">+K56</f>
        <v>42461</v>
      </c>
      <c r="L55" s="205"/>
      <c r="M55" s="205">
        <v>0.5</v>
      </c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</row>
    <row r="56" spans="2:30" x14ac:dyDescent="0.5">
      <c r="B56" s="203">
        <v>42461</v>
      </c>
      <c r="C56">
        <v>24</v>
      </c>
      <c r="E56" s="203">
        <f t="shared" si="0"/>
        <v>42461</v>
      </c>
      <c r="F56" s="16">
        <f t="shared" si="1"/>
        <v>0.19999999999999996</v>
      </c>
      <c r="H56" s="203">
        <f t="shared" si="2"/>
        <v>42461</v>
      </c>
      <c r="I56" s="204">
        <f t="shared" si="3"/>
        <v>1.049655172413793</v>
      </c>
      <c r="K56" s="203">
        <f t="shared" ref="K56" si="5">+B56</f>
        <v>42461</v>
      </c>
      <c r="L56" s="205"/>
      <c r="M56" s="205">
        <f>+C56/C55+M55</f>
        <v>1.7</v>
      </c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</row>
    <row r="57" spans="2:30" x14ac:dyDescent="0.5">
      <c r="B57" s="203">
        <v>42491</v>
      </c>
      <c r="C57">
        <v>27</v>
      </c>
      <c r="E57" s="203">
        <f t="shared" si="0"/>
        <v>42491</v>
      </c>
      <c r="F57" s="16">
        <f t="shared" si="1"/>
        <v>0.125</v>
      </c>
      <c r="H57" s="203">
        <f t="shared" si="2"/>
        <v>42491</v>
      </c>
      <c r="I57" s="204">
        <f t="shared" si="3"/>
        <v>1.174655172413793</v>
      </c>
      <c r="K57" s="203">
        <f t="shared" ref="K57" si="6">+K58</f>
        <v>42522</v>
      </c>
      <c r="L57" s="205"/>
      <c r="M57" s="205"/>
      <c r="N57" s="205">
        <v>1</v>
      </c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</row>
    <row r="58" spans="2:30" x14ac:dyDescent="0.5">
      <c r="B58" s="203">
        <v>42522</v>
      </c>
      <c r="C58">
        <v>30</v>
      </c>
      <c r="E58" s="203">
        <f t="shared" si="0"/>
        <v>42522</v>
      </c>
      <c r="F58" s="16">
        <f t="shared" si="1"/>
        <v>0.11111111111111116</v>
      </c>
      <c r="H58" s="203">
        <f t="shared" si="2"/>
        <v>42522</v>
      </c>
      <c r="I58" s="204">
        <f t="shared" si="3"/>
        <v>1.2857662835249042</v>
      </c>
      <c r="K58" s="203">
        <f t="shared" ref="K58" si="7">+B58</f>
        <v>42522</v>
      </c>
      <c r="L58" s="205"/>
      <c r="M58" s="205"/>
      <c r="N58" s="205">
        <f>+C58/C57+N57</f>
        <v>2.1111111111111112</v>
      </c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</row>
    <row r="59" spans="2:30" x14ac:dyDescent="0.5">
      <c r="B59" s="203">
        <v>42552</v>
      </c>
      <c r="C59">
        <v>34</v>
      </c>
      <c r="E59" s="203">
        <f t="shared" si="0"/>
        <v>42552</v>
      </c>
      <c r="F59" s="16">
        <f t="shared" si="1"/>
        <v>0.1333333333333333</v>
      </c>
      <c r="H59" s="203">
        <f t="shared" si="2"/>
        <v>42552</v>
      </c>
      <c r="I59" s="204">
        <f t="shared" si="3"/>
        <v>1.4190996168582375</v>
      </c>
      <c r="K59" s="203">
        <f t="shared" ref="K59" si="8">+K60</f>
        <v>42583</v>
      </c>
      <c r="L59" s="205"/>
      <c r="M59" s="205"/>
      <c r="N59" s="205"/>
      <c r="O59" s="205">
        <v>1.5</v>
      </c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</row>
    <row r="60" spans="2:30" x14ac:dyDescent="0.5">
      <c r="B60" s="203">
        <v>42583</v>
      </c>
      <c r="C60">
        <v>30</v>
      </c>
      <c r="E60" s="203">
        <f t="shared" si="0"/>
        <v>42583</v>
      </c>
      <c r="F60" s="16">
        <f t="shared" si="1"/>
        <v>-0.11764705882352944</v>
      </c>
      <c r="H60" s="203">
        <f t="shared" si="2"/>
        <v>42583</v>
      </c>
      <c r="I60" s="204">
        <f t="shared" si="3"/>
        <v>1.3014525580347081</v>
      </c>
      <c r="K60" s="203">
        <f t="shared" ref="K60" si="9">+B60</f>
        <v>42583</v>
      </c>
      <c r="L60" s="205"/>
      <c r="M60" s="205"/>
      <c r="N60" s="205"/>
      <c r="O60" s="205">
        <f>-C60/C59+O59</f>
        <v>0.61764705882352944</v>
      </c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205"/>
    </row>
    <row r="61" spans="2:30" x14ac:dyDescent="0.5">
      <c r="B61" s="203">
        <v>42614</v>
      </c>
      <c r="C61">
        <v>28</v>
      </c>
      <c r="E61" s="203">
        <f t="shared" si="0"/>
        <v>42614</v>
      </c>
      <c r="F61" s="16">
        <f t="shared" si="1"/>
        <v>-6.6666666666666652E-2</v>
      </c>
      <c r="H61" s="203">
        <f t="shared" si="2"/>
        <v>42614</v>
      </c>
      <c r="I61" s="204">
        <f t="shared" si="3"/>
        <v>1.2347858913680414</v>
      </c>
      <c r="K61" s="203">
        <f t="shared" ref="K61" si="10">+K62</f>
        <v>42644</v>
      </c>
      <c r="L61" s="205"/>
      <c r="M61" s="205"/>
      <c r="N61" s="205"/>
      <c r="O61" s="205"/>
      <c r="P61" s="205">
        <v>2</v>
      </c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</row>
    <row r="62" spans="2:30" x14ac:dyDescent="0.5">
      <c r="B62" s="203">
        <v>42644</v>
      </c>
      <c r="C62">
        <v>35</v>
      </c>
      <c r="E62" s="203">
        <f t="shared" si="0"/>
        <v>42644</v>
      </c>
      <c r="F62" s="16">
        <f t="shared" si="1"/>
        <v>0.25</v>
      </c>
      <c r="H62" s="203">
        <f t="shared" si="2"/>
        <v>42644</v>
      </c>
      <c r="I62" s="204">
        <f t="shared" si="3"/>
        <v>1.4847858913680414</v>
      </c>
      <c r="K62" s="203">
        <f t="shared" ref="K62" si="11">+B62</f>
        <v>42644</v>
      </c>
      <c r="L62" s="205"/>
      <c r="M62" s="205"/>
      <c r="N62" s="205"/>
      <c r="O62" s="205"/>
      <c r="P62" s="205">
        <f>+C62/C61+P61</f>
        <v>3.25</v>
      </c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</row>
    <row r="63" spans="2:30" x14ac:dyDescent="0.5">
      <c r="B63" s="203">
        <v>42675</v>
      </c>
      <c r="C63">
        <v>36</v>
      </c>
      <c r="E63" s="203">
        <f t="shared" si="0"/>
        <v>42675</v>
      </c>
      <c r="F63" s="16">
        <f t="shared" si="1"/>
        <v>2.857142857142847E-2</v>
      </c>
      <c r="H63" s="203">
        <f t="shared" si="2"/>
        <v>42675</v>
      </c>
      <c r="I63" s="204">
        <f t="shared" si="3"/>
        <v>1.5133573199394699</v>
      </c>
      <c r="K63" s="203">
        <f t="shared" ref="K63" si="12">+K64</f>
        <v>42705</v>
      </c>
      <c r="L63" s="205"/>
      <c r="M63" s="205"/>
      <c r="N63" s="205"/>
      <c r="O63" s="205"/>
      <c r="P63" s="205"/>
      <c r="Q63" s="205">
        <v>2.5</v>
      </c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</row>
    <row r="64" spans="2:30" x14ac:dyDescent="0.5">
      <c r="B64" s="203">
        <v>42705</v>
      </c>
      <c r="C64">
        <v>32</v>
      </c>
      <c r="E64" s="203">
        <f t="shared" si="0"/>
        <v>42705</v>
      </c>
      <c r="F64" s="16">
        <f t="shared" si="1"/>
        <v>-0.11111111111111116</v>
      </c>
      <c r="H64" s="203">
        <f t="shared" si="2"/>
        <v>42705</v>
      </c>
      <c r="I64" s="204">
        <f t="shared" si="3"/>
        <v>1.4022462088283587</v>
      </c>
      <c r="K64" s="203">
        <f t="shared" ref="K64" si="13">+B64</f>
        <v>42705</v>
      </c>
      <c r="L64" s="205"/>
      <c r="M64" s="205"/>
      <c r="N64" s="205"/>
      <c r="O64" s="205"/>
      <c r="P64" s="205"/>
      <c r="Q64" s="205">
        <f>-C64/C63+Q63</f>
        <v>1.6111111111111112</v>
      </c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</row>
    <row r="65" spans="2:30" x14ac:dyDescent="0.5">
      <c r="B65" s="203">
        <v>42736</v>
      </c>
      <c r="C65">
        <v>37</v>
      </c>
      <c r="E65" s="203">
        <f t="shared" si="0"/>
        <v>42736</v>
      </c>
      <c r="F65" s="16">
        <f t="shared" si="1"/>
        <v>0.15625</v>
      </c>
      <c r="H65" s="203">
        <f t="shared" si="2"/>
        <v>42736</v>
      </c>
      <c r="I65" s="204">
        <f t="shared" si="3"/>
        <v>1.5584962088283587</v>
      </c>
      <c r="K65" s="203">
        <f t="shared" ref="K65" si="14">+K66</f>
        <v>42767</v>
      </c>
      <c r="L65" s="205"/>
      <c r="M65" s="205"/>
      <c r="N65" s="205"/>
      <c r="O65" s="205"/>
      <c r="P65" s="205"/>
      <c r="Q65" s="205"/>
      <c r="R65" s="205">
        <v>3</v>
      </c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</row>
    <row r="66" spans="2:30" x14ac:dyDescent="0.5">
      <c r="B66" s="203">
        <v>42767</v>
      </c>
      <c r="C66">
        <v>40</v>
      </c>
      <c r="E66" s="203">
        <f t="shared" si="0"/>
        <v>42767</v>
      </c>
      <c r="F66" s="16">
        <f t="shared" si="1"/>
        <v>8.1081081081081141E-2</v>
      </c>
      <c r="H66" s="203">
        <f t="shared" si="2"/>
        <v>42767</v>
      </c>
      <c r="I66" s="204">
        <f t="shared" si="3"/>
        <v>1.6395772899094399</v>
      </c>
      <c r="K66" s="203">
        <f t="shared" ref="K66" si="15">+B66</f>
        <v>42767</v>
      </c>
      <c r="L66" s="205"/>
      <c r="M66" s="205"/>
      <c r="N66" s="205"/>
      <c r="O66" s="205"/>
      <c r="P66" s="205"/>
      <c r="Q66" s="205"/>
      <c r="R66" s="205">
        <f>+C66/C65+R65</f>
        <v>4.0810810810810807</v>
      </c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</row>
    <row r="67" spans="2:30" x14ac:dyDescent="0.5">
      <c r="B67" s="203">
        <v>42795</v>
      </c>
      <c r="C67">
        <v>44</v>
      </c>
      <c r="E67" s="203">
        <f t="shared" si="0"/>
        <v>42795</v>
      </c>
      <c r="F67" s="16">
        <f t="shared" si="1"/>
        <v>0.10000000000000009</v>
      </c>
      <c r="H67" s="203">
        <f t="shared" si="2"/>
        <v>42795</v>
      </c>
      <c r="I67" s="204">
        <f t="shared" si="3"/>
        <v>1.7395772899094399</v>
      </c>
      <c r="K67" s="203">
        <f t="shared" ref="K67" si="16">+K68</f>
        <v>42826</v>
      </c>
      <c r="L67" s="205"/>
      <c r="M67" s="205"/>
      <c r="N67" s="205"/>
      <c r="O67" s="205"/>
      <c r="P67" s="205"/>
      <c r="Q67" s="205"/>
      <c r="R67" s="205"/>
      <c r="S67" s="205">
        <v>3.5</v>
      </c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</row>
    <row r="68" spans="2:30" x14ac:dyDescent="0.5">
      <c r="B68" s="203">
        <v>42826</v>
      </c>
      <c r="C68">
        <v>45</v>
      </c>
      <c r="E68" s="203">
        <f t="shared" si="0"/>
        <v>42826</v>
      </c>
      <c r="F68" s="16">
        <f t="shared" si="1"/>
        <v>2.2727272727272707E-2</v>
      </c>
      <c r="H68" s="203">
        <f t="shared" si="2"/>
        <v>42826</v>
      </c>
      <c r="I68" s="204">
        <f t="shared" si="3"/>
        <v>1.7623045626367126</v>
      </c>
      <c r="K68" s="203">
        <f t="shared" ref="K68" si="17">+B68</f>
        <v>42826</v>
      </c>
      <c r="L68" s="205"/>
      <c r="M68" s="205"/>
      <c r="N68" s="205"/>
      <c r="O68" s="205"/>
      <c r="P68" s="205"/>
      <c r="Q68" s="205"/>
      <c r="R68" s="205"/>
      <c r="S68" s="205">
        <f>+C68/C67+S67</f>
        <v>4.5227272727272725</v>
      </c>
      <c r="T68" s="205"/>
      <c r="U68" s="205"/>
      <c r="V68" s="205"/>
      <c r="W68" s="205"/>
      <c r="X68" s="205"/>
      <c r="Y68" s="205"/>
      <c r="Z68" s="205"/>
      <c r="AA68" s="205"/>
      <c r="AB68" s="205"/>
      <c r="AC68" s="205"/>
      <c r="AD68" s="205"/>
    </row>
    <row r="69" spans="2:30" x14ac:dyDescent="0.5">
      <c r="B69" s="203">
        <v>42856</v>
      </c>
      <c r="C69">
        <v>42</v>
      </c>
      <c r="E69" s="203">
        <f t="shared" si="0"/>
        <v>42856</v>
      </c>
      <c r="F69" s="16">
        <f t="shared" si="1"/>
        <v>-6.6666666666666652E-2</v>
      </c>
      <c r="H69" s="203">
        <f t="shared" si="2"/>
        <v>42856</v>
      </c>
      <c r="I69" s="204">
        <f t="shared" si="3"/>
        <v>1.695637895970046</v>
      </c>
      <c r="K69" s="203">
        <f t="shared" ref="K69" si="18">+K70</f>
        <v>42887</v>
      </c>
      <c r="L69" s="205"/>
      <c r="M69" s="205"/>
      <c r="N69" s="205"/>
      <c r="O69" s="205"/>
      <c r="P69" s="205"/>
      <c r="Q69" s="205"/>
      <c r="R69" s="205"/>
      <c r="S69" s="205"/>
      <c r="T69" s="205">
        <v>4</v>
      </c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</row>
    <row r="70" spans="2:30" x14ac:dyDescent="0.5">
      <c r="B70" s="203">
        <v>42887</v>
      </c>
      <c r="C70">
        <v>47</v>
      </c>
      <c r="E70" s="203">
        <f t="shared" si="0"/>
        <v>42887</v>
      </c>
      <c r="F70" s="16">
        <f t="shared" si="1"/>
        <v>0.11904761904761907</v>
      </c>
      <c r="H70" s="203">
        <f t="shared" si="2"/>
        <v>42887</v>
      </c>
      <c r="I70" s="204">
        <f t="shared" si="3"/>
        <v>1.8146855150176651</v>
      </c>
      <c r="K70" s="203">
        <f t="shared" ref="K70" si="19">+B70</f>
        <v>42887</v>
      </c>
      <c r="L70" s="205"/>
      <c r="M70" s="205"/>
      <c r="N70" s="205"/>
      <c r="O70" s="205"/>
      <c r="P70" s="205"/>
      <c r="Q70" s="205"/>
      <c r="R70" s="205"/>
      <c r="S70" s="205"/>
      <c r="T70" s="205">
        <f>+C70/C69+T69</f>
        <v>5.1190476190476186</v>
      </c>
      <c r="U70" s="205"/>
      <c r="V70" s="205"/>
      <c r="W70" s="205"/>
      <c r="X70" s="205"/>
      <c r="Y70" s="205"/>
      <c r="Z70" s="205"/>
      <c r="AA70" s="205"/>
      <c r="AB70" s="205"/>
      <c r="AC70" s="205"/>
      <c r="AD70" s="205"/>
    </row>
    <row r="71" spans="2:30" x14ac:dyDescent="0.5">
      <c r="B71" s="203">
        <v>42917</v>
      </c>
      <c r="C71">
        <v>50</v>
      </c>
      <c r="E71" s="203">
        <f t="shared" si="0"/>
        <v>42917</v>
      </c>
      <c r="F71" s="16">
        <f t="shared" si="1"/>
        <v>6.3829787234042534E-2</v>
      </c>
      <c r="H71" s="203">
        <f t="shared" si="2"/>
        <v>42917</v>
      </c>
      <c r="I71" s="204">
        <f t="shared" si="3"/>
        <v>1.8785153022517076</v>
      </c>
      <c r="K71" s="203">
        <f t="shared" ref="K71" si="20">+K72</f>
        <v>42948</v>
      </c>
      <c r="L71" s="205"/>
      <c r="M71" s="205"/>
      <c r="N71" s="205"/>
      <c r="O71" s="205"/>
      <c r="P71" s="205"/>
      <c r="Q71" s="205"/>
      <c r="R71" s="205"/>
      <c r="S71" s="205"/>
      <c r="T71" s="205"/>
      <c r="U71" s="205">
        <v>4.5</v>
      </c>
      <c r="V71" s="205"/>
      <c r="W71" s="205"/>
      <c r="X71" s="205"/>
      <c r="Y71" s="205"/>
      <c r="Z71" s="205"/>
      <c r="AA71" s="205"/>
      <c r="AB71" s="205"/>
      <c r="AC71" s="205"/>
      <c r="AD71" s="205"/>
    </row>
    <row r="72" spans="2:30" x14ac:dyDescent="0.5">
      <c r="B72" s="203">
        <v>42948</v>
      </c>
      <c r="C72">
        <v>46</v>
      </c>
      <c r="E72" s="203">
        <f t="shared" si="0"/>
        <v>42948</v>
      </c>
      <c r="F72" s="16">
        <f t="shared" si="1"/>
        <v>-7.999999999999996E-2</v>
      </c>
      <c r="H72" s="203">
        <f t="shared" si="2"/>
        <v>42948</v>
      </c>
      <c r="I72" s="204">
        <f t="shared" si="3"/>
        <v>1.7985153022517077</v>
      </c>
      <c r="K72" s="203">
        <f t="shared" ref="K72" si="21">+B72</f>
        <v>42948</v>
      </c>
      <c r="L72" s="205"/>
      <c r="M72" s="205"/>
      <c r="N72" s="205"/>
      <c r="O72" s="205"/>
      <c r="P72" s="205"/>
      <c r="Q72" s="205"/>
      <c r="R72" s="205"/>
      <c r="S72" s="205"/>
      <c r="T72" s="205"/>
      <c r="U72" s="205">
        <f>-C72/C71+U71</f>
        <v>3.58</v>
      </c>
      <c r="V72" s="205"/>
      <c r="W72" s="205"/>
      <c r="X72" s="205"/>
      <c r="Y72" s="205"/>
      <c r="Z72" s="205"/>
      <c r="AA72" s="205"/>
      <c r="AB72" s="205"/>
      <c r="AC72" s="205"/>
      <c r="AD72" s="205"/>
    </row>
    <row r="73" spans="2:30" x14ac:dyDescent="0.5">
      <c r="B73" s="203">
        <v>42979</v>
      </c>
      <c r="C73">
        <v>42</v>
      </c>
      <c r="E73" s="203">
        <f t="shared" si="0"/>
        <v>42979</v>
      </c>
      <c r="F73" s="16">
        <f t="shared" si="1"/>
        <v>-8.6956521739130488E-2</v>
      </c>
      <c r="H73" s="203">
        <f t="shared" si="2"/>
        <v>42979</v>
      </c>
      <c r="I73" s="204">
        <f t="shared" si="3"/>
        <v>1.7115587805125774</v>
      </c>
      <c r="K73" s="203">
        <f t="shared" ref="K73" si="22">+K74</f>
        <v>43009</v>
      </c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>
        <v>5</v>
      </c>
      <c r="W73" s="205"/>
      <c r="X73" s="205"/>
      <c r="Y73" s="205"/>
      <c r="Z73" s="205"/>
      <c r="AA73" s="205"/>
      <c r="AB73" s="205"/>
      <c r="AC73" s="205"/>
      <c r="AD73" s="205"/>
    </row>
    <row r="74" spans="2:30" x14ac:dyDescent="0.5">
      <c r="B74" s="203">
        <v>43009</v>
      </c>
      <c r="C74">
        <v>48</v>
      </c>
      <c r="E74" s="203">
        <f t="shared" si="0"/>
        <v>43009</v>
      </c>
      <c r="F74" s="16">
        <f t="shared" si="1"/>
        <v>0.14285714285714279</v>
      </c>
      <c r="H74" s="203">
        <f t="shared" si="2"/>
        <v>43009</v>
      </c>
      <c r="I74" s="204">
        <f t="shared" si="3"/>
        <v>1.8544159233697202</v>
      </c>
      <c r="K74" s="203">
        <f t="shared" ref="K74" si="23">+B74</f>
        <v>43009</v>
      </c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>
        <f>+C74/C73+V73</f>
        <v>6.1428571428571423</v>
      </c>
      <c r="W74" s="205"/>
      <c r="X74" s="205"/>
      <c r="Y74" s="205"/>
      <c r="Z74" s="205"/>
      <c r="AA74" s="205"/>
      <c r="AB74" s="205"/>
      <c r="AC74" s="205"/>
      <c r="AD74" s="205"/>
    </row>
    <row r="75" spans="2:30" x14ac:dyDescent="0.5">
      <c r="B75" s="203">
        <v>43040</v>
      </c>
      <c r="C75">
        <v>52</v>
      </c>
      <c r="E75" s="203">
        <f t="shared" si="0"/>
        <v>43040</v>
      </c>
      <c r="F75" s="16">
        <f t="shared" si="1"/>
        <v>8.3333333333333259E-2</v>
      </c>
      <c r="H75" s="203">
        <f t="shared" si="2"/>
        <v>43040</v>
      </c>
      <c r="I75" s="204">
        <f t="shared" si="3"/>
        <v>1.9377492567030534</v>
      </c>
      <c r="K75" s="203">
        <f t="shared" ref="K75" si="24">+K76</f>
        <v>43070</v>
      </c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>
        <v>5.5</v>
      </c>
      <c r="X75" s="205"/>
      <c r="Y75" s="205"/>
      <c r="Z75" s="205"/>
      <c r="AA75" s="205"/>
      <c r="AB75" s="205"/>
      <c r="AC75" s="205"/>
      <c r="AD75" s="205"/>
    </row>
    <row r="76" spans="2:30" x14ac:dyDescent="0.5">
      <c r="B76" s="203">
        <v>43070</v>
      </c>
      <c r="C76">
        <v>56</v>
      </c>
      <c r="E76" s="203">
        <f t="shared" si="0"/>
        <v>43070</v>
      </c>
      <c r="F76" s="16">
        <f t="shared" si="1"/>
        <v>7.6923076923076872E-2</v>
      </c>
      <c r="H76" s="203">
        <f t="shared" si="2"/>
        <v>43070</v>
      </c>
      <c r="I76" s="204">
        <f t="shared" si="3"/>
        <v>2.0146723336261303</v>
      </c>
      <c r="K76" s="203">
        <f t="shared" ref="K76" si="25">+B76</f>
        <v>43070</v>
      </c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>
        <f>+C76/C75+W75</f>
        <v>6.5769230769230766</v>
      </c>
      <c r="X76" s="205"/>
      <c r="Y76" s="205"/>
      <c r="Z76" s="205"/>
      <c r="AA76" s="205"/>
      <c r="AB76" s="205"/>
      <c r="AC76" s="205"/>
      <c r="AD76" s="205"/>
    </row>
    <row r="77" spans="2:30" x14ac:dyDescent="0.5">
      <c r="B77" s="203">
        <v>43101</v>
      </c>
      <c r="C77">
        <v>50</v>
      </c>
      <c r="E77" s="203">
        <f t="shared" si="0"/>
        <v>43101</v>
      </c>
      <c r="F77" s="16">
        <f t="shared" si="1"/>
        <v>-0.1071428571428571</v>
      </c>
      <c r="H77" s="203">
        <f t="shared" si="2"/>
        <v>43101</v>
      </c>
      <c r="I77" s="204">
        <f t="shared" si="3"/>
        <v>1.9075294764832731</v>
      </c>
      <c r="K77" s="203">
        <f t="shared" ref="K77" si="26">+K78</f>
        <v>43132</v>
      </c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>
        <v>6</v>
      </c>
      <c r="Y77" s="205"/>
      <c r="Z77" s="205"/>
      <c r="AA77" s="205"/>
      <c r="AB77" s="205"/>
      <c r="AC77" s="205"/>
      <c r="AD77" s="205"/>
    </row>
    <row r="78" spans="2:30" x14ac:dyDescent="0.5">
      <c r="B78" s="203">
        <v>43132</v>
      </c>
      <c r="C78">
        <v>54</v>
      </c>
      <c r="E78" s="203">
        <f t="shared" si="0"/>
        <v>43132</v>
      </c>
      <c r="F78" s="16">
        <f t="shared" si="1"/>
        <v>8.0000000000000071E-2</v>
      </c>
      <c r="H78" s="203">
        <f t="shared" si="2"/>
        <v>43132</v>
      </c>
      <c r="I78" s="204">
        <f t="shared" si="3"/>
        <v>1.9875294764832732</v>
      </c>
      <c r="K78" s="203">
        <f t="shared" ref="K78" si="27">+B78</f>
        <v>43132</v>
      </c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>
        <f>+C78/C77+X77</f>
        <v>7.08</v>
      </c>
      <c r="Y78" s="205"/>
      <c r="Z78" s="205"/>
      <c r="AA78" s="205"/>
      <c r="AB78" s="205"/>
      <c r="AC78" s="205"/>
      <c r="AD78" s="205"/>
    </row>
    <row r="79" spans="2:30" x14ac:dyDescent="0.5">
      <c r="B79" s="203">
        <v>43160</v>
      </c>
      <c r="C79">
        <v>59</v>
      </c>
      <c r="E79" s="203">
        <f t="shared" si="0"/>
        <v>43160</v>
      </c>
      <c r="F79" s="16">
        <f t="shared" si="1"/>
        <v>9.259259259259256E-2</v>
      </c>
      <c r="H79" s="203">
        <f t="shared" si="2"/>
        <v>43160</v>
      </c>
      <c r="I79" s="204">
        <f t="shared" si="3"/>
        <v>2.0801220690758657</v>
      </c>
      <c r="K79" s="203">
        <f t="shared" ref="K79" si="28">+K80</f>
        <v>43191</v>
      </c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>
        <v>6.5</v>
      </c>
      <c r="Z79" s="205"/>
      <c r="AA79" s="205"/>
      <c r="AB79" s="205"/>
      <c r="AC79" s="205"/>
      <c r="AD79" s="205"/>
    </row>
    <row r="80" spans="2:30" x14ac:dyDescent="0.5">
      <c r="B80" s="203">
        <v>43191</v>
      </c>
      <c r="C80">
        <v>53</v>
      </c>
      <c r="E80" s="203">
        <f t="shared" si="0"/>
        <v>43191</v>
      </c>
      <c r="F80" s="16">
        <f t="shared" si="1"/>
        <v>-0.10169491525423724</v>
      </c>
      <c r="H80" s="203">
        <f t="shared" si="2"/>
        <v>43191</v>
      </c>
      <c r="I80" s="204">
        <f t="shared" si="3"/>
        <v>1.9784271538216285</v>
      </c>
      <c r="K80" s="203">
        <f t="shared" ref="K80" si="29">+B80</f>
        <v>43191</v>
      </c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>
        <f>-C80/C79+Y79</f>
        <v>5.601694915254237</v>
      </c>
      <c r="Z80" s="205"/>
      <c r="AA80" s="205"/>
      <c r="AB80" s="205"/>
      <c r="AC80" s="205"/>
      <c r="AD80" s="205"/>
    </row>
    <row r="81" spans="2:30" x14ac:dyDescent="0.5">
      <c r="B81" s="203">
        <v>43221</v>
      </c>
      <c r="C81">
        <v>50</v>
      </c>
      <c r="E81" s="203">
        <f t="shared" si="0"/>
        <v>43221</v>
      </c>
      <c r="F81" s="16">
        <f t="shared" si="1"/>
        <v>-5.6603773584905648E-2</v>
      </c>
      <c r="H81" s="203">
        <f t="shared" si="2"/>
        <v>43221</v>
      </c>
      <c r="I81" s="204">
        <f t="shared" si="3"/>
        <v>1.9218233802367228</v>
      </c>
      <c r="K81" s="203">
        <f t="shared" ref="K81" si="30">+K82</f>
        <v>43252</v>
      </c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>
        <v>7</v>
      </c>
      <c r="AA81" s="205"/>
      <c r="AB81" s="205"/>
      <c r="AC81" s="205"/>
      <c r="AD81" s="205"/>
    </row>
    <row r="82" spans="2:30" x14ac:dyDescent="0.5">
      <c r="B82" s="203">
        <v>43252</v>
      </c>
      <c r="C82">
        <v>54</v>
      </c>
      <c r="E82" s="203">
        <f t="shared" si="0"/>
        <v>43252</v>
      </c>
      <c r="F82" s="16">
        <f t="shared" si="1"/>
        <v>8.0000000000000071E-2</v>
      </c>
      <c r="H82" s="203">
        <f t="shared" si="2"/>
        <v>43252</v>
      </c>
      <c r="I82" s="204">
        <f t="shared" si="3"/>
        <v>2.0018233802367229</v>
      </c>
      <c r="K82" s="203">
        <f t="shared" ref="K82" si="31">+B82</f>
        <v>43252</v>
      </c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>
        <f>+C82/C81+Z81</f>
        <v>8.08</v>
      </c>
      <c r="AA82" s="205"/>
      <c r="AB82" s="205"/>
      <c r="AC82" s="205"/>
      <c r="AD82" s="205"/>
    </row>
    <row r="83" spans="2:30" x14ac:dyDescent="0.5">
      <c r="B83" s="203">
        <v>43282</v>
      </c>
      <c r="C83">
        <v>59</v>
      </c>
      <c r="E83" s="203">
        <f t="shared" si="0"/>
        <v>43282</v>
      </c>
      <c r="F83" s="16">
        <f t="shared" si="1"/>
        <v>9.259259259259256E-2</v>
      </c>
      <c r="H83" s="203">
        <f t="shared" si="2"/>
        <v>43282</v>
      </c>
      <c r="I83" s="204">
        <f t="shared" si="3"/>
        <v>2.0944159728293155</v>
      </c>
      <c r="K83" s="203">
        <f t="shared" ref="K83" si="32">+K84</f>
        <v>43313</v>
      </c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5"/>
      <c r="AA83" s="205">
        <v>7.5</v>
      </c>
      <c r="AB83" s="205"/>
      <c r="AC83" s="205"/>
      <c r="AD83" s="205"/>
    </row>
    <row r="84" spans="2:30" x14ac:dyDescent="0.5">
      <c r="B84" s="203">
        <v>43313</v>
      </c>
      <c r="C84">
        <v>64</v>
      </c>
      <c r="E84" s="203">
        <f t="shared" si="0"/>
        <v>43313</v>
      </c>
      <c r="F84" s="16">
        <f t="shared" si="1"/>
        <v>8.4745762711864403E-2</v>
      </c>
      <c r="H84" s="203">
        <f t="shared" si="2"/>
        <v>43313</v>
      </c>
      <c r="I84" s="204">
        <f t="shared" si="3"/>
        <v>2.1791617355411796</v>
      </c>
      <c r="K84" s="203">
        <f t="shared" ref="K84" si="33">+B84</f>
        <v>43313</v>
      </c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205"/>
      <c r="W84" s="205"/>
      <c r="X84" s="205"/>
      <c r="Y84" s="205"/>
      <c r="Z84" s="205"/>
      <c r="AA84" s="205">
        <f>+C84/C83+AA83</f>
        <v>8.5847457627118651</v>
      </c>
      <c r="AB84" s="205"/>
      <c r="AC84" s="205"/>
      <c r="AD84" s="205"/>
    </row>
    <row r="85" spans="2:30" x14ac:dyDescent="0.5">
      <c r="B85" s="203">
        <v>43344</v>
      </c>
      <c r="C85">
        <v>62</v>
      </c>
      <c r="E85" s="203">
        <f t="shared" si="0"/>
        <v>43344</v>
      </c>
      <c r="F85" s="16">
        <f t="shared" si="1"/>
        <v>-3.125E-2</v>
      </c>
      <c r="H85" s="203">
        <f t="shared" si="2"/>
        <v>43344</v>
      </c>
      <c r="I85" s="204">
        <f t="shared" si="3"/>
        <v>2.1479117355411796</v>
      </c>
      <c r="K85" s="203">
        <f t="shared" ref="K85" si="34">+K86</f>
        <v>43374</v>
      </c>
      <c r="L85" s="205"/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>
        <v>8</v>
      </c>
      <c r="AC85" s="205"/>
      <c r="AD85" s="205"/>
    </row>
    <row r="86" spans="2:30" x14ac:dyDescent="0.5">
      <c r="B86" s="203">
        <v>43374</v>
      </c>
      <c r="C86">
        <v>67</v>
      </c>
      <c r="E86" s="203">
        <f t="shared" si="0"/>
        <v>43374</v>
      </c>
      <c r="F86" s="16">
        <f t="shared" si="1"/>
        <v>8.0645161290322509E-2</v>
      </c>
      <c r="H86" s="203">
        <f t="shared" si="2"/>
        <v>43374</v>
      </c>
      <c r="I86" s="204">
        <f t="shared" si="3"/>
        <v>2.2285568968315022</v>
      </c>
      <c r="K86" s="203">
        <f t="shared" ref="K86" si="35">+B86</f>
        <v>43374</v>
      </c>
      <c r="L86" s="205"/>
      <c r="M86" s="205"/>
      <c r="N86" s="205"/>
      <c r="O86" s="205"/>
      <c r="P86" s="205"/>
      <c r="Q86" s="205"/>
      <c r="R86" s="205"/>
      <c r="S86" s="205"/>
      <c r="T86" s="205"/>
      <c r="U86" s="205"/>
      <c r="V86" s="205"/>
      <c r="W86" s="205"/>
      <c r="X86" s="205"/>
      <c r="Y86" s="205"/>
      <c r="Z86" s="205"/>
      <c r="AA86" s="205"/>
      <c r="AB86" s="205">
        <f>+C86/C85+AB85</f>
        <v>9.0806451612903221</v>
      </c>
      <c r="AC86" s="205"/>
      <c r="AD86" s="205"/>
    </row>
    <row r="87" spans="2:30" x14ac:dyDescent="0.5">
      <c r="B87" s="203">
        <v>43405</v>
      </c>
      <c r="C87">
        <v>65</v>
      </c>
      <c r="E87" s="203">
        <f t="shared" si="0"/>
        <v>43405</v>
      </c>
      <c r="F87" s="16">
        <f t="shared" si="1"/>
        <v>-2.9850746268656692E-2</v>
      </c>
      <c r="H87" s="203">
        <f t="shared" si="2"/>
        <v>43405</v>
      </c>
      <c r="I87" s="204">
        <f t="shared" si="3"/>
        <v>2.1987061505628454</v>
      </c>
      <c r="K87" s="203">
        <f t="shared" ref="K87" si="36">+K88</f>
        <v>43435</v>
      </c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>
        <v>8.5</v>
      </c>
      <c r="AD87" s="205"/>
    </row>
    <row r="88" spans="2:30" x14ac:dyDescent="0.5">
      <c r="B88" s="203">
        <v>43435</v>
      </c>
      <c r="C88">
        <v>70</v>
      </c>
      <c r="E88" s="203">
        <f t="shared" si="0"/>
        <v>43435</v>
      </c>
      <c r="F88" s="16">
        <f t="shared" si="1"/>
        <v>7.6923076923076872E-2</v>
      </c>
      <c r="H88" s="203">
        <f t="shared" si="2"/>
        <v>43435</v>
      </c>
      <c r="I88" s="204">
        <f t="shared" si="3"/>
        <v>2.275629227485922</v>
      </c>
      <c r="K88" s="203">
        <f t="shared" ref="K88" si="37">+B88</f>
        <v>43435</v>
      </c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>
        <f>+C88/C87+AC87</f>
        <v>9.5769230769230766</v>
      </c>
      <c r="AD88" s="205"/>
    </row>
    <row r="89" spans="2:30" x14ac:dyDescent="0.5">
      <c r="B89" s="203">
        <v>43466</v>
      </c>
      <c r="C89">
        <v>72</v>
      </c>
      <c r="E89" s="203">
        <f t="shared" si="0"/>
        <v>43466</v>
      </c>
      <c r="F89" s="16">
        <f t="shared" si="1"/>
        <v>2.857142857142847E-2</v>
      </c>
      <c r="H89" s="203">
        <f t="shared" si="2"/>
        <v>43466</v>
      </c>
      <c r="I89" s="204">
        <f t="shared" si="3"/>
        <v>2.3042006560573505</v>
      </c>
      <c r="K89" s="203">
        <f t="shared" ref="K89:K91" si="38">+K90</f>
        <v>43497</v>
      </c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5"/>
    </row>
    <row r="90" spans="2:30" x14ac:dyDescent="0.5">
      <c r="B90" s="203">
        <v>43497</v>
      </c>
      <c r="E90" s="203">
        <f t="shared" si="0"/>
        <v>43497</v>
      </c>
      <c r="F90" s="16"/>
      <c r="H90" s="203">
        <f t="shared" si="2"/>
        <v>43497</v>
      </c>
      <c r="I90" s="204"/>
      <c r="K90" s="203">
        <f t="shared" ref="K90:K92" si="39">+B90</f>
        <v>43497</v>
      </c>
      <c r="L90" s="205"/>
      <c r="M90" s="205"/>
      <c r="N90" s="205"/>
      <c r="O90" s="205"/>
      <c r="P90" s="205"/>
      <c r="Q90" s="205"/>
      <c r="R90" s="205"/>
      <c r="S90" s="205"/>
      <c r="T90" s="205"/>
      <c r="U90" s="205"/>
      <c r="V90" s="205"/>
      <c r="W90" s="205"/>
      <c r="X90" s="205"/>
      <c r="Y90" s="205"/>
      <c r="Z90" s="205"/>
      <c r="AA90" s="205"/>
      <c r="AB90" s="205"/>
      <c r="AC90" s="205"/>
      <c r="AD90" s="205"/>
    </row>
    <row r="91" spans="2:30" x14ac:dyDescent="0.5">
      <c r="B91" s="203">
        <v>43525</v>
      </c>
      <c r="E91" s="203">
        <f t="shared" si="0"/>
        <v>43525</v>
      </c>
      <c r="H91" s="203">
        <f t="shared" si="2"/>
        <v>43525</v>
      </c>
      <c r="I91" s="204"/>
      <c r="K91" s="203">
        <f t="shared" si="38"/>
        <v>43556</v>
      </c>
      <c r="L91" s="205"/>
      <c r="M91" s="205"/>
      <c r="N91" s="205"/>
      <c r="O91" s="205"/>
      <c r="P91" s="205"/>
      <c r="Q91" s="205"/>
      <c r="R91" s="205"/>
      <c r="S91" s="205"/>
      <c r="T91" s="205"/>
      <c r="U91" s="205"/>
      <c r="V91" s="205"/>
      <c r="W91" s="205"/>
      <c r="X91" s="205"/>
      <c r="Y91" s="205"/>
      <c r="Z91" s="205"/>
      <c r="AA91" s="205"/>
      <c r="AB91" s="205"/>
      <c r="AC91" s="205"/>
      <c r="AD91" s="205"/>
    </row>
    <row r="92" spans="2:30" x14ac:dyDescent="0.5">
      <c r="B92" s="203">
        <v>43556</v>
      </c>
      <c r="E92" s="203">
        <f t="shared" si="0"/>
        <v>43556</v>
      </c>
      <c r="H92" s="203">
        <f t="shared" si="2"/>
        <v>43556</v>
      </c>
      <c r="I92" s="204"/>
      <c r="K92" s="203">
        <f t="shared" si="39"/>
        <v>43556</v>
      </c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</row>
    <row r="93" spans="2:30" x14ac:dyDescent="0.5">
      <c r="B93" s="203">
        <v>43586</v>
      </c>
      <c r="E93" s="203">
        <f t="shared" si="0"/>
        <v>43586</v>
      </c>
      <c r="H93" s="203">
        <f t="shared" si="2"/>
        <v>43586</v>
      </c>
      <c r="I93" s="204"/>
      <c r="K93" s="20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594F-C1B9-45D7-97A4-26079E27FA2A}">
  <dimension ref="A1:C15"/>
  <sheetViews>
    <sheetView showGridLines="0" workbookViewId="0">
      <selection activeCell="C7" sqref="C7"/>
    </sheetView>
  </sheetViews>
  <sheetFormatPr defaultRowHeight="14.35" x14ac:dyDescent="0.5"/>
  <cols>
    <col min="1" max="1" width="3.8203125" customWidth="1"/>
    <col min="2" max="2" width="50.76171875" customWidth="1"/>
    <col min="3" max="3" width="12.17578125" customWidth="1"/>
    <col min="4" max="4" width="2.3515625" customWidth="1"/>
  </cols>
  <sheetData>
    <row r="1" spans="1:3" ht="20" x14ac:dyDescent="0.6">
      <c r="A1" s="17"/>
      <c r="B1" s="57" t="s">
        <v>57</v>
      </c>
    </row>
    <row r="2" spans="1:3" ht="10.5" customHeight="1" x14ac:dyDescent="0.5">
      <c r="A2" s="17"/>
      <c r="B2" s="58"/>
    </row>
    <row r="3" spans="1:3" ht="15.35" x14ac:dyDescent="0.5">
      <c r="B3" s="104" t="s">
        <v>19</v>
      </c>
      <c r="C3" s="104"/>
    </row>
    <row r="4" spans="1:3" x14ac:dyDescent="0.5">
      <c r="B4" s="22" t="s">
        <v>183</v>
      </c>
      <c r="C4" s="23">
        <v>31.460645839804261</v>
      </c>
    </row>
    <row r="5" spans="1:3" x14ac:dyDescent="0.5">
      <c r="B5" s="22"/>
      <c r="C5" s="202"/>
    </row>
    <row r="6" spans="1:3" x14ac:dyDescent="0.5">
      <c r="B6" s="198" t="s">
        <v>185</v>
      </c>
      <c r="C6" s="201">
        <f>+'Fig. 10.8'!D18</f>
        <v>71</v>
      </c>
    </row>
    <row r="7" spans="1:3" x14ac:dyDescent="0.5">
      <c r="B7" s="199"/>
      <c r="C7" s="202"/>
    </row>
    <row r="8" spans="1:3" x14ac:dyDescent="0.5">
      <c r="B8" s="199" t="s">
        <v>124</v>
      </c>
      <c r="C8" s="202">
        <f>+'Fig. 10.6'!G13</f>
        <v>81.876560827684628</v>
      </c>
    </row>
    <row r="9" spans="1:3" x14ac:dyDescent="0.5">
      <c r="B9" s="199" t="s">
        <v>123</v>
      </c>
      <c r="C9" s="202">
        <f>+'Fig. 10.7'!C11</f>
        <v>93.396226415094418</v>
      </c>
    </row>
    <row r="10" spans="1:3" x14ac:dyDescent="0.5">
      <c r="B10" s="199" t="s">
        <v>122</v>
      </c>
      <c r="C10" s="202">
        <f>+'Fig. 10.8'!C27</f>
        <v>73.277558794399297</v>
      </c>
    </row>
    <row r="11" spans="1:3" x14ac:dyDescent="0.5">
      <c r="B11" s="199" t="s">
        <v>178</v>
      </c>
      <c r="C11" s="202">
        <f>+'Fig. 10.9'!E40</f>
        <v>66.688186212559671</v>
      </c>
    </row>
    <row r="12" spans="1:3" x14ac:dyDescent="0.5">
      <c r="C12" s="101"/>
    </row>
    <row r="13" spans="1:3" x14ac:dyDescent="0.5">
      <c r="B13" s="38" t="s">
        <v>184</v>
      </c>
      <c r="C13" s="200">
        <f>AVERAGE(C8:C11)</f>
        <v>78.8096330624345</v>
      </c>
    </row>
    <row r="15" spans="1:3" x14ac:dyDescent="0.5">
      <c r="C15" s="13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BF59-161F-4F0B-A9FE-3C0CA850EB94}">
  <dimension ref="A2:J16"/>
  <sheetViews>
    <sheetView showGridLines="0" topLeftCell="B1" workbookViewId="0">
      <selection activeCell="C13" sqref="C13"/>
    </sheetView>
  </sheetViews>
  <sheetFormatPr defaultRowHeight="14.35" x14ac:dyDescent="0.5"/>
  <cols>
    <col min="1" max="1" width="4.17578125" customWidth="1"/>
    <col min="2" max="2" width="26.87890625" customWidth="1"/>
    <col min="3" max="3" width="13.05859375" customWidth="1"/>
  </cols>
  <sheetData>
    <row r="2" spans="1:10" ht="20" x14ac:dyDescent="0.6">
      <c r="A2" s="17"/>
      <c r="B2" s="57" t="s">
        <v>57</v>
      </c>
      <c r="C2" s="35"/>
    </row>
    <row r="3" spans="1:10" ht="10.5" customHeight="1" x14ac:dyDescent="0.5">
      <c r="A3" s="17"/>
      <c r="B3" s="58"/>
      <c r="C3" s="35"/>
    </row>
    <row r="4" spans="1:10" x14ac:dyDescent="0.5">
      <c r="A4" s="17"/>
    </row>
    <row r="5" spans="1:10" ht="15.35" x14ac:dyDescent="0.5">
      <c r="A5" s="17"/>
      <c r="B5" s="59" t="s">
        <v>124</v>
      </c>
      <c r="C5" s="36"/>
      <c r="D5" s="36"/>
      <c r="E5" s="36"/>
      <c r="F5" s="36"/>
      <c r="G5" s="36"/>
      <c r="H5" s="36"/>
      <c r="I5" s="37"/>
      <c r="J5" s="37"/>
    </row>
    <row r="6" spans="1:10" ht="15.35" x14ac:dyDescent="0.5">
      <c r="A6" s="17"/>
      <c r="B6" s="190"/>
      <c r="I6" s="38"/>
      <c r="J6" s="38"/>
    </row>
    <row r="7" spans="1:10" ht="16.5" customHeight="1" x14ac:dyDescent="0.5">
      <c r="A7" s="17"/>
      <c r="B7" s="40" t="s">
        <v>58</v>
      </c>
      <c r="C7" s="39"/>
      <c r="E7" s="40" t="s">
        <v>59</v>
      </c>
      <c r="F7" s="39"/>
    </row>
    <row r="8" spans="1:10" ht="16.5" customHeight="1" x14ac:dyDescent="0.5">
      <c r="A8" s="17"/>
      <c r="B8" s="39" t="s">
        <v>60</v>
      </c>
      <c r="C8" s="214">
        <v>1.4999999999999999E-2</v>
      </c>
      <c r="E8" s="39" t="s">
        <v>61</v>
      </c>
      <c r="G8" s="42">
        <v>1.8</v>
      </c>
    </row>
    <row r="9" spans="1:10" ht="16.5" customHeight="1" x14ac:dyDescent="0.5">
      <c r="A9" s="17"/>
      <c r="B9" s="39" t="s">
        <v>62</v>
      </c>
      <c r="C9" s="43">
        <f>+'Fig. 10.8'!L18</f>
        <v>1.18</v>
      </c>
      <c r="E9" s="39" t="s">
        <v>63</v>
      </c>
      <c r="G9" s="44">
        <v>1.64</v>
      </c>
      <c r="H9" s="45" t="s">
        <v>64</v>
      </c>
    </row>
    <row r="10" spans="1:10" ht="16.5" customHeight="1" x14ac:dyDescent="0.5">
      <c r="A10" s="17"/>
      <c r="B10" s="39" t="s">
        <v>65</v>
      </c>
      <c r="C10" s="214">
        <v>0.09</v>
      </c>
      <c r="E10" s="39" t="s">
        <v>66</v>
      </c>
      <c r="G10" s="46">
        <v>17</v>
      </c>
    </row>
    <row r="11" spans="1:10" ht="16.5" customHeight="1" x14ac:dyDescent="0.5">
      <c r="A11" s="17"/>
      <c r="B11" s="39" t="s">
        <v>67</v>
      </c>
      <c r="C11" s="15">
        <f>+C10+C8</f>
        <v>0.105</v>
      </c>
      <c r="E11" s="39" t="s">
        <v>68</v>
      </c>
      <c r="G11" s="44">
        <v>90</v>
      </c>
      <c r="H11" s="45" t="s">
        <v>69</v>
      </c>
    </row>
    <row r="12" spans="1:10" ht="20.350000000000001" thickBot="1" x14ac:dyDescent="0.65">
      <c r="A12" s="17"/>
      <c r="B12" s="57"/>
      <c r="C12" s="35"/>
      <c r="E12" s="39" t="s">
        <v>70</v>
      </c>
      <c r="G12" s="47">
        <f>+C13</f>
        <v>0.12119999999999999</v>
      </c>
    </row>
    <row r="13" spans="1:10" ht="14.7" thickBot="1" x14ac:dyDescent="0.55000000000000004">
      <c r="A13" s="17"/>
      <c r="B13" s="191" t="s">
        <v>71</v>
      </c>
      <c r="C13" s="56">
        <f>+C8+(C9*C10)</f>
        <v>0.12119999999999999</v>
      </c>
      <c r="E13" s="48" t="s">
        <v>186</v>
      </c>
      <c r="F13" s="49"/>
      <c r="G13" s="50">
        <f>+(G11+G8)/(1+(G12))</f>
        <v>81.876560827684628</v>
      </c>
      <c r="H13" s="45"/>
    </row>
    <row r="14" spans="1:10" x14ac:dyDescent="0.5">
      <c r="A14" s="17"/>
    </row>
    <row r="15" spans="1:10" x14ac:dyDescent="0.5">
      <c r="A15" s="17"/>
    </row>
    <row r="16" spans="1:10" x14ac:dyDescent="0.5">
      <c r="J16" s="13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5775-1F8B-420A-B439-84B30099A8E9}">
  <dimension ref="A1:I13"/>
  <sheetViews>
    <sheetView showGridLines="0" topLeftCell="C1" workbookViewId="0">
      <selection activeCell="G9" sqref="G9"/>
    </sheetView>
  </sheetViews>
  <sheetFormatPr defaultRowHeight="14.35" x14ac:dyDescent="0.5"/>
  <cols>
    <col min="2" max="2" width="23.76171875" customWidth="1"/>
    <col min="3" max="3" width="13.76171875" customWidth="1"/>
  </cols>
  <sheetData>
    <row r="1" spans="1:9" ht="20" x14ac:dyDescent="0.6">
      <c r="A1" s="17"/>
      <c r="B1" s="57" t="s">
        <v>57</v>
      </c>
      <c r="C1" s="35"/>
    </row>
    <row r="4" spans="1:9" ht="15.35" x14ac:dyDescent="0.5">
      <c r="A4" s="17"/>
      <c r="B4" s="59" t="s">
        <v>123</v>
      </c>
      <c r="C4" s="36"/>
      <c r="D4" s="36"/>
      <c r="E4" s="36"/>
      <c r="F4" s="36"/>
      <c r="G4" s="36"/>
      <c r="H4" s="36"/>
      <c r="I4" s="37"/>
    </row>
    <row r="5" spans="1:9" x14ac:dyDescent="0.5">
      <c r="A5" s="17"/>
    </row>
    <row r="6" spans="1:9" x14ac:dyDescent="0.5">
      <c r="A6" s="17"/>
      <c r="B6" s="40" t="s">
        <v>74</v>
      </c>
      <c r="C6" s="39"/>
      <c r="E6" s="40" t="s">
        <v>75</v>
      </c>
      <c r="F6" s="39"/>
    </row>
    <row r="7" spans="1:9" x14ac:dyDescent="0.5">
      <c r="A7" s="17"/>
      <c r="B7" s="39" t="s">
        <v>76</v>
      </c>
      <c r="C7" s="42">
        <f>+G7</f>
        <v>1.7999999999999998</v>
      </c>
      <c r="E7" s="39" t="s">
        <v>77</v>
      </c>
      <c r="G7" s="42">
        <f>+[1]Sheet1!H20</f>
        <v>1.7999999999999998</v>
      </c>
      <c r="H7" s="53" t="s">
        <v>78</v>
      </c>
    </row>
    <row r="8" spans="1:9" x14ac:dyDescent="0.5">
      <c r="A8" s="17"/>
      <c r="B8" s="39" t="s">
        <v>79</v>
      </c>
      <c r="C8" s="41">
        <f>+'Fig. 10.6'!C13</f>
        <v>0.12119999999999999</v>
      </c>
      <c r="E8" s="39" t="s">
        <v>80</v>
      </c>
      <c r="G8" s="42">
        <f>+G9+G7</f>
        <v>72.8</v>
      </c>
    </row>
    <row r="9" spans="1:9" x14ac:dyDescent="0.5">
      <c r="A9" s="17"/>
      <c r="B9" s="39" t="s">
        <v>81</v>
      </c>
      <c r="C9" s="219">
        <v>0.1</v>
      </c>
      <c r="E9" s="39" t="s">
        <v>82</v>
      </c>
      <c r="G9" s="55">
        <f>+'Fig. 10.8'!D18</f>
        <v>71</v>
      </c>
    </row>
    <row r="10" spans="1:9" ht="14.7" thickBot="1" x14ac:dyDescent="0.55000000000000004">
      <c r="A10" s="17"/>
      <c r="B10" s="39"/>
      <c r="C10" s="54"/>
      <c r="E10" s="39"/>
      <c r="G10" s="55"/>
    </row>
    <row r="11" spans="1:9" ht="14.7" thickBot="1" x14ac:dyDescent="0.55000000000000004">
      <c r="A11" s="17"/>
      <c r="B11" s="191" t="s">
        <v>187</v>
      </c>
      <c r="C11" s="50">
        <f>+(C7*(1+C9))/(C8-C9)</f>
        <v>93.396226415094418</v>
      </c>
      <c r="E11" s="48" t="s">
        <v>83</v>
      </c>
      <c r="F11" s="49"/>
      <c r="G11" s="56">
        <f>+(G7+(G8-G9))/G9</f>
        <v>5.0704225352112636E-2</v>
      </c>
    </row>
    <row r="12" spans="1:9" x14ac:dyDescent="0.5">
      <c r="A12" s="17"/>
    </row>
    <row r="13" spans="1:9" x14ac:dyDescent="0.5">
      <c r="I13" s="13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77A8-8E5C-4883-A12E-46BFC1D8D210}">
  <dimension ref="A1:L29"/>
  <sheetViews>
    <sheetView showGridLines="0" topLeftCell="A6" workbookViewId="0">
      <selection activeCell="H22" sqref="H22"/>
    </sheetView>
  </sheetViews>
  <sheetFormatPr defaultRowHeight="14.35" x14ac:dyDescent="0.5"/>
  <cols>
    <col min="2" max="2" width="28" customWidth="1"/>
    <col min="3" max="3" width="12.76171875" customWidth="1"/>
    <col min="4" max="4" width="9.3515625" customWidth="1"/>
    <col min="5" max="5" width="11.46875" customWidth="1"/>
    <col min="6" max="6" width="11.17578125" customWidth="1"/>
    <col min="9" max="9" width="10" customWidth="1"/>
  </cols>
  <sheetData>
    <row r="1" spans="1:12" ht="20" x14ac:dyDescent="0.6">
      <c r="A1" s="17"/>
      <c r="B1" s="57" t="s">
        <v>57</v>
      </c>
      <c r="C1" s="35"/>
    </row>
    <row r="2" spans="1:12" ht="10.5" customHeight="1" x14ac:dyDescent="0.5">
      <c r="A2" s="17"/>
      <c r="B2" s="58"/>
      <c r="C2" s="35"/>
    </row>
    <row r="3" spans="1:12" ht="10.5" customHeight="1" x14ac:dyDescent="0.5">
      <c r="A3" s="17"/>
      <c r="B3" s="58"/>
      <c r="C3" s="35"/>
    </row>
    <row r="4" spans="1:12" ht="15.35" x14ac:dyDescent="0.5">
      <c r="A4" s="17"/>
      <c r="B4" s="59" t="s">
        <v>197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0" x14ac:dyDescent="0.6">
      <c r="A5" s="17"/>
      <c r="B5" s="60"/>
    </row>
    <row r="6" spans="1:12" ht="11.25" customHeight="1" x14ac:dyDescent="0.5">
      <c r="A6" s="17"/>
      <c r="B6" s="38"/>
      <c r="D6" s="61" t="s">
        <v>84</v>
      </c>
      <c r="E6" s="61" t="s">
        <v>85</v>
      </c>
      <c r="F6" s="61" t="s">
        <v>86</v>
      </c>
      <c r="G6" s="61" t="s">
        <v>87</v>
      </c>
      <c r="H6" s="61" t="s">
        <v>88</v>
      </c>
      <c r="I6" s="62" t="s">
        <v>89</v>
      </c>
      <c r="J6" s="61" t="s">
        <v>90</v>
      </c>
      <c r="K6" s="61" t="s">
        <v>91</v>
      </c>
    </row>
    <row r="7" spans="1:12" ht="14.7" thickBot="1" x14ac:dyDescent="0.55000000000000004">
      <c r="A7" s="17"/>
      <c r="B7" s="38"/>
      <c r="D7" s="17"/>
      <c r="E7" s="17"/>
      <c r="F7" s="17"/>
      <c r="G7" s="17"/>
      <c r="H7" s="17"/>
    </row>
    <row r="8" spans="1:12" ht="45" customHeight="1" thickBot="1" x14ac:dyDescent="0.55000000000000004">
      <c r="A8" s="17"/>
      <c r="B8" s="63" t="s">
        <v>92</v>
      </c>
      <c r="C8" s="64" t="s">
        <v>93</v>
      </c>
      <c r="D8" s="65" t="s">
        <v>19</v>
      </c>
      <c r="E8" s="65" t="s">
        <v>94</v>
      </c>
      <c r="F8" s="65" t="s">
        <v>195</v>
      </c>
      <c r="G8" s="66" t="s">
        <v>95</v>
      </c>
      <c r="H8" s="67" t="s">
        <v>96</v>
      </c>
      <c r="I8" s="68" t="s">
        <v>97</v>
      </c>
      <c r="J8" s="66" t="s">
        <v>196</v>
      </c>
      <c r="K8" s="68" t="s">
        <v>98</v>
      </c>
      <c r="L8" s="69" t="s">
        <v>99</v>
      </c>
    </row>
    <row r="9" spans="1:12" x14ac:dyDescent="0.5">
      <c r="A9" s="17"/>
      <c r="B9" s="70" t="s">
        <v>100</v>
      </c>
      <c r="C9" s="71" t="s">
        <v>101</v>
      </c>
      <c r="D9" s="208">
        <v>83.2</v>
      </c>
      <c r="E9" s="72">
        <f>4390000/77.6</f>
        <v>56572.16494845361</v>
      </c>
      <c r="F9" s="73">
        <f t="shared" ref="F9:F16" si="0">+E9*D9</f>
        <v>4706804.1237113401</v>
      </c>
      <c r="G9" s="74">
        <v>796200</v>
      </c>
      <c r="H9" s="75">
        <v>37150</v>
      </c>
      <c r="I9" s="76">
        <f t="shared" ref="I9:I16" si="1">+F9+G9-H9</f>
        <v>5465854.1237113401</v>
      </c>
      <c r="J9" s="74">
        <v>335560</v>
      </c>
      <c r="K9" s="211">
        <f t="shared" ref="K9:K16" si="2">+I9/J9</f>
        <v>16.288753497768923</v>
      </c>
      <c r="L9" s="77">
        <v>1.1299999999999999</v>
      </c>
    </row>
    <row r="10" spans="1:12" x14ac:dyDescent="0.5">
      <c r="A10" s="17"/>
      <c r="B10" s="70" t="s">
        <v>102</v>
      </c>
      <c r="C10" s="71" t="s">
        <v>103</v>
      </c>
      <c r="D10" s="208">
        <v>80.959999999999994</v>
      </c>
      <c r="E10" s="72">
        <v>298190</v>
      </c>
      <c r="F10" s="73">
        <f t="shared" si="0"/>
        <v>24141462.399999999</v>
      </c>
      <c r="G10" s="74">
        <v>7580000</v>
      </c>
      <c r="H10" s="75">
        <v>423000</v>
      </c>
      <c r="I10" s="76">
        <f t="shared" si="1"/>
        <v>31298462.399999999</v>
      </c>
      <c r="J10" s="74">
        <v>1760000</v>
      </c>
      <c r="K10" s="211">
        <f t="shared" si="2"/>
        <v>17.783217272727271</v>
      </c>
      <c r="L10" s="77">
        <v>1.45</v>
      </c>
    </row>
    <row r="11" spans="1:12" x14ac:dyDescent="0.5">
      <c r="A11" s="17"/>
      <c r="B11" s="78" t="s">
        <v>104</v>
      </c>
      <c r="C11" s="79" t="s">
        <v>105</v>
      </c>
      <c r="D11" s="209">
        <v>62.58</v>
      </c>
      <c r="E11" s="80">
        <v>190000</v>
      </c>
      <c r="F11" s="73">
        <f t="shared" si="0"/>
        <v>11890200</v>
      </c>
      <c r="G11" s="81">
        <v>2040000</v>
      </c>
      <c r="H11" s="82">
        <v>233000</v>
      </c>
      <c r="I11" s="76">
        <f t="shared" si="1"/>
        <v>13697200</v>
      </c>
      <c r="J11" s="81">
        <v>843000</v>
      </c>
      <c r="K11" s="211">
        <f t="shared" si="2"/>
        <v>16.248161328588374</v>
      </c>
      <c r="L11" s="77">
        <v>1.59</v>
      </c>
    </row>
    <row r="12" spans="1:12" x14ac:dyDescent="0.5">
      <c r="A12" s="17"/>
      <c r="B12" s="78" t="s">
        <v>106</v>
      </c>
      <c r="C12" s="83" t="s">
        <v>107</v>
      </c>
      <c r="D12" s="209">
        <v>40.799999999999997</v>
      </c>
      <c r="E12" s="80">
        <v>19680</v>
      </c>
      <c r="F12" s="73">
        <f t="shared" si="0"/>
        <v>802944</v>
      </c>
      <c r="G12" s="81">
        <v>317420</v>
      </c>
      <c r="H12" s="82">
        <v>18070</v>
      </c>
      <c r="I12" s="76">
        <f t="shared" si="1"/>
        <v>1102294</v>
      </c>
      <c r="J12" s="81">
        <v>139930</v>
      </c>
      <c r="K12" s="211">
        <f t="shared" si="2"/>
        <v>7.8774673050811117</v>
      </c>
      <c r="L12" s="77">
        <v>0.32</v>
      </c>
    </row>
    <row r="13" spans="1:12" x14ac:dyDescent="0.5">
      <c r="A13" s="17"/>
      <c r="B13" s="78" t="s">
        <v>108</v>
      </c>
      <c r="C13" s="83" t="s">
        <v>109</v>
      </c>
      <c r="D13" s="209">
        <v>130.9</v>
      </c>
      <c r="E13" s="80">
        <v>346990</v>
      </c>
      <c r="F13" s="73">
        <f t="shared" si="0"/>
        <v>45420991</v>
      </c>
      <c r="G13" s="81">
        <v>8990000</v>
      </c>
      <c r="H13" s="82">
        <v>366000</v>
      </c>
      <c r="I13" s="76">
        <f t="shared" si="1"/>
        <v>54044991</v>
      </c>
      <c r="J13" s="81">
        <v>2850000</v>
      </c>
      <c r="K13" s="211">
        <f t="shared" si="2"/>
        <v>18.963154736842107</v>
      </c>
      <c r="L13" s="77">
        <v>1.36</v>
      </c>
    </row>
    <row r="14" spans="1:12" x14ac:dyDescent="0.5">
      <c r="A14" s="17"/>
      <c r="B14" s="78" t="s">
        <v>110</v>
      </c>
      <c r="C14" s="83" t="s">
        <v>111</v>
      </c>
      <c r="D14" s="209">
        <v>32.89</v>
      </c>
      <c r="E14" s="80">
        <v>201180</v>
      </c>
      <c r="F14" s="73">
        <f t="shared" si="0"/>
        <v>6616810.2000000002</v>
      </c>
      <c r="G14" s="81">
        <v>3080000</v>
      </c>
      <c r="H14" s="82">
        <v>421000</v>
      </c>
      <c r="I14" s="76">
        <f t="shared" si="1"/>
        <v>9275810.1999999993</v>
      </c>
      <c r="J14" s="81">
        <v>734000</v>
      </c>
      <c r="K14" s="211">
        <f t="shared" si="2"/>
        <v>12.637343596730243</v>
      </c>
      <c r="L14" s="77">
        <v>1.28</v>
      </c>
    </row>
    <row r="15" spans="1:12" x14ac:dyDescent="0.5">
      <c r="A15" s="17"/>
      <c r="B15" s="78" t="s">
        <v>112</v>
      </c>
      <c r="C15" s="83" t="s">
        <v>113</v>
      </c>
      <c r="D15" s="209">
        <v>17</v>
      </c>
      <c r="E15" s="80">
        <v>102960</v>
      </c>
      <c r="F15" s="73">
        <f t="shared" si="0"/>
        <v>1750320</v>
      </c>
      <c r="G15" s="81">
        <v>785170</v>
      </c>
      <c r="H15" s="82">
        <v>162010</v>
      </c>
      <c r="I15" s="76">
        <f t="shared" si="1"/>
        <v>2373480</v>
      </c>
      <c r="J15" s="81">
        <v>103750</v>
      </c>
      <c r="K15" s="211">
        <f t="shared" si="2"/>
        <v>22.876915662650603</v>
      </c>
      <c r="L15" s="77">
        <v>1.51</v>
      </c>
    </row>
    <row r="16" spans="1:12" ht="14.7" thickBot="1" x14ac:dyDescent="0.55000000000000004">
      <c r="A16" s="17"/>
      <c r="B16" s="84" t="s">
        <v>114</v>
      </c>
      <c r="C16" s="85" t="s">
        <v>115</v>
      </c>
      <c r="D16" s="210">
        <v>136.72999999999999</v>
      </c>
      <c r="E16" s="86">
        <v>108640</v>
      </c>
      <c r="F16" s="87">
        <f t="shared" si="0"/>
        <v>14854347.199999999</v>
      </c>
      <c r="G16" s="88">
        <v>8310000</v>
      </c>
      <c r="H16" s="89">
        <v>1500000</v>
      </c>
      <c r="I16" s="90">
        <f t="shared" si="1"/>
        <v>21664347.199999999</v>
      </c>
      <c r="J16" s="88">
        <v>1790000</v>
      </c>
      <c r="K16" s="212">
        <f t="shared" si="2"/>
        <v>12.102987262569831</v>
      </c>
      <c r="L16" s="91">
        <v>1.33</v>
      </c>
    </row>
    <row r="17" spans="1:12" ht="14.7" thickBot="1" x14ac:dyDescent="0.55000000000000004">
      <c r="A17" s="17"/>
      <c r="D17" s="17"/>
      <c r="K17" s="17"/>
      <c r="L17" s="17"/>
    </row>
    <row r="18" spans="1:12" ht="14.7" thickBot="1" x14ac:dyDescent="0.55000000000000004">
      <c r="A18" s="17"/>
      <c r="B18" s="92" t="s">
        <v>116</v>
      </c>
      <c r="C18" s="93" t="s">
        <v>117</v>
      </c>
      <c r="D18" s="209">
        <v>71</v>
      </c>
      <c r="E18" s="94">
        <v>117448</v>
      </c>
      <c r="F18" s="94">
        <f>+E18*D18</f>
        <v>8338808</v>
      </c>
      <c r="G18" s="95">
        <v>1440000</v>
      </c>
      <c r="H18" s="96">
        <v>879000</v>
      </c>
      <c r="I18" s="97">
        <f>+G18+F18-H18</f>
        <v>8899808</v>
      </c>
      <c r="J18" s="95">
        <f>+'Fig. 10.9'!E18</f>
        <v>585000</v>
      </c>
      <c r="K18" s="213">
        <f>+I18/J18</f>
        <v>15.213347008547009</v>
      </c>
      <c r="L18" s="98">
        <v>1.18</v>
      </c>
    </row>
    <row r="19" spans="1:12" x14ac:dyDescent="0.5">
      <c r="A19" s="17"/>
      <c r="B19" s="38"/>
      <c r="D19" s="206"/>
      <c r="E19" s="99"/>
      <c r="K19" s="100"/>
    </row>
    <row r="20" spans="1:12" x14ac:dyDescent="0.5">
      <c r="A20" s="17"/>
      <c r="B20" s="38" t="s">
        <v>118</v>
      </c>
      <c r="C20" s="101">
        <f>+J18</f>
        <v>585000</v>
      </c>
      <c r="D20" s="207">
        <f>+K21</f>
        <v>15.670602949204458</v>
      </c>
      <c r="J20" s="38" t="s">
        <v>119</v>
      </c>
      <c r="K20" s="102">
        <f>AVERAGE(K9:K16)</f>
        <v>15.597250082869808</v>
      </c>
      <c r="L20" s="102">
        <f>AVERAGE(L9:L18)</f>
        <v>1.2388888888888889</v>
      </c>
    </row>
    <row r="21" spans="1:12" x14ac:dyDescent="0.5">
      <c r="A21" s="17"/>
      <c r="B21" s="38"/>
      <c r="F21" s="38"/>
      <c r="G21" s="102"/>
      <c r="H21" s="102"/>
      <c r="J21" t="s">
        <v>120</v>
      </c>
      <c r="K21" s="102">
        <f>+(SUM(K9:K16)-MIN(K9:K16)-MAX(K9:K16))/6</f>
        <v>15.670602949204458</v>
      </c>
    </row>
    <row r="22" spans="1:12" x14ac:dyDescent="0.5">
      <c r="A22" s="17"/>
      <c r="B22" s="192" t="s">
        <v>72</v>
      </c>
      <c r="C22" s="176">
        <f>+C20*D20</f>
        <v>9167302.7252846081</v>
      </c>
      <c r="F22" s="38"/>
      <c r="G22" s="102"/>
      <c r="H22" s="102"/>
      <c r="K22" s="103"/>
    </row>
    <row r="23" spans="1:12" x14ac:dyDescent="0.5">
      <c r="B23" s="38" t="s">
        <v>179</v>
      </c>
      <c r="C23" s="101">
        <f>-G18</f>
        <v>-1440000</v>
      </c>
    </row>
    <row r="24" spans="1:12" x14ac:dyDescent="0.5">
      <c r="B24" s="38" t="s">
        <v>180</v>
      </c>
      <c r="C24" s="101">
        <f>+H18</f>
        <v>879000</v>
      </c>
    </row>
    <row r="25" spans="1:12" ht="14.7" thickBot="1" x14ac:dyDescent="0.55000000000000004">
      <c r="B25" s="38" t="s">
        <v>181</v>
      </c>
      <c r="C25" s="193">
        <f>SUM(C22:C24)</f>
        <v>8606302.7252846081</v>
      </c>
    </row>
    <row r="26" spans="1:12" ht="15" thickTop="1" thickBot="1" x14ac:dyDescent="0.55000000000000004">
      <c r="B26" s="38" t="s">
        <v>182</v>
      </c>
      <c r="C26" s="101">
        <f>+E18</f>
        <v>117448</v>
      </c>
    </row>
    <row r="27" spans="1:12" ht="14.7" thickBot="1" x14ac:dyDescent="0.55000000000000004">
      <c r="B27" s="38" t="s">
        <v>19</v>
      </c>
      <c r="C27" s="194">
        <f>+C25/C26</f>
        <v>73.277558794399297</v>
      </c>
    </row>
    <row r="29" spans="1:12" x14ac:dyDescent="0.5">
      <c r="L29" s="13" t="s">
        <v>191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A38A-42A8-4C46-BAC3-4AF27E37DD29}">
  <dimension ref="A1:M49"/>
  <sheetViews>
    <sheetView showGridLines="0" topLeftCell="A20" workbookViewId="0">
      <selection activeCell="F44" sqref="F44"/>
    </sheetView>
  </sheetViews>
  <sheetFormatPr defaultRowHeight="14.35" x14ac:dyDescent="0.5"/>
  <cols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3" max="13" width="2.5859375" customWidth="1"/>
  </cols>
  <sheetData>
    <row r="1" spans="1:13" ht="20" x14ac:dyDescent="0.6">
      <c r="A1" s="17"/>
      <c r="B1" s="57" t="s">
        <v>57</v>
      </c>
      <c r="C1" s="35"/>
    </row>
    <row r="3" spans="1:13" ht="15.35" x14ac:dyDescent="0.5">
      <c r="A3" s="17"/>
      <c r="B3" s="104" t="s">
        <v>178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3" ht="20" x14ac:dyDescent="0.6">
      <c r="A4" s="17"/>
      <c r="B4" s="57"/>
      <c r="C4" s="22"/>
      <c r="D4" s="22"/>
      <c r="E4" s="105" t="s">
        <v>125</v>
      </c>
      <c r="F4" s="106">
        <v>1</v>
      </c>
      <c r="G4" s="106">
        <v>2</v>
      </c>
      <c r="H4" s="106">
        <v>3</v>
      </c>
      <c r="I4" s="106">
        <v>4</v>
      </c>
      <c r="J4" s="106">
        <v>5</v>
      </c>
      <c r="K4" s="106">
        <v>6</v>
      </c>
    </row>
    <row r="5" spans="1:13" x14ac:dyDescent="0.5">
      <c r="A5" s="17"/>
      <c r="B5" t="s">
        <v>126</v>
      </c>
      <c r="C5" s="107" t="s">
        <v>127</v>
      </c>
      <c r="D5" s="108" t="s">
        <v>128</v>
      </c>
      <c r="E5" s="109" t="s">
        <v>129</v>
      </c>
      <c r="J5" s="109" t="s">
        <v>130</v>
      </c>
    </row>
    <row r="6" spans="1:13" ht="14.7" thickBot="1" x14ac:dyDescent="0.55000000000000004">
      <c r="A6" s="17"/>
      <c r="C6" s="110" t="s">
        <v>131</v>
      </c>
      <c r="D6" s="111" t="s">
        <v>131</v>
      </c>
      <c r="E6" s="112" t="s">
        <v>198</v>
      </c>
      <c r="F6" s="113">
        <f>+E6+366</f>
        <v>44196</v>
      </c>
      <c r="G6" s="113">
        <f>+F6+365</f>
        <v>44561</v>
      </c>
      <c r="H6" s="113">
        <f>+G6+365</f>
        <v>44926</v>
      </c>
      <c r="I6" s="113">
        <f>+H6+365</f>
        <v>45291</v>
      </c>
      <c r="J6" s="114">
        <f>+I6+366</f>
        <v>45657</v>
      </c>
      <c r="K6" s="113">
        <f>+J6+365</f>
        <v>46022</v>
      </c>
    </row>
    <row r="7" spans="1:13" x14ac:dyDescent="0.5">
      <c r="A7" s="17"/>
      <c r="B7" t="s">
        <v>132</v>
      </c>
      <c r="C7" s="115"/>
      <c r="D7" s="116"/>
      <c r="E7" s="117">
        <v>4763000</v>
      </c>
      <c r="F7" s="99">
        <f t="shared" ref="F7:K7" si="0">+E7*(1+F8)</f>
        <v>4905890</v>
      </c>
      <c r="G7" s="99">
        <f t="shared" si="0"/>
        <v>5249302.3000000007</v>
      </c>
      <c r="H7" s="99">
        <f t="shared" si="0"/>
        <v>5616753.4610000011</v>
      </c>
      <c r="I7" s="99">
        <f t="shared" si="0"/>
        <v>6009926.2032700013</v>
      </c>
      <c r="J7" s="118">
        <f t="shared" si="0"/>
        <v>6430621.0374989016</v>
      </c>
      <c r="K7" s="119">
        <f t="shared" si="0"/>
        <v>6945070.7204988142</v>
      </c>
    </row>
    <row r="8" spans="1:13" x14ac:dyDescent="0.5">
      <c r="A8" s="17"/>
      <c r="B8" t="s">
        <v>133</v>
      </c>
      <c r="C8" s="120"/>
      <c r="D8" s="121"/>
      <c r="E8" s="122"/>
      <c r="F8" s="123">
        <v>0.03</v>
      </c>
      <c r="G8" s="123">
        <v>7.0000000000000007E-2</v>
      </c>
      <c r="H8" s="123">
        <v>7.0000000000000007E-2</v>
      </c>
      <c r="I8" s="123">
        <v>7.0000000000000007E-2</v>
      </c>
      <c r="J8" s="124">
        <f>+I8</f>
        <v>7.0000000000000007E-2</v>
      </c>
      <c r="K8" s="125">
        <v>0.08</v>
      </c>
      <c r="L8" s="126"/>
    </row>
    <row r="9" spans="1:13" x14ac:dyDescent="0.5">
      <c r="A9" s="17"/>
      <c r="B9" t="s">
        <v>134</v>
      </c>
      <c r="C9" s="120">
        <f>-E9/E7</f>
        <v>0.82</v>
      </c>
      <c r="D9" s="121">
        <f>+C9</f>
        <v>0.82</v>
      </c>
      <c r="E9" s="117">
        <v>-3905660</v>
      </c>
      <c r="F9" s="99">
        <f t="shared" ref="F9:K9" si="1">-$D$9*F7</f>
        <v>-4022829.8</v>
      </c>
      <c r="G9" s="99">
        <f t="shared" si="1"/>
        <v>-4304427.8859999999</v>
      </c>
      <c r="H9" s="99">
        <f t="shared" si="1"/>
        <v>-4605737.8380200006</v>
      </c>
      <c r="I9" s="99">
        <f t="shared" si="1"/>
        <v>-4928139.4866814008</v>
      </c>
      <c r="J9" s="118">
        <f t="shared" si="1"/>
        <v>-5273109.2507490991</v>
      </c>
      <c r="K9" s="119">
        <f t="shared" si="1"/>
        <v>-5694957.9908090271</v>
      </c>
    </row>
    <row r="10" spans="1:13" x14ac:dyDescent="0.5">
      <c r="A10" s="17"/>
      <c r="B10" t="s">
        <v>135</v>
      </c>
      <c r="C10" s="120">
        <f>-E10/E7</f>
        <v>0.13360067184547553</v>
      </c>
      <c r="D10" s="121">
        <v>0.13</v>
      </c>
      <c r="E10" s="127">
        <f>E11-E9-E7</f>
        <v>-636340</v>
      </c>
      <c r="F10" s="128">
        <f t="shared" ref="F10:K10" si="2">-$D$10*F7</f>
        <v>-637765.70000000007</v>
      </c>
      <c r="G10" s="128">
        <f t="shared" si="2"/>
        <v>-682409.29900000012</v>
      </c>
      <c r="H10" s="128">
        <f t="shared" si="2"/>
        <v>-730177.94993000012</v>
      </c>
      <c r="I10" s="128">
        <f t="shared" si="2"/>
        <v>-781290.40642510017</v>
      </c>
      <c r="J10" s="129">
        <f t="shared" si="2"/>
        <v>-835980.73487485724</v>
      </c>
      <c r="K10" s="130">
        <f t="shared" si="2"/>
        <v>-902859.19366484589</v>
      </c>
    </row>
    <row r="11" spans="1:13" x14ac:dyDescent="0.5">
      <c r="A11" s="17"/>
      <c r="B11" t="s">
        <v>136</v>
      </c>
      <c r="C11" s="131"/>
      <c r="D11" s="132"/>
      <c r="E11" s="122">
        <f>585000-E13</f>
        <v>221000</v>
      </c>
      <c r="F11" s="99">
        <f t="shared" ref="F11:K11" si="3">+F7+F9+F10</f>
        <v>245294.50000000012</v>
      </c>
      <c r="G11" s="99">
        <f t="shared" si="3"/>
        <v>262465.11500000069</v>
      </c>
      <c r="H11" s="99">
        <f t="shared" si="3"/>
        <v>280837.67305000033</v>
      </c>
      <c r="I11" s="99">
        <f t="shared" si="3"/>
        <v>300496.31016350037</v>
      </c>
      <c r="J11" s="118">
        <f t="shared" si="3"/>
        <v>321531.05187494529</v>
      </c>
      <c r="K11" s="119">
        <f t="shared" si="3"/>
        <v>347253.53602494125</v>
      </c>
      <c r="M11" s="101"/>
    </row>
    <row r="12" spans="1:13" x14ac:dyDescent="0.5">
      <c r="A12" s="17"/>
      <c r="B12" t="s">
        <v>137</v>
      </c>
      <c r="C12" s="120"/>
      <c r="D12" s="121">
        <v>0.22</v>
      </c>
      <c r="E12" s="122">
        <v>0</v>
      </c>
      <c r="F12" s="99">
        <f t="shared" ref="F12:K12" si="4">-$D$12*F11</f>
        <v>-53964.790000000023</v>
      </c>
      <c r="G12" s="99">
        <f t="shared" si="4"/>
        <v>-57742.32530000015</v>
      </c>
      <c r="H12" s="99">
        <f t="shared" si="4"/>
        <v>-61784.288071000075</v>
      </c>
      <c r="I12" s="99">
        <f t="shared" si="4"/>
        <v>-66109.188235970083</v>
      </c>
      <c r="J12" s="118">
        <f t="shared" si="4"/>
        <v>-70736.831412487969</v>
      </c>
      <c r="K12" s="119">
        <f t="shared" si="4"/>
        <v>-76395.777925487069</v>
      </c>
    </row>
    <row r="13" spans="1:13" x14ac:dyDescent="0.5">
      <c r="A13" s="17"/>
      <c r="B13" t="s">
        <v>138</v>
      </c>
      <c r="C13" s="120">
        <f>+E13/E7</f>
        <v>7.6422422842746168E-2</v>
      </c>
      <c r="D13" s="121">
        <v>7.4999999999999997E-2</v>
      </c>
      <c r="E13" s="117">
        <v>364000</v>
      </c>
      <c r="F13" s="99">
        <f t="shared" ref="F13:K13" si="5">+$D$13*F7</f>
        <v>367941.75</v>
      </c>
      <c r="G13" s="99">
        <f t="shared" si="5"/>
        <v>393697.67250000004</v>
      </c>
      <c r="H13" s="99">
        <f t="shared" si="5"/>
        <v>421256.50957500009</v>
      </c>
      <c r="I13" s="99">
        <f t="shared" si="5"/>
        <v>450744.46524525009</v>
      </c>
      <c r="J13" s="118">
        <f t="shared" si="5"/>
        <v>482296.57781241758</v>
      </c>
      <c r="K13" s="119">
        <f t="shared" si="5"/>
        <v>520880.30403741106</v>
      </c>
    </row>
    <row r="14" spans="1:13" x14ac:dyDescent="0.5">
      <c r="A14" s="17"/>
      <c r="B14" s="39" t="s">
        <v>139</v>
      </c>
      <c r="C14" s="120">
        <v>0</v>
      </c>
      <c r="D14" s="121">
        <v>0</v>
      </c>
      <c r="E14" s="117"/>
      <c r="F14" s="99">
        <f t="shared" ref="F14:K14" si="6">-$D$14*F7</f>
        <v>0</v>
      </c>
      <c r="G14" s="99">
        <f t="shared" si="6"/>
        <v>0</v>
      </c>
      <c r="H14" s="99">
        <f t="shared" si="6"/>
        <v>0</v>
      </c>
      <c r="I14" s="99">
        <f t="shared" si="6"/>
        <v>0</v>
      </c>
      <c r="J14" s="118">
        <f t="shared" si="6"/>
        <v>0</v>
      </c>
      <c r="K14" s="119">
        <f t="shared" si="6"/>
        <v>0</v>
      </c>
    </row>
    <row r="15" spans="1:13" x14ac:dyDescent="0.5">
      <c r="A15" s="17"/>
      <c r="B15" t="s">
        <v>140</v>
      </c>
      <c r="C15" s="120">
        <f>-E15/E7</f>
        <v>7.7681923157673735E-2</v>
      </c>
      <c r="D15" s="121">
        <v>7.4999999999999997E-2</v>
      </c>
      <c r="E15" s="117">
        <v>-369999</v>
      </c>
      <c r="F15" s="99">
        <f t="shared" ref="F15:K15" si="7">-$D$15*F7</f>
        <v>-367941.75</v>
      </c>
      <c r="G15" s="99">
        <f t="shared" si="7"/>
        <v>-393697.67250000004</v>
      </c>
      <c r="H15" s="99">
        <f t="shared" si="7"/>
        <v>-421256.50957500009</v>
      </c>
      <c r="I15" s="99">
        <f t="shared" si="7"/>
        <v>-450744.46524525009</v>
      </c>
      <c r="J15" s="118">
        <f t="shared" si="7"/>
        <v>-482296.57781241758</v>
      </c>
      <c r="K15" s="119">
        <f t="shared" si="7"/>
        <v>-520880.30403741106</v>
      </c>
    </row>
    <row r="16" spans="1:13" ht="14.7" thickBot="1" x14ac:dyDescent="0.55000000000000004">
      <c r="A16" s="17"/>
      <c r="B16" t="s">
        <v>141</v>
      </c>
      <c r="C16" s="133"/>
      <c r="E16" s="134">
        <f t="shared" ref="E16:K16" si="8">SUM(E11:E15)</f>
        <v>215001</v>
      </c>
      <c r="F16" s="135">
        <f t="shared" si="8"/>
        <v>191329.71000000008</v>
      </c>
      <c r="G16" s="135">
        <f t="shared" si="8"/>
        <v>204722.78970000061</v>
      </c>
      <c r="H16" s="135">
        <f t="shared" si="8"/>
        <v>219053.38497900026</v>
      </c>
      <c r="I16" s="135">
        <f t="shared" si="8"/>
        <v>234387.12192753033</v>
      </c>
      <c r="J16" s="134">
        <f t="shared" si="8"/>
        <v>250794.22046245734</v>
      </c>
      <c r="K16" s="136">
        <f t="shared" si="8"/>
        <v>270857.75809945416</v>
      </c>
    </row>
    <row r="17" spans="1:11" ht="7.5" customHeight="1" thickTop="1" x14ac:dyDescent="0.5">
      <c r="A17" s="17"/>
      <c r="B17" s="22"/>
      <c r="C17" s="22"/>
      <c r="D17" s="22"/>
      <c r="E17" s="128"/>
      <c r="F17" s="128"/>
      <c r="G17" s="128"/>
      <c r="H17" s="128"/>
      <c r="I17" s="128"/>
      <c r="J17" s="129"/>
      <c r="K17" s="130"/>
    </row>
    <row r="18" spans="1:11" x14ac:dyDescent="0.5">
      <c r="A18" s="17"/>
      <c r="B18" s="137" t="s">
        <v>142</v>
      </c>
      <c r="C18" s="137"/>
      <c r="D18" s="137"/>
      <c r="E18" s="138">
        <f t="shared" ref="E18:K18" si="9">+E11+E13</f>
        <v>585000</v>
      </c>
      <c r="F18" s="138">
        <f t="shared" si="9"/>
        <v>613236.25000000012</v>
      </c>
      <c r="G18" s="138">
        <f t="shared" si="9"/>
        <v>656162.78750000079</v>
      </c>
      <c r="H18" s="138">
        <f t="shared" si="9"/>
        <v>702094.18262500037</v>
      </c>
      <c r="I18" s="138">
        <f t="shared" si="9"/>
        <v>751240.7754087504</v>
      </c>
      <c r="J18" s="139">
        <f t="shared" si="9"/>
        <v>803827.62968736282</v>
      </c>
      <c r="K18" s="140">
        <f t="shared" si="9"/>
        <v>868133.84006235236</v>
      </c>
    </row>
    <row r="19" spans="1:11" ht="12" customHeight="1" x14ac:dyDescent="0.5">
      <c r="A19" s="17"/>
      <c r="B19" s="141" t="s">
        <v>143</v>
      </c>
      <c r="C19" s="141"/>
      <c r="D19" s="141"/>
      <c r="E19" s="142">
        <f>+'Fig. 10.8'!G18</f>
        <v>1440000</v>
      </c>
      <c r="F19" s="142">
        <f t="shared" ref="F19:K19" si="10">+E19-(0.05*$E$19)</f>
        <v>1368000</v>
      </c>
      <c r="G19" s="142">
        <f t="shared" si="10"/>
        <v>1296000</v>
      </c>
      <c r="H19" s="142">
        <f t="shared" si="10"/>
        <v>1224000</v>
      </c>
      <c r="I19" s="142">
        <f t="shared" si="10"/>
        <v>1152000</v>
      </c>
      <c r="J19" s="143">
        <f t="shared" si="10"/>
        <v>1080000</v>
      </c>
      <c r="K19" s="144">
        <f t="shared" si="10"/>
        <v>1008000</v>
      </c>
    </row>
    <row r="20" spans="1:11" ht="7.5" customHeight="1" x14ac:dyDescent="0.5">
      <c r="A20" s="17"/>
      <c r="J20" s="145"/>
    </row>
    <row r="21" spans="1:11" ht="14.7" thickBot="1" x14ac:dyDescent="0.55000000000000004">
      <c r="A21" s="17"/>
      <c r="B21" s="146" t="s">
        <v>144</v>
      </c>
      <c r="C21" s="147" t="s">
        <v>131</v>
      </c>
      <c r="E21" s="148" t="s">
        <v>145</v>
      </c>
      <c r="J21" s="145"/>
    </row>
    <row r="22" spans="1:11" x14ac:dyDescent="0.5">
      <c r="A22" s="17"/>
      <c r="B22" t="s">
        <v>146</v>
      </c>
      <c r="C22" s="46">
        <f>+'Fig. 10.8'!K21</f>
        <v>15.670602949204458</v>
      </c>
      <c r="E22" s="149"/>
      <c r="F22" s="53" t="s">
        <v>147</v>
      </c>
      <c r="J22" s="150">
        <f>+$C$22*J18</f>
        <v>12596463.624430817</v>
      </c>
    </row>
    <row r="23" spans="1:11" x14ac:dyDescent="0.5">
      <c r="A23" s="17"/>
      <c r="B23" t="s">
        <v>148</v>
      </c>
      <c r="C23" s="151">
        <f>+K44</f>
        <v>9.8604479065238559E-2</v>
      </c>
      <c r="E23" s="15">
        <f>+K8</f>
        <v>0.08</v>
      </c>
      <c r="F23" s="53" t="s">
        <v>149</v>
      </c>
      <c r="J23" s="118">
        <f>+K16/(C23-E23)</f>
        <v>14558739.169726979</v>
      </c>
    </row>
    <row r="24" spans="1:11" x14ac:dyDescent="0.5">
      <c r="A24" s="17"/>
      <c r="B24" t="s">
        <v>119</v>
      </c>
      <c r="E24" s="152" t="s">
        <v>150</v>
      </c>
      <c r="J24" s="153">
        <f>+(J22+J23)/2</f>
        <v>13577601.397078898</v>
      </c>
    </row>
    <row r="25" spans="1:11" x14ac:dyDescent="0.5">
      <c r="A25" s="17"/>
      <c r="B25" t="s">
        <v>151</v>
      </c>
      <c r="E25" s="101"/>
      <c r="J25" s="150">
        <f>-J19</f>
        <v>-1080000</v>
      </c>
    </row>
    <row r="26" spans="1:11" x14ac:dyDescent="0.5">
      <c r="A26" s="17"/>
      <c r="B26" t="s">
        <v>152</v>
      </c>
      <c r="E26" s="101"/>
      <c r="J26" s="154">
        <v>0</v>
      </c>
    </row>
    <row r="27" spans="1:11" x14ac:dyDescent="0.5">
      <c r="A27" s="17"/>
      <c r="B27" t="s">
        <v>153</v>
      </c>
      <c r="J27" s="150">
        <f>+J25+J24</f>
        <v>12497601.397078898</v>
      </c>
    </row>
    <row r="28" spans="1:11" x14ac:dyDescent="0.5">
      <c r="A28" s="17"/>
      <c r="D28" s="155" t="s">
        <v>154</v>
      </c>
      <c r="J28" s="145"/>
    </row>
    <row r="29" spans="1:11" ht="14.7" thickBot="1" x14ac:dyDescent="0.55000000000000004">
      <c r="A29" s="17"/>
      <c r="B29" s="156" t="s">
        <v>155</v>
      </c>
      <c r="C29" s="157">
        <f>+I39</f>
        <v>0.12119999999999999</v>
      </c>
      <c r="D29" s="158"/>
      <c r="E29" s="159"/>
      <c r="F29" s="159">
        <f>+F16</f>
        <v>191329.71000000008</v>
      </c>
      <c r="G29" s="159">
        <f>+G16</f>
        <v>204722.78970000061</v>
      </c>
      <c r="H29" s="159">
        <f>+H16</f>
        <v>219053.38497900026</v>
      </c>
      <c r="I29" s="159">
        <f>+I16</f>
        <v>234387.12192753033</v>
      </c>
      <c r="J29" s="160">
        <f>+J27+J16</f>
        <v>12748395.617541356</v>
      </c>
    </row>
    <row r="30" spans="1:11" ht="14.7" thickTop="1" x14ac:dyDescent="0.5">
      <c r="A30" s="17"/>
      <c r="C30" s="161" t="s">
        <v>156</v>
      </c>
      <c r="D30" s="162">
        <f>1/((1+$I$39)^F4)</f>
        <v>0.89190153407063866</v>
      </c>
      <c r="E30" s="163">
        <f>+D30*F29</f>
        <v>170647.26186229047</v>
      </c>
      <c r="F30" s="164"/>
    </row>
    <row r="31" spans="1:11" x14ac:dyDescent="0.5">
      <c r="A31" s="17"/>
      <c r="C31" s="161" t="s">
        <v>157</v>
      </c>
      <c r="D31" s="162">
        <f>1/((1+$I$39)^G4)</f>
        <v>0.79548834647755862</v>
      </c>
      <c r="E31" s="163">
        <f>+D31*G29</f>
        <v>162854.59346472644</v>
      </c>
    </row>
    <row r="32" spans="1:11" x14ac:dyDescent="0.5">
      <c r="A32" s="17"/>
      <c r="C32" s="161" t="s">
        <v>158</v>
      </c>
      <c r="D32" s="162">
        <f>1/((1+$I$39)^H4)</f>
        <v>0.70949727655865014</v>
      </c>
      <c r="E32" s="163">
        <f>+D32*H29</f>
        <v>155417.78006355421</v>
      </c>
    </row>
    <row r="33" spans="1:12" x14ac:dyDescent="0.5">
      <c r="A33" s="17"/>
      <c r="C33" s="161" t="s">
        <v>159</v>
      </c>
      <c r="D33" s="162">
        <f>1/((1+$I$39)^I4)</f>
        <v>0.6328017093816003</v>
      </c>
      <c r="E33" s="163">
        <f>+D33*I29</f>
        <v>148320.57141277476</v>
      </c>
    </row>
    <row r="34" spans="1:12" ht="14.7" thickBot="1" x14ac:dyDescent="0.55000000000000004">
      <c r="A34" s="17"/>
      <c r="C34" s="161" t="s">
        <v>160</v>
      </c>
      <c r="D34" s="162">
        <f>1/((1+$I$39)^J4)</f>
        <v>0.56439681535997177</v>
      </c>
      <c r="E34" s="163">
        <f>+D34*J29</f>
        <v>7195153.8874893617</v>
      </c>
    </row>
    <row r="35" spans="1:12" ht="14.7" thickBot="1" x14ac:dyDescent="0.55000000000000004">
      <c r="A35" s="17"/>
      <c r="C35" s="161" t="s">
        <v>161</v>
      </c>
      <c r="D35" s="133"/>
      <c r="E35" s="165">
        <f>SUM(E30:E34)</f>
        <v>7832394.0942927077</v>
      </c>
      <c r="F35" s="53"/>
      <c r="G35" s="166" t="s">
        <v>162</v>
      </c>
      <c r="H35" s="167"/>
      <c r="I35" s="168"/>
      <c r="K35" s="169" t="s">
        <v>199</v>
      </c>
      <c r="L35" s="170"/>
    </row>
    <row r="36" spans="1:12" ht="14.7" thickTop="1" x14ac:dyDescent="0.5">
      <c r="A36" s="17"/>
      <c r="C36" s="161"/>
      <c r="E36" s="163"/>
      <c r="F36" s="53"/>
      <c r="G36" s="171" t="s">
        <v>163</v>
      </c>
      <c r="H36" s="38"/>
      <c r="I36" s="172">
        <f>+'Fig. 10.6'!C8</f>
        <v>1.4999999999999999E-2</v>
      </c>
      <c r="K36" s="215">
        <v>75000</v>
      </c>
      <c r="L36" s="216"/>
    </row>
    <row r="37" spans="1:12" x14ac:dyDescent="0.5">
      <c r="A37" s="17"/>
      <c r="C37" s="173" t="s">
        <v>164</v>
      </c>
      <c r="E37" s="174" t="s">
        <v>165</v>
      </c>
      <c r="F37" s="40"/>
      <c r="G37" s="171" t="s">
        <v>166</v>
      </c>
      <c r="H37" s="38"/>
      <c r="I37" s="172">
        <f>+'Fig. 10.6'!C10</f>
        <v>0.09</v>
      </c>
      <c r="K37" s="217">
        <f>+K36/E19</f>
        <v>5.2083333333333336E-2</v>
      </c>
      <c r="L37" s="218" t="s">
        <v>167</v>
      </c>
    </row>
    <row r="38" spans="1:12" ht="14.7" thickBot="1" x14ac:dyDescent="0.55000000000000004">
      <c r="A38" s="17"/>
      <c r="C38" s="13" t="s">
        <v>168</v>
      </c>
      <c r="E38" s="163">
        <f>+E35</f>
        <v>7832394.0942927077</v>
      </c>
      <c r="G38" s="171" t="s">
        <v>169</v>
      </c>
      <c r="H38" s="38"/>
      <c r="I38" s="175">
        <f>+'Fig. 10.6'!C9</f>
        <v>1.18</v>
      </c>
      <c r="K38" s="51"/>
      <c r="L38" s="52"/>
    </row>
    <row r="39" spans="1:12" ht="14.7" thickBot="1" x14ac:dyDescent="0.55000000000000004">
      <c r="A39" s="17"/>
      <c r="C39" s="38" t="s">
        <v>182</v>
      </c>
      <c r="E39" s="101">
        <f>+'Fig. 10.8'!E18</f>
        <v>117448</v>
      </c>
      <c r="G39" s="177" t="s">
        <v>170</v>
      </c>
      <c r="H39" s="178"/>
      <c r="I39" s="179">
        <f>+I36+(I37*I38)</f>
        <v>0.12119999999999999</v>
      </c>
    </row>
    <row r="40" spans="1:12" ht="14.7" thickBot="1" x14ac:dyDescent="0.55000000000000004">
      <c r="A40" s="17"/>
      <c r="C40" s="38" t="s">
        <v>19</v>
      </c>
      <c r="E40" s="194">
        <f>+E38/E39</f>
        <v>66.688186212559671</v>
      </c>
    </row>
    <row r="41" spans="1:12" ht="14.7" thickBot="1" x14ac:dyDescent="0.55000000000000004">
      <c r="A41" s="17"/>
      <c r="G41" s="166" t="s">
        <v>171</v>
      </c>
      <c r="H41" s="167"/>
      <c r="I41" s="180" t="s">
        <v>172</v>
      </c>
      <c r="J41" s="180" t="s">
        <v>173</v>
      </c>
      <c r="K41" s="181" t="s">
        <v>174</v>
      </c>
    </row>
    <row r="42" spans="1:12" x14ac:dyDescent="0.5">
      <c r="A42" s="17"/>
      <c r="C42" s="197"/>
      <c r="D42" s="195"/>
      <c r="E42" s="196"/>
      <c r="G42" s="171" t="s">
        <v>175</v>
      </c>
      <c r="H42" s="176">
        <f>+'[1]Fig. 17.4'!G18</f>
        <v>1440000</v>
      </c>
      <c r="I42" s="182">
        <f>+H42/SUM($H$42:$H$43)</f>
        <v>0.28042843232716652</v>
      </c>
      <c r="J42" s="183">
        <f>+K37*(1-D12)</f>
        <v>4.0625000000000001E-2</v>
      </c>
      <c r="K42" s="184">
        <f>+J42*I42</f>
        <v>1.1392405063291141E-2</v>
      </c>
    </row>
    <row r="43" spans="1:12" x14ac:dyDescent="0.5">
      <c r="A43" s="17"/>
      <c r="C43" s="38"/>
      <c r="E43" s="101"/>
      <c r="G43" s="171" t="s">
        <v>176</v>
      </c>
      <c r="H43" s="176">
        <f>+[1]Sheet1!C12</f>
        <v>3695000</v>
      </c>
      <c r="I43" s="182">
        <f>+H43/SUM($H$42:$H$43)</f>
        <v>0.71957156767283348</v>
      </c>
      <c r="J43" s="185">
        <f>+I39</f>
        <v>0.12119999999999999</v>
      </c>
      <c r="K43" s="184">
        <f>+J43*I43</f>
        <v>8.7212074001947415E-2</v>
      </c>
    </row>
    <row r="44" spans="1:12" ht="14.7" thickBot="1" x14ac:dyDescent="0.55000000000000004">
      <c r="A44" s="17"/>
      <c r="C44" s="38"/>
      <c r="E44" s="101"/>
      <c r="G44" s="177"/>
      <c r="H44" s="186"/>
      <c r="I44" s="187">
        <f>SUM(I42:I43)</f>
        <v>1</v>
      </c>
      <c r="J44" s="188"/>
      <c r="K44" s="189">
        <f>SUM(K42:K43)</f>
        <v>9.8604479065238559E-2</v>
      </c>
    </row>
    <row r="45" spans="1:12" x14ac:dyDescent="0.5">
      <c r="C45" s="38"/>
      <c r="E45" s="101"/>
    </row>
    <row r="46" spans="1:12" x14ac:dyDescent="0.5">
      <c r="E46" s="101"/>
      <c r="L46" s="13" t="s">
        <v>190</v>
      </c>
    </row>
    <row r="49" spans="12:12" x14ac:dyDescent="0.5">
      <c r="L49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Fig. 10.1</vt:lpstr>
      <vt:lpstr>Fig 10.2</vt:lpstr>
      <vt:lpstr>Fig 10.3</vt:lpstr>
      <vt:lpstr>Fig. 10.4</vt:lpstr>
      <vt:lpstr>Fig. 10.5</vt:lpstr>
      <vt:lpstr>Fig. 10.6</vt:lpstr>
      <vt:lpstr>Fig. 10.7</vt:lpstr>
      <vt:lpstr>Fig. 10.8</vt:lpstr>
      <vt:lpstr>Fig. 10.9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2019-03-14T10:18:39Z</dcterms:created>
  <dcterms:modified xsi:type="dcterms:W3CDTF">2020-07-24T15:19:05Z</dcterms:modified>
</cp:coreProperties>
</file>