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921b89f68d3868/Documents/School Work/Baruch CAPS/Corporate Finance ^0 Valuation/ESA LBO/"/>
    </mc:Choice>
  </mc:AlternateContent>
  <xr:revisionPtr revIDLastSave="302" documentId="8_{6EF66979-45BA-4F6C-8419-FFD1AAB5508D}" xr6:coauthVersionLast="46" xr6:coauthVersionMax="46" xr10:uidLastSave="{50E6300A-A53C-4221-BCB5-A4645DAA7BA8}"/>
  <bookViews>
    <workbookView xWindow="-50520" yWindow="-105" windowWidth="25440" windowHeight="15390" activeTab="2" xr2:uid="{9EF70BA9-A403-4443-BD38-55D9BF21EDC3}"/>
  </bookViews>
  <sheets>
    <sheet name="Historical Analysis" sheetId="1" r:id="rId1"/>
    <sheet name="Projections" sheetId="3" r:id="rId2"/>
    <sheet name="Valuation Analysis" sheetId="2" r:id="rId3"/>
    <sheet name="Equity Return" sheetId="10" r:id="rId4"/>
    <sheet name="Revenue Yahoo Input" sheetId="5" r:id="rId5"/>
    <sheet name="Sheet1" sheetId="8" r:id="rId6"/>
    <sheet name="Balance Sheet Yahoo Input" sheetId="6" r:id="rId7"/>
    <sheet name="Cash Flow Yahoo Input" sheetId="7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" i="2" l="1"/>
  <c r="O30" i="10"/>
  <c r="D87" i="2"/>
  <c r="J129" i="2"/>
  <c r="I129" i="2"/>
  <c r="G128" i="2"/>
  <c r="B62" i="2"/>
  <c r="O13" i="10"/>
  <c r="L15" i="10"/>
  <c r="I53" i="2"/>
  <c r="G53" i="2"/>
  <c r="F53" i="2"/>
  <c r="D53" i="2"/>
  <c r="C53" i="2"/>
  <c r="K53" i="2"/>
  <c r="E54" i="2"/>
  <c r="H54" i="2"/>
  <c r="J54" i="2"/>
  <c r="G28" i="2"/>
  <c r="F28" i="2"/>
  <c r="D28" i="2"/>
  <c r="C28" i="2"/>
  <c r="G13" i="10"/>
  <c r="O51" i="10"/>
  <c r="N51" i="10"/>
  <c r="O49" i="10"/>
  <c r="N49" i="10"/>
  <c r="G42" i="10"/>
  <c r="G41" i="10"/>
  <c r="S5" i="3"/>
  <c r="T5" i="3" s="1"/>
  <c r="S6" i="3"/>
  <c r="S33" i="3" s="1"/>
  <c r="T6" i="3"/>
  <c r="T33" i="3" s="1"/>
  <c r="S32" i="3"/>
  <c r="T32" i="3"/>
  <c r="S41" i="3"/>
  <c r="S46" i="3"/>
  <c r="S30" i="3" s="1"/>
  <c r="T46" i="3"/>
  <c r="T30" i="3" s="1"/>
  <c r="S47" i="3"/>
  <c r="T47" i="3"/>
  <c r="C1" i="10"/>
  <c r="A75" i="10"/>
  <c r="A74" i="10"/>
  <c r="A73" i="10"/>
  <c r="A72" i="10"/>
  <c r="A71" i="10"/>
  <c r="A70" i="10"/>
  <c r="A69" i="10"/>
  <c r="A68" i="10"/>
  <c r="A67" i="10"/>
  <c r="A66" i="10"/>
  <c r="A65" i="10"/>
  <c r="A64" i="10"/>
  <c r="A63" i="10"/>
  <c r="A62" i="10"/>
  <c r="A61" i="10"/>
  <c r="A60" i="10"/>
  <c r="A59" i="10"/>
  <c r="A58" i="10"/>
  <c r="A57" i="10"/>
  <c r="A56" i="10"/>
  <c r="A55" i="10"/>
  <c r="A54" i="10"/>
  <c r="A53" i="10"/>
  <c r="A52" i="10"/>
  <c r="A51" i="10"/>
  <c r="A50" i="10"/>
  <c r="A49" i="10"/>
  <c r="A48" i="10"/>
  <c r="A47" i="10"/>
  <c r="A46" i="10"/>
  <c r="A45" i="10"/>
  <c r="A44" i="10"/>
  <c r="A43" i="10"/>
  <c r="A42" i="10"/>
  <c r="A41" i="10"/>
  <c r="A40" i="10"/>
  <c r="H39" i="10"/>
  <c r="A39" i="10"/>
  <c r="A38" i="10"/>
  <c r="A37" i="10"/>
  <c r="A36" i="10"/>
  <c r="A35" i="10"/>
  <c r="A34" i="10"/>
  <c r="A33" i="10"/>
  <c r="A32" i="10"/>
  <c r="G31" i="10"/>
  <c r="A31" i="10"/>
  <c r="A30" i="10"/>
  <c r="A29" i="10"/>
  <c r="A28" i="10"/>
  <c r="A27" i="10"/>
  <c r="A26" i="10"/>
  <c r="G25" i="10"/>
  <c r="H25" i="10" s="1"/>
  <c r="A25" i="10"/>
  <c r="A24" i="10"/>
  <c r="A23" i="10"/>
  <c r="A22" i="10"/>
  <c r="A21" i="10"/>
  <c r="A20" i="10"/>
  <c r="A19" i="10"/>
  <c r="A18" i="10"/>
  <c r="A17" i="10"/>
  <c r="O16" i="10"/>
  <c r="I8" i="10" s="1"/>
  <c r="G69" i="10" s="1"/>
  <c r="H69" i="10" s="1"/>
  <c r="A16" i="10"/>
  <c r="A15" i="10"/>
  <c r="A14" i="10"/>
  <c r="A13" i="10"/>
  <c r="G12" i="10"/>
  <c r="A12" i="10"/>
  <c r="A11" i="10"/>
  <c r="A10" i="10"/>
  <c r="A9" i="10"/>
  <c r="A8" i="10"/>
  <c r="A7" i="10"/>
  <c r="O6" i="10"/>
  <c r="A6" i="10"/>
  <c r="A5" i="10"/>
  <c r="A4" i="10"/>
  <c r="A3" i="10"/>
  <c r="C29" i="3"/>
  <c r="C26" i="3"/>
  <c r="C25" i="3"/>
  <c r="C24" i="3"/>
  <c r="C22" i="3"/>
  <c r="F20" i="3"/>
  <c r="E22" i="3"/>
  <c r="C7" i="3"/>
  <c r="C33" i="3"/>
  <c r="C28" i="3"/>
  <c r="C21" i="1"/>
  <c r="C68" i="1"/>
  <c r="C113" i="1" s="1"/>
  <c r="D6" i="1"/>
  <c r="E6" i="1" s="1"/>
  <c r="L7" i="1"/>
  <c r="L117" i="1" s="1"/>
  <c r="L8" i="1"/>
  <c r="L10" i="1"/>
  <c r="C14" i="3" s="1"/>
  <c r="L12" i="1"/>
  <c r="C17" i="3" s="1"/>
  <c r="L15" i="1"/>
  <c r="L16" i="1" s="1"/>
  <c r="C21" i="3" s="1"/>
  <c r="L17" i="1"/>
  <c r="L24" i="1"/>
  <c r="L108" i="1" s="1"/>
  <c r="L103" i="1"/>
  <c r="L27" i="1"/>
  <c r="L28" i="1"/>
  <c r="L32" i="1"/>
  <c r="L34" i="1"/>
  <c r="L35" i="1"/>
  <c r="L36" i="1"/>
  <c r="L37" i="1"/>
  <c r="L71" i="1" s="1"/>
  <c r="L40" i="1"/>
  <c r="L133" i="1" s="1"/>
  <c r="L44" i="1"/>
  <c r="L79" i="1" s="1"/>
  <c r="L48" i="1"/>
  <c r="L51" i="1"/>
  <c r="L94" i="1" s="1"/>
  <c r="L54" i="1"/>
  <c r="L58" i="1"/>
  <c r="L60" i="1"/>
  <c r="L61" i="1"/>
  <c r="L59" i="1" s="1"/>
  <c r="L67" i="1"/>
  <c r="L69" i="1"/>
  <c r="L73" i="1"/>
  <c r="L80" i="1"/>
  <c r="L81" i="1"/>
  <c r="L82" i="1"/>
  <c r="L83" i="1"/>
  <c r="L86" i="1"/>
  <c r="L93" i="1"/>
  <c r="L95" i="1"/>
  <c r="L104" i="1"/>
  <c r="L105" i="1"/>
  <c r="L109" i="1"/>
  <c r="L122" i="1"/>
  <c r="L123" i="1" s="1"/>
  <c r="L126" i="1"/>
  <c r="D86" i="1"/>
  <c r="E86" i="1"/>
  <c r="F86" i="1"/>
  <c r="G86" i="1"/>
  <c r="H86" i="1"/>
  <c r="I86" i="1"/>
  <c r="J86" i="1"/>
  <c r="K86" i="1"/>
  <c r="C86" i="1"/>
  <c r="D83" i="1"/>
  <c r="E83" i="1"/>
  <c r="F83" i="1"/>
  <c r="G83" i="1"/>
  <c r="H83" i="1"/>
  <c r="I83" i="1"/>
  <c r="J83" i="1"/>
  <c r="K83" i="1"/>
  <c r="C83" i="1"/>
  <c r="D81" i="1"/>
  <c r="E81" i="1"/>
  <c r="F81" i="1"/>
  <c r="G81" i="1"/>
  <c r="H81" i="1"/>
  <c r="I81" i="1"/>
  <c r="J81" i="1"/>
  <c r="K81" i="1"/>
  <c r="C81" i="1"/>
  <c r="D82" i="1"/>
  <c r="E82" i="1"/>
  <c r="F82" i="1"/>
  <c r="G82" i="1"/>
  <c r="H82" i="1"/>
  <c r="I82" i="1"/>
  <c r="J82" i="1"/>
  <c r="K82" i="1"/>
  <c r="C82" i="1"/>
  <c r="D58" i="1"/>
  <c r="E58" i="1"/>
  <c r="F58" i="1"/>
  <c r="G58" i="1"/>
  <c r="H58" i="1"/>
  <c r="I58" i="1"/>
  <c r="J58" i="1"/>
  <c r="K58" i="1"/>
  <c r="D60" i="1"/>
  <c r="E60" i="1"/>
  <c r="F60" i="1"/>
  <c r="G60" i="1"/>
  <c r="H60" i="1"/>
  <c r="I60" i="1"/>
  <c r="J60" i="1"/>
  <c r="K60" i="1"/>
  <c r="D61" i="1"/>
  <c r="D59" i="1" s="1"/>
  <c r="E61" i="1"/>
  <c r="E59" i="1" s="1"/>
  <c r="F61" i="1"/>
  <c r="F59" i="1" s="1"/>
  <c r="G61" i="1"/>
  <c r="G59" i="1" s="1"/>
  <c r="H61" i="1"/>
  <c r="H59" i="1" s="1"/>
  <c r="I61" i="1"/>
  <c r="I59" i="1" s="1"/>
  <c r="J61" i="1"/>
  <c r="J59" i="1" s="1"/>
  <c r="K61" i="1"/>
  <c r="K59" i="1" s="1"/>
  <c r="C61" i="1"/>
  <c r="C59" i="1" s="1"/>
  <c r="C60" i="1"/>
  <c r="C58" i="1"/>
  <c r="D51" i="1"/>
  <c r="E51" i="1"/>
  <c r="F51" i="1"/>
  <c r="G51" i="1"/>
  <c r="H51" i="1"/>
  <c r="I51" i="1"/>
  <c r="J51" i="1"/>
  <c r="K51" i="1"/>
  <c r="D54" i="1"/>
  <c r="E54" i="1"/>
  <c r="F54" i="1"/>
  <c r="G54" i="1"/>
  <c r="H54" i="1"/>
  <c r="I54" i="1"/>
  <c r="J54" i="1"/>
  <c r="K54" i="1"/>
  <c r="C54" i="1"/>
  <c r="C51" i="1"/>
  <c r="D44" i="1"/>
  <c r="E44" i="1"/>
  <c r="F44" i="1"/>
  <c r="G44" i="1"/>
  <c r="H44" i="1"/>
  <c r="I44" i="1"/>
  <c r="J44" i="1"/>
  <c r="K44" i="1"/>
  <c r="C44" i="1"/>
  <c r="D48" i="1"/>
  <c r="E48" i="1"/>
  <c r="E55" i="1" s="1"/>
  <c r="E52" i="1" s="1"/>
  <c r="F48" i="1"/>
  <c r="G48" i="1"/>
  <c r="H48" i="1"/>
  <c r="I48" i="1"/>
  <c r="I55" i="1" s="1"/>
  <c r="I52" i="1" s="1"/>
  <c r="J48" i="1"/>
  <c r="K48" i="1"/>
  <c r="C48" i="1"/>
  <c r="D36" i="1"/>
  <c r="E36" i="1"/>
  <c r="F36" i="1"/>
  <c r="G36" i="1"/>
  <c r="H36" i="1"/>
  <c r="I36" i="1"/>
  <c r="J36" i="1"/>
  <c r="K36" i="1"/>
  <c r="D37" i="1"/>
  <c r="E37" i="1"/>
  <c r="F37" i="1"/>
  <c r="G37" i="1"/>
  <c r="H37" i="1"/>
  <c r="I37" i="1"/>
  <c r="J37" i="1"/>
  <c r="K37" i="1"/>
  <c r="C37" i="1"/>
  <c r="C36" i="1"/>
  <c r="D32" i="1"/>
  <c r="E32" i="1"/>
  <c r="F32" i="1"/>
  <c r="G32" i="1"/>
  <c r="H32" i="1"/>
  <c r="I32" i="1"/>
  <c r="J32" i="1"/>
  <c r="K32" i="1"/>
  <c r="D34" i="1"/>
  <c r="D33" i="1" s="1"/>
  <c r="E34" i="1"/>
  <c r="E33" i="1" s="1"/>
  <c r="F34" i="1"/>
  <c r="F33" i="1" s="1"/>
  <c r="G34" i="1"/>
  <c r="G33" i="1" s="1"/>
  <c r="H34" i="1"/>
  <c r="H33" i="1" s="1"/>
  <c r="I34" i="1"/>
  <c r="I33" i="1" s="1"/>
  <c r="J34" i="1"/>
  <c r="J33" i="1" s="1"/>
  <c r="K34" i="1"/>
  <c r="K33" i="1" s="1"/>
  <c r="C34" i="1"/>
  <c r="C32" i="1"/>
  <c r="D15" i="1"/>
  <c r="E15" i="1"/>
  <c r="F15" i="1"/>
  <c r="G15" i="1"/>
  <c r="H15" i="1"/>
  <c r="G20" i="3" s="1"/>
  <c r="I15" i="1"/>
  <c r="J15" i="1"/>
  <c r="E20" i="3" s="1"/>
  <c r="K15" i="1"/>
  <c r="D20" i="3" s="1"/>
  <c r="D17" i="1"/>
  <c r="D16" i="1" s="1"/>
  <c r="E17" i="1"/>
  <c r="F17" i="1"/>
  <c r="F16" i="1" s="1"/>
  <c r="G17" i="1"/>
  <c r="G16" i="1" s="1"/>
  <c r="H17" i="1"/>
  <c r="H16" i="1" s="1"/>
  <c r="I17" i="1"/>
  <c r="I16" i="1" s="1"/>
  <c r="J17" i="1"/>
  <c r="J16" i="1" s="1"/>
  <c r="K17" i="1"/>
  <c r="K16" i="1" s="1"/>
  <c r="C17" i="1"/>
  <c r="C15" i="1"/>
  <c r="D12" i="1"/>
  <c r="E12" i="1"/>
  <c r="F12" i="1"/>
  <c r="G12" i="1"/>
  <c r="H12" i="1"/>
  <c r="I12" i="1"/>
  <c r="J12" i="1"/>
  <c r="K12" i="1"/>
  <c r="C12" i="1"/>
  <c r="A1" i="2"/>
  <c r="A28" i="2" s="1"/>
  <c r="B1" i="3"/>
  <c r="F72" i="2"/>
  <c r="H72" i="2" s="1"/>
  <c r="J72" i="2" s="1"/>
  <c r="G71" i="2"/>
  <c r="F71" i="2"/>
  <c r="H71" i="2" l="1"/>
  <c r="J71" i="2" s="1"/>
  <c r="T41" i="3"/>
  <c r="J8" i="10"/>
  <c r="G14" i="10"/>
  <c r="G15" i="10"/>
  <c r="I39" i="10"/>
  <c r="H19" i="10"/>
  <c r="K69" i="10"/>
  <c r="J69" i="10"/>
  <c r="M69" i="10"/>
  <c r="I69" i="10"/>
  <c r="L69" i="10"/>
  <c r="I25" i="10"/>
  <c r="H24" i="10"/>
  <c r="C41" i="3"/>
  <c r="H55" i="1"/>
  <c r="H52" i="1" s="1"/>
  <c r="D55" i="1"/>
  <c r="D52" i="1" s="1"/>
  <c r="L9" i="1"/>
  <c r="C10" i="3"/>
  <c r="C38" i="3" s="1"/>
  <c r="J55" i="1"/>
  <c r="J52" i="1" s="1"/>
  <c r="F55" i="1"/>
  <c r="F52" i="1" s="1"/>
  <c r="L101" i="1"/>
  <c r="C30" i="3"/>
  <c r="C46" i="3" s="1"/>
  <c r="G22" i="3"/>
  <c r="D22" i="3"/>
  <c r="C20" i="3"/>
  <c r="L100" i="1"/>
  <c r="L33" i="1"/>
  <c r="F22" i="3"/>
  <c r="C44" i="3"/>
  <c r="C39" i="3"/>
  <c r="C42" i="3"/>
  <c r="F6" i="1"/>
  <c r="E21" i="1"/>
  <c r="E68" i="1" s="1"/>
  <c r="E113" i="1" s="1"/>
  <c r="L134" i="1"/>
  <c r="L26" i="1"/>
  <c r="L29" i="1" s="1"/>
  <c r="L120" i="1" s="1"/>
  <c r="D21" i="1"/>
  <c r="D68" i="1" s="1"/>
  <c r="D113" i="1" s="1"/>
  <c r="L97" i="1"/>
  <c r="L99" i="1" s="1"/>
  <c r="L107" i="1" s="1"/>
  <c r="L78" i="1"/>
  <c r="G55" i="1"/>
  <c r="G52" i="1" s="1"/>
  <c r="L55" i="1"/>
  <c r="L63" i="1" s="1"/>
  <c r="L64" i="1" s="1"/>
  <c r="L70" i="1"/>
  <c r="L77" i="1"/>
  <c r="L11" i="1"/>
  <c r="L131" i="1"/>
  <c r="E16" i="1"/>
  <c r="K55" i="1"/>
  <c r="K52" i="1" s="1"/>
  <c r="C16" i="1"/>
  <c r="K17" i="3"/>
  <c r="K19" i="3"/>
  <c r="K21" i="3"/>
  <c r="C7" i="1"/>
  <c r="J39" i="10" l="1"/>
  <c r="I19" i="10"/>
  <c r="I24" i="10"/>
  <c r="J25" i="10"/>
  <c r="J44" i="10"/>
  <c r="J51" i="10" s="1"/>
  <c r="M44" i="10"/>
  <c r="M51" i="10" s="1"/>
  <c r="I44" i="10"/>
  <c r="I51" i="10" s="1"/>
  <c r="H44" i="10"/>
  <c r="H51" i="10" s="1"/>
  <c r="L44" i="10"/>
  <c r="L51" i="10" s="1"/>
  <c r="K44" i="10"/>
  <c r="K51" i="10" s="1"/>
  <c r="G16" i="10"/>
  <c r="H15" i="10" s="1"/>
  <c r="C11" i="3"/>
  <c r="C15" i="3" s="1"/>
  <c r="C34" i="3" s="1"/>
  <c r="L52" i="1"/>
  <c r="L72" i="1" s="1"/>
  <c r="L74" i="1" s="1"/>
  <c r="L121" i="1"/>
  <c r="F21" i="1"/>
  <c r="F68" i="1" s="1"/>
  <c r="F113" i="1" s="1"/>
  <c r="G6" i="1"/>
  <c r="L13" i="1"/>
  <c r="L14" i="1" s="1"/>
  <c r="C19" i="3" s="1"/>
  <c r="L114" i="1"/>
  <c r="L38" i="1"/>
  <c r="L39" i="1" s="1"/>
  <c r="C112" i="1"/>
  <c r="D33" i="3"/>
  <c r="E33" i="3"/>
  <c r="G94" i="1"/>
  <c r="G95" i="1"/>
  <c r="K103" i="1"/>
  <c r="K104" i="1"/>
  <c r="H105" i="1"/>
  <c r="K105" i="1"/>
  <c r="I109" i="1"/>
  <c r="J109" i="1"/>
  <c r="F33" i="3"/>
  <c r="G29" i="3"/>
  <c r="G33" i="3"/>
  <c r="E56" i="2"/>
  <c r="H56" i="2" s="1"/>
  <c r="J56" i="2" s="1"/>
  <c r="D92" i="2"/>
  <c r="E92" i="2" s="1"/>
  <c r="K24" i="3"/>
  <c r="J24" i="3"/>
  <c r="I24" i="3"/>
  <c r="H24" i="3"/>
  <c r="G24" i="3"/>
  <c r="F24" i="3"/>
  <c r="E24" i="3"/>
  <c r="D24" i="3"/>
  <c r="L24" i="3"/>
  <c r="D67" i="1"/>
  <c r="E67" i="1"/>
  <c r="F67" i="1"/>
  <c r="G67" i="1"/>
  <c r="H67" i="1"/>
  <c r="I67" i="1"/>
  <c r="J67" i="1"/>
  <c r="K67" i="1"/>
  <c r="H69" i="1"/>
  <c r="G71" i="1"/>
  <c r="G73" i="1"/>
  <c r="G80" i="1"/>
  <c r="H25" i="3"/>
  <c r="G25" i="3"/>
  <c r="F25" i="3"/>
  <c r="E25" i="3"/>
  <c r="D25" i="3"/>
  <c r="H26" i="3"/>
  <c r="G26" i="3"/>
  <c r="F26" i="3"/>
  <c r="E26" i="3"/>
  <c r="D26" i="3"/>
  <c r="H24" i="1"/>
  <c r="I24" i="1"/>
  <c r="I108" i="1" s="1"/>
  <c r="J24" i="1"/>
  <c r="I104" i="1" s="1"/>
  <c r="K24" i="1"/>
  <c r="J104" i="1" s="1"/>
  <c r="I105" i="1"/>
  <c r="H26" i="1"/>
  <c r="G103" i="1" s="1"/>
  <c r="I26" i="1"/>
  <c r="H27" i="1"/>
  <c r="I27" i="1"/>
  <c r="J27" i="1"/>
  <c r="K27" i="1"/>
  <c r="H28" i="1"/>
  <c r="I28" i="1"/>
  <c r="J28" i="1"/>
  <c r="K28" i="1"/>
  <c r="G70" i="1"/>
  <c r="H70" i="1"/>
  <c r="K70" i="1"/>
  <c r="H35" i="1"/>
  <c r="I35" i="1"/>
  <c r="J35" i="1"/>
  <c r="K35" i="1"/>
  <c r="K71" i="1"/>
  <c r="H40" i="1"/>
  <c r="I40" i="1"/>
  <c r="J40" i="1"/>
  <c r="I133" i="1" s="1"/>
  <c r="K40" i="1"/>
  <c r="K79" i="1"/>
  <c r="K80" i="1"/>
  <c r="K73" i="1"/>
  <c r="D28" i="3"/>
  <c r="K95" i="1"/>
  <c r="D24" i="1"/>
  <c r="D26" i="1" s="1"/>
  <c r="D29" i="1" s="1"/>
  <c r="E24" i="1"/>
  <c r="E26" i="1" s="1"/>
  <c r="F24" i="1"/>
  <c r="F26" i="1" s="1"/>
  <c r="G24" i="1"/>
  <c r="G108" i="1" s="1"/>
  <c r="G109" i="1"/>
  <c r="D27" i="1"/>
  <c r="E27" i="1"/>
  <c r="F27" i="1"/>
  <c r="G27" i="1"/>
  <c r="D28" i="1"/>
  <c r="E28" i="1"/>
  <c r="D78" i="1" s="1"/>
  <c r="F28" i="1"/>
  <c r="G28" i="1"/>
  <c r="D35" i="1"/>
  <c r="E35" i="1"/>
  <c r="F35" i="1"/>
  <c r="G35" i="1"/>
  <c r="F71" i="1"/>
  <c r="D40" i="1"/>
  <c r="E40" i="1"/>
  <c r="F40" i="1"/>
  <c r="G40" i="1"/>
  <c r="F79" i="1"/>
  <c r="G79" i="1"/>
  <c r="F80" i="1"/>
  <c r="F73" i="1"/>
  <c r="F28" i="3"/>
  <c r="G28" i="3"/>
  <c r="G93" i="1"/>
  <c r="F72" i="1"/>
  <c r="G72" i="1"/>
  <c r="G63" i="1"/>
  <c r="G64" i="1" s="1"/>
  <c r="H7" i="1"/>
  <c r="G7" i="3" s="1"/>
  <c r="I7" i="1"/>
  <c r="J7" i="1"/>
  <c r="K7" i="1"/>
  <c r="H8" i="1"/>
  <c r="G10" i="3" s="1"/>
  <c r="I8" i="1"/>
  <c r="J8" i="1"/>
  <c r="E10" i="3" s="1"/>
  <c r="K8" i="1"/>
  <c r="D10" i="3" s="1"/>
  <c r="I9" i="1"/>
  <c r="I131" i="1" s="1"/>
  <c r="J9" i="1"/>
  <c r="J131" i="1" s="1"/>
  <c r="H10" i="1"/>
  <c r="G14" i="3" s="1"/>
  <c r="I10" i="1"/>
  <c r="J10" i="1"/>
  <c r="E14" i="3" s="1"/>
  <c r="K10" i="1"/>
  <c r="D14" i="3" s="1"/>
  <c r="G17" i="3"/>
  <c r="F17" i="3"/>
  <c r="E17" i="3"/>
  <c r="D17" i="3"/>
  <c r="G21" i="3"/>
  <c r="F21" i="3"/>
  <c r="E21" i="3"/>
  <c r="D21" i="3"/>
  <c r="K133" i="1"/>
  <c r="D7" i="1"/>
  <c r="E7" i="1"/>
  <c r="F7" i="1"/>
  <c r="G7" i="1"/>
  <c r="H7" i="3" s="1"/>
  <c r="D8" i="1"/>
  <c r="E8" i="1"/>
  <c r="E9" i="1" s="1"/>
  <c r="F8" i="1"/>
  <c r="F9" i="1" s="1"/>
  <c r="G8" i="1"/>
  <c r="D10" i="1"/>
  <c r="E10" i="1"/>
  <c r="F10" i="1"/>
  <c r="G10" i="1"/>
  <c r="G133" i="1"/>
  <c r="C10" i="1"/>
  <c r="C8" i="1"/>
  <c r="C18" i="3" l="1"/>
  <c r="H16" i="10"/>
  <c r="H13" i="10"/>
  <c r="H12" i="10"/>
  <c r="H14" i="10"/>
  <c r="K25" i="10"/>
  <c r="J24" i="10"/>
  <c r="J19" i="10"/>
  <c r="K39" i="10"/>
  <c r="C12" i="3"/>
  <c r="J11" i="1"/>
  <c r="J114" i="1" s="1"/>
  <c r="F14" i="3"/>
  <c r="K9" i="1"/>
  <c r="K131" i="1" s="1"/>
  <c r="I29" i="1"/>
  <c r="I120" i="1" s="1"/>
  <c r="I11" i="1"/>
  <c r="I114" i="1" s="1"/>
  <c r="K72" i="1"/>
  <c r="F10" i="3"/>
  <c r="J78" i="1"/>
  <c r="J77" i="1"/>
  <c r="J26" i="1"/>
  <c r="J29" i="1" s="1"/>
  <c r="J120" i="1" s="1"/>
  <c r="H6" i="1"/>
  <c r="G21" i="1"/>
  <c r="G68" i="1" s="1"/>
  <c r="G113" i="1" s="1"/>
  <c r="I13" i="1"/>
  <c r="I14" i="1" s="1"/>
  <c r="D77" i="1"/>
  <c r="I78" i="1"/>
  <c r="I77" i="1"/>
  <c r="D9" i="1"/>
  <c r="D7" i="3"/>
  <c r="D44" i="3" s="1"/>
  <c r="K117" i="1"/>
  <c r="L127" i="1"/>
  <c r="L128" i="1"/>
  <c r="L132" i="1"/>
  <c r="D39" i="3"/>
  <c r="K78" i="1"/>
  <c r="H9" i="1"/>
  <c r="H104" i="1"/>
  <c r="F78" i="1"/>
  <c r="F77" i="1"/>
  <c r="F29" i="1"/>
  <c r="G78" i="1"/>
  <c r="G77" i="1"/>
  <c r="H63" i="1"/>
  <c r="H64" i="1" s="1"/>
  <c r="E72" i="1"/>
  <c r="E80" i="1"/>
  <c r="J71" i="1"/>
  <c r="F38" i="1"/>
  <c r="F39" i="1" s="1"/>
  <c r="F63" i="1"/>
  <c r="F64" i="1" s="1"/>
  <c r="E73" i="1"/>
  <c r="E79" i="1"/>
  <c r="E71" i="1"/>
  <c r="D70" i="1"/>
  <c r="J95" i="1"/>
  <c r="J72" i="1"/>
  <c r="J73" i="1"/>
  <c r="J80" i="1"/>
  <c r="J79" i="1"/>
  <c r="J38" i="1"/>
  <c r="J39" i="1" s="1"/>
  <c r="H134" i="1"/>
  <c r="K122" i="1"/>
  <c r="K123" i="1" s="1"/>
  <c r="D38" i="1"/>
  <c r="D39" i="1" s="1"/>
  <c r="G26" i="1"/>
  <c r="I121" i="1"/>
  <c r="I100" i="1"/>
  <c r="K77" i="1"/>
  <c r="J108" i="1"/>
  <c r="J100" i="1" s="1"/>
  <c r="J122" i="1"/>
  <c r="J123" i="1" s="1"/>
  <c r="D63" i="1"/>
  <c r="D64" i="1" s="1"/>
  <c r="G97" i="1"/>
  <c r="G99" i="1" s="1"/>
  <c r="G107" i="1" s="1"/>
  <c r="F70" i="1"/>
  <c r="E29" i="1"/>
  <c r="H94" i="1"/>
  <c r="H95" i="1"/>
  <c r="H126" i="1"/>
  <c r="H78" i="1"/>
  <c r="H77" i="1"/>
  <c r="G42" i="3"/>
  <c r="G41" i="3"/>
  <c r="D11" i="1"/>
  <c r="F11" i="1"/>
  <c r="I117" i="1"/>
  <c r="G122" i="1"/>
  <c r="G123" i="1" s="1"/>
  <c r="D41" i="3"/>
  <c r="G69" i="1"/>
  <c r="G74" i="1" s="1"/>
  <c r="J13" i="1"/>
  <c r="J14" i="1" s="1"/>
  <c r="E19" i="3" s="1"/>
  <c r="G9" i="1"/>
  <c r="E11" i="1"/>
  <c r="G39" i="3"/>
  <c r="G38" i="3"/>
  <c r="K134" i="1"/>
  <c r="D69" i="1"/>
  <c r="H36" i="3"/>
  <c r="H8" i="3"/>
  <c r="K20" i="3"/>
  <c r="D38" i="3"/>
  <c r="H133" i="1"/>
  <c r="K69" i="1"/>
  <c r="K74" i="1" s="1"/>
  <c r="G44" i="3"/>
  <c r="H42" i="3"/>
  <c r="H41" i="3"/>
  <c r="H44" i="3"/>
  <c r="E38" i="1"/>
  <c r="E39" i="1" s="1"/>
  <c r="G105" i="1"/>
  <c r="G101" i="1" s="1"/>
  <c r="H109" i="1"/>
  <c r="H101" i="1" s="1"/>
  <c r="H108" i="1"/>
  <c r="G104" i="1"/>
  <c r="G100" i="1" s="1"/>
  <c r="D80" i="1"/>
  <c r="D79" i="1"/>
  <c r="D73" i="1"/>
  <c r="D72" i="1"/>
  <c r="D71" i="1"/>
  <c r="H121" i="1"/>
  <c r="E63" i="1"/>
  <c r="E64" i="1" s="1"/>
  <c r="G134" i="1"/>
  <c r="D11" i="3"/>
  <c r="D15" i="3" s="1"/>
  <c r="K22" i="3"/>
  <c r="I134" i="1"/>
  <c r="I69" i="1"/>
  <c r="F7" i="3"/>
  <c r="I122" i="1"/>
  <c r="I123" i="1" s="1"/>
  <c r="E29" i="3"/>
  <c r="E28" i="3"/>
  <c r="J93" i="1"/>
  <c r="I70" i="1"/>
  <c r="J70" i="1"/>
  <c r="H29" i="1"/>
  <c r="H120" i="1" s="1"/>
  <c r="K26" i="1"/>
  <c r="K109" i="1"/>
  <c r="K101" i="1" s="1"/>
  <c r="J105" i="1"/>
  <c r="J101" i="1" s="1"/>
  <c r="J126" i="1"/>
  <c r="H117" i="1"/>
  <c r="K108" i="1"/>
  <c r="K100" i="1" s="1"/>
  <c r="F69" i="1"/>
  <c r="E7" i="3"/>
  <c r="J117" i="1"/>
  <c r="E69" i="1"/>
  <c r="H122" i="1"/>
  <c r="H123" i="1" s="1"/>
  <c r="E78" i="1"/>
  <c r="E77" i="1"/>
  <c r="J63" i="1"/>
  <c r="J64" i="1" s="1"/>
  <c r="I94" i="1"/>
  <c r="F29" i="3"/>
  <c r="F30" i="3" s="1"/>
  <c r="F46" i="3" s="1"/>
  <c r="I95" i="1"/>
  <c r="I72" i="1"/>
  <c r="I93" i="1"/>
  <c r="I126" i="1"/>
  <c r="H93" i="1"/>
  <c r="I73" i="1"/>
  <c r="I80" i="1"/>
  <c r="I79" i="1"/>
  <c r="I38" i="1"/>
  <c r="I39" i="1" s="1"/>
  <c r="I71" i="1"/>
  <c r="H80" i="1"/>
  <c r="H79" i="1"/>
  <c r="H73" i="1"/>
  <c r="H72" i="1"/>
  <c r="H71" i="1"/>
  <c r="G126" i="1"/>
  <c r="I101" i="1"/>
  <c r="G117" i="1"/>
  <c r="H103" i="1"/>
  <c r="K93" i="1"/>
  <c r="I63" i="1"/>
  <c r="I64" i="1" s="1"/>
  <c r="G11" i="3"/>
  <c r="G12" i="3" s="1"/>
  <c r="G30" i="3"/>
  <c r="G46" i="3" s="1"/>
  <c r="K63" i="1"/>
  <c r="K64" i="1" s="1"/>
  <c r="J94" i="1"/>
  <c r="L32" i="3"/>
  <c r="M6" i="3"/>
  <c r="N6" i="3" s="1"/>
  <c r="O6" i="3" s="1"/>
  <c r="P6" i="3" s="1"/>
  <c r="Q6" i="3" s="1"/>
  <c r="R6" i="3" s="1"/>
  <c r="L5" i="3"/>
  <c r="C40" i="1"/>
  <c r="C35" i="1"/>
  <c r="C33" i="1"/>
  <c r="C28" i="1"/>
  <c r="C27" i="1"/>
  <c r="C24" i="1"/>
  <c r="D42" i="3" l="1"/>
  <c r="K24" i="10"/>
  <c r="L25" i="10"/>
  <c r="L39" i="10"/>
  <c r="K19" i="10"/>
  <c r="K11" i="1"/>
  <c r="J121" i="1"/>
  <c r="I103" i="1"/>
  <c r="F19" i="3"/>
  <c r="E13" i="1"/>
  <c r="E14" i="1" s="1"/>
  <c r="E114" i="1"/>
  <c r="F13" i="1"/>
  <c r="F14" i="1" s="1"/>
  <c r="F114" i="1"/>
  <c r="I6" i="1"/>
  <c r="H21" i="1"/>
  <c r="H68" i="1" s="1"/>
  <c r="H113" i="1" s="1"/>
  <c r="D13" i="1"/>
  <c r="D14" i="1" s="1"/>
  <c r="D114" i="1"/>
  <c r="K13" i="1"/>
  <c r="K14" i="1" s="1"/>
  <c r="D19" i="3" s="1"/>
  <c r="K114" i="1"/>
  <c r="H100" i="1"/>
  <c r="H131" i="1"/>
  <c r="H11" i="1"/>
  <c r="H97" i="1"/>
  <c r="H99" i="1" s="1"/>
  <c r="H107" i="1" s="1"/>
  <c r="H38" i="1"/>
  <c r="H39" i="1" s="1"/>
  <c r="H74" i="1"/>
  <c r="G29" i="1"/>
  <c r="G121" i="1"/>
  <c r="I97" i="1"/>
  <c r="I99" i="1" s="1"/>
  <c r="I107" i="1" s="1"/>
  <c r="E70" i="1"/>
  <c r="E74" i="1" s="1"/>
  <c r="F74" i="1"/>
  <c r="G131" i="1"/>
  <c r="G11" i="1"/>
  <c r="E36" i="3"/>
  <c r="E8" i="3"/>
  <c r="F8" i="3"/>
  <c r="D74" i="1"/>
  <c r="F11" i="3"/>
  <c r="F12" i="3" s="1"/>
  <c r="G8" i="3"/>
  <c r="F36" i="3"/>
  <c r="D18" i="3"/>
  <c r="D34" i="3"/>
  <c r="K132" i="1" s="1"/>
  <c r="F41" i="3"/>
  <c r="E42" i="3"/>
  <c r="F38" i="3"/>
  <c r="G36" i="3"/>
  <c r="E44" i="3"/>
  <c r="F39" i="3"/>
  <c r="G47" i="3"/>
  <c r="F42" i="3"/>
  <c r="E39" i="3"/>
  <c r="E38" i="3"/>
  <c r="E41" i="3"/>
  <c r="F44" i="3"/>
  <c r="D12" i="3"/>
  <c r="K127" i="1"/>
  <c r="E11" i="3"/>
  <c r="J133" i="1"/>
  <c r="J134" i="1"/>
  <c r="J69" i="1"/>
  <c r="J74" i="1" s="1"/>
  <c r="D29" i="3"/>
  <c r="D30" i="3" s="1"/>
  <c r="D46" i="3" s="1"/>
  <c r="K94" i="1"/>
  <c r="K97" i="1" s="1"/>
  <c r="K99" i="1" s="1"/>
  <c r="K107" i="1" s="1"/>
  <c r="K126" i="1"/>
  <c r="K29" i="1"/>
  <c r="J103" i="1"/>
  <c r="K121" i="1"/>
  <c r="J97" i="1"/>
  <c r="J99" i="1" s="1"/>
  <c r="I74" i="1"/>
  <c r="E30" i="3"/>
  <c r="E46" i="3" s="1"/>
  <c r="F47" i="3" s="1"/>
  <c r="G15" i="3"/>
  <c r="G18" i="3" s="1"/>
  <c r="H123" i="2"/>
  <c r="L24" i="10" l="1"/>
  <c r="M25" i="10"/>
  <c r="M39" i="10"/>
  <c r="L19" i="10"/>
  <c r="G13" i="1"/>
  <c r="G14" i="1" s="1"/>
  <c r="G114" i="1"/>
  <c r="F15" i="3"/>
  <c r="F34" i="3" s="1"/>
  <c r="I128" i="1" s="1"/>
  <c r="H13" i="1"/>
  <c r="H14" i="1" s="1"/>
  <c r="G19" i="3" s="1"/>
  <c r="H114" i="1"/>
  <c r="J6" i="1"/>
  <c r="I21" i="1"/>
  <c r="I68" i="1" s="1"/>
  <c r="I113" i="1" s="1"/>
  <c r="J107" i="1"/>
  <c r="G120" i="1"/>
  <c r="G38" i="1"/>
  <c r="G39" i="1" s="1"/>
  <c r="K128" i="1"/>
  <c r="F18" i="3"/>
  <c r="E47" i="3"/>
  <c r="G34" i="3"/>
  <c r="K120" i="1"/>
  <c r="K38" i="1"/>
  <c r="K39" i="1" s="1"/>
  <c r="E15" i="3"/>
  <c r="E34" i="3" s="1"/>
  <c r="E12" i="3"/>
  <c r="W6" i="2"/>
  <c r="X6" i="2"/>
  <c r="X44" i="2" s="1"/>
  <c r="Y6" i="2"/>
  <c r="Y44" i="2" s="1"/>
  <c r="Z6" i="2"/>
  <c r="AA6" i="2"/>
  <c r="W7" i="2"/>
  <c r="X7" i="2"/>
  <c r="Y7" i="2"/>
  <c r="Z7" i="2"/>
  <c r="AA7" i="2"/>
  <c r="W9" i="2"/>
  <c r="X9" i="2"/>
  <c r="Y9" i="2"/>
  <c r="Z9" i="2"/>
  <c r="AA9" i="2"/>
  <c r="W11" i="2"/>
  <c r="X11" i="2"/>
  <c r="Y11" i="2"/>
  <c r="Z11" i="2"/>
  <c r="AA11" i="2"/>
  <c r="W15" i="2"/>
  <c r="X15" i="2"/>
  <c r="Y15" i="2"/>
  <c r="Z15" i="2"/>
  <c r="AA15" i="2"/>
  <c r="W19" i="2"/>
  <c r="W35" i="2" s="1"/>
  <c r="W28" i="2"/>
  <c r="X28" i="2"/>
  <c r="Y28" i="2"/>
  <c r="Z28" i="2"/>
  <c r="AA28" i="2"/>
  <c r="W29" i="2"/>
  <c r="W30" i="2"/>
  <c r="X30" i="2"/>
  <c r="Y30" i="2"/>
  <c r="I33" i="3"/>
  <c r="J33" i="3"/>
  <c r="K33" i="3"/>
  <c r="L33" i="3"/>
  <c r="M33" i="3"/>
  <c r="N33" i="3"/>
  <c r="O33" i="3"/>
  <c r="P33" i="3"/>
  <c r="Q33" i="3"/>
  <c r="R33" i="3"/>
  <c r="H33" i="3"/>
  <c r="N32" i="3"/>
  <c r="O32" i="3" s="1"/>
  <c r="P32" i="3" s="1"/>
  <c r="Q32" i="3" s="1"/>
  <c r="R32" i="3" s="1"/>
  <c r="N5" i="3"/>
  <c r="O5" i="3" s="1"/>
  <c r="P5" i="3" s="1"/>
  <c r="Q5" i="3" s="1"/>
  <c r="R5" i="3" s="1"/>
  <c r="H29" i="3"/>
  <c r="I29" i="3"/>
  <c r="J29" i="3"/>
  <c r="K29" i="3"/>
  <c r="L29" i="3"/>
  <c r="H28" i="3"/>
  <c r="I28" i="3"/>
  <c r="J28" i="3"/>
  <c r="K28" i="3"/>
  <c r="L28" i="3"/>
  <c r="H21" i="3"/>
  <c r="I21" i="3"/>
  <c r="J21" i="3"/>
  <c r="L21" i="3"/>
  <c r="H20" i="3"/>
  <c r="I20" i="3"/>
  <c r="J20" i="3"/>
  <c r="H17" i="3"/>
  <c r="I17" i="3"/>
  <c r="J17" i="3"/>
  <c r="L17" i="3"/>
  <c r="J123" i="2" s="1"/>
  <c r="H14" i="3"/>
  <c r="H39" i="3" s="1"/>
  <c r="I14" i="3"/>
  <c r="J14" i="3"/>
  <c r="B96" i="2" s="1"/>
  <c r="K14" i="3"/>
  <c r="L14" i="3"/>
  <c r="H10" i="3"/>
  <c r="H38" i="3" s="1"/>
  <c r="I10" i="3"/>
  <c r="J10" i="3"/>
  <c r="B95" i="2" s="1"/>
  <c r="K10" i="3"/>
  <c r="C95" i="2" s="1"/>
  <c r="L10" i="3"/>
  <c r="I7" i="3"/>
  <c r="J7" i="3"/>
  <c r="B93" i="2" s="1"/>
  <c r="K7" i="3"/>
  <c r="C93" i="2" s="1"/>
  <c r="L7" i="3"/>
  <c r="M7" i="3" l="1"/>
  <c r="H40" i="10" s="1"/>
  <c r="G40" i="10"/>
  <c r="N39" i="10"/>
  <c r="O39" i="10" s="1"/>
  <c r="M19" i="10"/>
  <c r="N19" i="10" s="1"/>
  <c r="O19" i="10" s="1"/>
  <c r="M24" i="10"/>
  <c r="N25" i="10"/>
  <c r="J122" i="2"/>
  <c r="J124" i="2" s="1"/>
  <c r="I128" i="2" s="1"/>
  <c r="K6" i="1"/>
  <c r="J21" i="1"/>
  <c r="J68" i="1" s="1"/>
  <c r="J113" i="1" s="1"/>
  <c r="I39" i="3"/>
  <c r="B97" i="2"/>
  <c r="H132" i="1"/>
  <c r="H127" i="1"/>
  <c r="L38" i="3"/>
  <c r="C94" i="2"/>
  <c r="K39" i="3"/>
  <c r="C96" i="2"/>
  <c r="I127" i="1"/>
  <c r="I132" i="1"/>
  <c r="K36" i="3"/>
  <c r="K44" i="3"/>
  <c r="K38" i="3"/>
  <c r="L39" i="3"/>
  <c r="H128" i="1"/>
  <c r="L36" i="3"/>
  <c r="L44" i="3"/>
  <c r="J36" i="3"/>
  <c r="J44" i="3"/>
  <c r="J38" i="3"/>
  <c r="I36" i="3"/>
  <c r="I44" i="3"/>
  <c r="I38" i="3"/>
  <c r="J39" i="3"/>
  <c r="E18" i="3"/>
  <c r="I8" i="3"/>
  <c r="D96" i="2"/>
  <c r="D93" i="2"/>
  <c r="D94" i="2" s="1"/>
  <c r="D95" i="2"/>
  <c r="X41" i="2"/>
  <c r="Z42" i="2"/>
  <c r="Z41" i="2"/>
  <c r="W40" i="2"/>
  <c r="Y45" i="2"/>
  <c r="Y43" i="2"/>
  <c r="W8" i="2"/>
  <c r="W10" i="2" s="1"/>
  <c r="Y8" i="2"/>
  <c r="Y10" i="2" s="1"/>
  <c r="Y12" i="2" s="1"/>
  <c r="AA45" i="2"/>
  <c r="W44" i="2"/>
  <c r="W45" i="2"/>
  <c r="AA44" i="2"/>
  <c r="AA42" i="2"/>
  <c r="W42" i="2"/>
  <c r="H30" i="3"/>
  <c r="H46" i="3" s="1"/>
  <c r="X42" i="2"/>
  <c r="X43" i="2"/>
  <c r="X8" i="2"/>
  <c r="X10" i="2" s="1"/>
  <c r="X12" i="2" s="1"/>
  <c r="Z43" i="2"/>
  <c r="W41" i="2"/>
  <c r="AA8" i="2"/>
  <c r="AA10" i="2" s="1"/>
  <c r="AA12" i="2" s="1"/>
  <c r="X45" i="2"/>
  <c r="Z45" i="2"/>
  <c r="Y42" i="2"/>
  <c r="Y41" i="2"/>
  <c r="Z44" i="2"/>
  <c r="AA43" i="2"/>
  <c r="W43" i="2"/>
  <c r="Z8" i="2"/>
  <c r="Z10" i="2" s="1"/>
  <c r="Z12" i="2" s="1"/>
  <c r="K8" i="3"/>
  <c r="J8" i="3"/>
  <c r="L8" i="3"/>
  <c r="I11" i="3"/>
  <c r="I12" i="3" s="1"/>
  <c r="H11" i="3"/>
  <c r="I30" i="3"/>
  <c r="I46" i="3" s="1"/>
  <c r="K11" i="3"/>
  <c r="L11" i="3"/>
  <c r="J11" i="3"/>
  <c r="J30" i="3"/>
  <c r="J46" i="3" s="1"/>
  <c r="L30" i="3"/>
  <c r="L46" i="3" s="1"/>
  <c r="K30" i="3"/>
  <c r="K46" i="3" s="1"/>
  <c r="C126" i="1"/>
  <c r="C26" i="1"/>
  <c r="C122" i="1"/>
  <c r="C123" i="1" s="1"/>
  <c r="C117" i="1"/>
  <c r="C95" i="1"/>
  <c r="C87" i="1"/>
  <c r="C108" i="1"/>
  <c r="C109" i="1"/>
  <c r="C105" i="1"/>
  <c r="C104" i="1"/>
  <c r="C94" i="1"/>
  <c r="C93" i="1"/>
  <c r="L26" i="3"/>
  <c r="L42" i="3" s="1"/>
  <c r="C79" i="1"/>
  <c r="C78" i="1"/>
  <c r="C77" i="1"/>
  <c r="C73" i="1"/>
  <c r="C71" i="1"/>
  <c r="C70" i="1"/>
  <c r="C9" i="1"/>
  <c r="H122" i="2"/>
  <c r="F92" i="2"/>
  <c r="G92" i="2" s="1"/>
  <c r="F85" i="2"/>
  <c r="H85" i="2" s="1"/>
  <c r="J85" i="2" s="1"/>
  <c r="F84" i="2"/>
  <c r="H84" i="2" s="1"/>
  <c r="J84" i="2" s="1"/>
  <c r="F83" i="2"/>
  <c r="H83" i="2" s="1"/>
  <c r="J83" i="2" s="1"/>
  <c r="I82" i="2"/>
  <c r="J82" i="2" s="1"/>
  <c r="I81" i="2"/>
  <c r="J81" i="2" s="1"/>
  <c r="F80" i="2"/>
  <c r="H80" i="2" s="1"/>
  <c r="J80" i="2" s="1"/>
  <c r="F79" i="2"/>
  <c r="H79" i="2" s="1"/>
  <c r="J79" i="2" s="1"/>
  <c r="F78" i="2"/>
  <c r="H78" i="2" s="1"/>
  <c r="J78" i="2" s="1"/>
  <c r="I77" i="2"/>
  <c r="J77" i="2" s="1"/>
  <c r="H76" i="2"/>
  <c r="J76" i="2" s="1"/>
  <c r="F75" i="2"/>
  <c r="H75" i="2" s="1"/>
  <c r="J75" i="2" s="1"/>
  <c r="G74" i="2"/>
  <c r="F74" i="2"/>
  <c r="F73" i="2"/>
  <c r="H73" i="2" s="1"/>
  <c r="J73" i="2" s="1"/>
  <c r="E58" i="2"/>
  <c r="H58" i="2" s="1"/>
  <c r="J58" i="2" s="1"/>
  <c r="E57" i="2"/>
  <c r="H57" i="2" s="1"/>
  <c r="J57" i="2" s="1"/>
  <c r="E55" i="2"/>
  <c r="H55" i="2" s="1"/>
  <c r="J55" i="2" s="1"/>
  <c r="E52" i="2"/>
  <c r="H52" i="2" s="1"/>
  <c r="J52" i="2" s="1"/>
  <c r="E51" i="2"/>
  <c r="H51" i="2" s="1"/>
  <c r="J51" i="2" s="1"/>
  <c r="F44" i="2"/>
  <c r="F42" i="2"/>
  <c r="B42" i="2" s="1"/>
  <c r="B36" i="2"/>
  <c r="F122" i="1"/>
  <c r="F123" i="1" s="1"/>
  <c r="E122" i="1"/>
  <c r="E123" i="1" s="1"/>
  <c r="D122" i="1"/>
  <c r="D123" i="1" s="1"/>
  <c r="F117" i="1"/>
  <c r="E117" i="1"/>
  <c r="D117" i="1"/>
  <c r="F109" i="1"/>
  <c r="E109" i="1"/>
  <c r="D109" i="1"/>
  <c r="F108" i="1"/>
  <c r="E108" i="1"/>
  <c r="D108" i="1"/>
  <c r="F105" i="1"/>
  <c r="E105" i="1"/>
  <c r="D105" i="1"/>
  <c r="F104" i="1"/>
  <c r="E104" i="1"/>
  <c r="D104" i="1"/>
  <c r="E95" i="1"/>
  <c r="D95" i="1"/>
  <c r="F94" i="1"/>
  <c r="E94" i="1"/>
  <c r="D94" i="1"/>
  <c r="F93" i="1"/>
  <c r="E93" i="1"/>
  <c r="D93" i="1"/>
  <c r="D87" i="1"/>
  <c r="I26" i="3"/>
  <c r="I42" i="3" s="1"/>
  <c r="J26" i="3"/>
  <c r="J42" i="3" s="1"/>
  <c r="K26" i="3"/>
  <c r="K42" i="3" s="1"/>
  <c r="F88" i="1"/>
  <c r="E88" i="1"/>
  <c r="D88" i="1"/>
  <c r="C80" i="1"/>
  <c r="AA30" i="2"/>
  <c r="E103" i="1"/>
  <c r="C103" i="1"/>
  <c r="H22" i="3"/>
  <c r="I22" i="3"/>
  <c r="J22" i="3"/>
  <c r="W12" i="2" l="1"/>
  <c r="E53" i="2"/>
  <c r="H53" i="2" s="1"/>
  <c r="J53" i="2" s="1"/>
  <c r="N7" i="3"/>
  <c r="I40" i="10" s="1"/>
  <c r="G43" i="10"/>
  <c r="G59" i="10" s="1"/>
  <c r="N39" i="3"/>
  <c r="M8" i="3"/>
  <c r="L47" i="3"/>
  <c r="M10" i="3"/>
  <c r="O25" i="10"/>
  <c r="N24" i="10"/>
  <c r="L6" i="1"/>
  <c r="K21" i="1"/>
  <c r="K68" i="1" s="1"/>
  <c r="K113" i="1" s="1"/>
  <c r="Q47" i="3"/>
  <c r="N47" i="3"/>
  <c r="R47" i="3"/>
  <c r="O47" i="3"/>
  <c r="M47" i="3"/>
  <c r="M46" i="3" s="1"/>
  <c r="P47" i="3"/>
  <c r="D126" i="2"/>
  <c r="K47" i="3"/>
  <c r="M14" i="3"/>
  <c r="H42" i="10" s="1"/>
  <c r="O7" i="3"/>
  <c r="J40" i="10" s="1"/>
  <c r="C97" i="2"/>
  <c r="H92" i="2"/>
  <c r="I92" i="2" s="1"/>
  <c r="J92" i="2" s="1"/>
  <c r="J47" i="3"/>
  <c r="I47" i="3"/>
  <c r="H47" i="3"/>
  <c r="I15" i="3"/>
  <c r="I34" i="3" s="1"/>
  <c r="J132" i="1"/>
  <c r="J127" i="1"/>
  <c r="J128" i="1"/>
  <c r="D97" i="2"/>
  <c r="D105" i="2"/>
  <c r="F43" i="2"/>
  <c r="F45" i="2" s="1"/>
  <c r="E93" i="2"/>
  <c r="F101" i="1"/>
  <c r="E87" i="1"/>
  <c r="E89" i="1" s="1"/>
  <c r="Z30" i="2"/>
  <c r="H74" i="2"/>
  <c r="H15" i="3"/>
  <c r="H34" i="3" s="1"/>
  <c r="H12" i="3"/>
  <c r="L15" i="3"/>
  <c r="L34" i="3" s="1"/>
  <c r="L12" i="3"/>
  <c r="J15" i="3"/>
  <c r="J34" i="3" s="1"/>
  <c r="J12" i="3"/>
  <c r="K15" i="3"/>
  <c r="K12" i="3"/>
  <c r="F131" i="1"/>
  <c r="C11" i="1"/>
  <c r="C114" i="1" s="1"/>
  <c r="Z31" i="2"/>
  <c r="C100" i="1"/>
  <c r="C121" i="1"/>
  <c r="C29" i="1"/>
  <c r="C55" i="1"/>
  <c r="E121" i="1"/>
  <c r="D100" i="1"/>
  <c r="E101" i="1"/>
  <c r="C131" i="1"/>
  <c r="K25" i="3"/>
  <c r="K41" i="3" s="1"/>
  <c r="AA31" i="2"/>
  <c r="E97" i="1"/>
  <c r="F103" i="1"/>
  <c r="E100" i="1"/>
  <c r="AB44" i="2"/>
  <c r="AB43" i="2"/>
  <c r="C97" i="1"/>
  <c r="C101" i="1"/>
  <c r="L25" i="3"/>
  <c r="L41" i="3" s="1"/>
  <c r="D131" i="1"/>
  <c r="E131" i="1"/>
  <c r="F100" i="1"/>
  <c r="F87" i="1"/>
  <c r="F89" i="1" s="1"/>
  <c r="AA29" i="2"/>
  <c r="I25" i="3"/>
  <c r="I41" i="3" s="1"/>
  <c r="D89" i="1"/>
  <c r="D97" i="1"/>
  <c r="F95" i="1"/>
  <c r="F97" i="1" s="1"/>
  <c r="D101" i="1"/>
  <c r="E28" i="2"/>
  <c r="Y31" i="2"/>
  <c r="F120" i="1"/>
  <c r="X29" i="2"/>
  <c r="X31" i="2"/>
  <c r="J25" i="3"/>
  <c r="J41" i="3" s="1"/>
  <c r="D103" i="1"/>
  <c r="F121" i="1"/>
  <c r="E120" i="1"/>
  <c r="J62" i="2" l="1"/>
  <c r="B108" i="2" s="1"/>
  <c r="M11" i="3"/>
  <c r="H41" i="10"/>
  <c r="N8" i="3"/>
  <c r="M41" i="3"/>
  <c r="O24" i="10"/>
  <c r="N38" i="3"/>
  <c r="O38" i="3" s="1"/>
  <c r="P38" i="3" s="1"/>
  <c r="Q38" i="3" s="1"/>
  <c r="R38" i="3" s="1"/>
  <c r="S38" i="3" s="1"/>
  <c r="T38" i="3" s="1"/>
  <c r="L21" i="1"/>
  <c r="L68" i="1" s="1"/>
  <c r="L113" i="1" s="1"/>
  <c r="W31" i="2"/>
  <c r="W32" i="2" s="1"/>
  <c r="G129" i="2" s="1"/>
  <c r="C52" i="1"/>
  <c r="C72" i="1" s="1"/>
  <c r="M30" i="3"/>
  <c r="E105" i="2" s="1"/>
  <c r="N46" i="3"/>
  <c r="N44" i="3"/>
  <c r="M24" i="3"/>
  <c r="M12" i="3"/>
  <c r="M15" i="3"/>
  <c r="O39" i="3"/>
  <c r="N14" i="3"/>
  <c r="I42" i="10" s="1"/>
  <c r="P7" i="3"/>
  <c r="K40" i="10" s="1"/>
  <c r="O8" i="3"/>
  <c r="N42" i="3"/>
  <c r="M26" i="3"/>
  <c r="D125" i="2"/>
  <c r="K34" i="3"/>
  <c r="K18" i="3"/>
  <c r="I18" i="3"/>
  <c r="C120" i="1"/>
  <c r="C38" i="1"/>
  <c r="L18" i="3"/>
  <c r="F127" i="1"/>
  <c r="F132" i="1"/>
  <c r="F128" i="1"/>
  <c r="J18" i="3"/>
  <c r="H18" i="3"/>
  <c r="J128" i="2"/>
  <c r="G93" i="2"/>
  <c r="F93" i="2"/>
  <c r="F94" i="2" s="1"/>
  <c r="E94" i="2"/>
  <c r="AA32" i="2"/>
  <c r="X32" i="2"/>
  <c r="I74" i="2"/>
  <c r="J74" i="2" s="1"/>
  <c r="J86" i="2" s="1"/>
  <c r="E96" i="2"/>
  <c r="C13" i="1"/>
  <c r="C14" i="1" s="1"/>
  <c r="AB42" i="2"/>
  <c r="C63" i="1"/>
  <c r="C64" i="1" s="1"/>
  <c r="D99" i="1"/>
  <c r="D107" i="1" s="1"/>
  <c r="F99" i="1"/>
  <c r="F107" i="1" s="1"/>
  <c r="Y29" i="2"/>
  <c r="Y32" i="2" s="1"/>
  <c r="AB41" i="2"/>
  <c r="AB45" i="2"/>
  <c r="E99" i="1"/>
  <c r="E107" i="1" s="1"/>
  <c r="D121" i="1"/>
  <c r="C62" i="2"/>
  <c r="D120" i="1"/>
  <c r="Z29" i="2"/>
  <c r="Z32" i="2" s="1"/>
  <c r="E101" i="2" l="1"/>
  <c r="H53" i="10"/>
  <c r="E99" i="2"/>
  <c r="H50" i="10"/>
  <c r="H43" i="10"/>
  <c r="O10" i="3"/>
  <c r="M34" i="3"/>
  <c r="N10" i="3"/>
  <c r="G130" i="2"/>
  <c r="H129" i="2" s="1"/>
  <c r="H28" i="2"/>
  <c r="O46" i="3"/>
  <c r="N30" i="3"/>
  <c r="F105" i="2" s="1"/>
  <c r="Q7" i="3"/>
  <c r="L40" i="10" s="1"/>
  <c r="P10" i="3"/>
  <c r="P8" i="3"/>
  <c r="O42" i="3"/>
  <c r="N26" i="3"/>
  <c r="M25" i="3"/>
  <c r="N41" i="3"/>
  <c r="P39" i="3"/>
  <c r="O14" i="3"/>
  <c r="O44" i="3"/>
  <c r="N24" i="3"/>
  <c r="I50" i="10" s="1"/>
  <c r="B37" i="2"/>
  <c r="B64" i="2"/>
  <c r="D64" i="2" s="1"/>
  <c r="G132" i="1"/>
  <c r="G127" i="1"/>
  <c r="G128" i="1"/>
  <c r="C39" i="1"/>
  <c r="C88" i="1"/>
  <c r="C89" i="1" s="1"/>
  <c r="I87" i="2"/>
  <c r="D132" i="1"/>
  <c r="D127" i="1"/>
  <c r="D128" i="1"/>
  <c r="E132" i="1"/>
  <c r="E127" i="1"/>
  <c r="E128" i="1"/>
  <c r="H93" i="2"/>
  <c r="W13" i="2"/>
  <c r="W14" i="2" s="1"/>
  <c r="W16" i="2" s="1"/>
  <c r="W18" i="2" s="1"/>
  <c r="L19" i="3"/>
  <c r="E95" i="2"/>
  <c r="E97" i="2" s="1"/>
  <c r="E98" i="2" s="1"/>
  <c r="G94" i="2"/>
  <c r="E104" i="2"/>
  <c r="F96" i="2"/>
  <c r="AA13" i="2"/>
  <c r="AA14" i="2" s="1"/>
  <c r="AA16" i="2" s="1"/>
  <c r="Z13" i="2"/>
  <c r="Z14" i="2" s="1"/>
  <c r="Z16" i="2" s="1"/>
  <c r="Y13" i="2"/>
  <c r="Y14" i="2" s="1"/>
  <c r="Y16" i="2" s="1"/>
  <c r="X13" i="2"/>
  <c r="X14" i="2" s="1"/>
  <c r="X16" i="2" s="1"/>
  <c r="E133" i="1"/>
  <c r="D133" i="1"/>
  <c r="F126" i="1"/>
  <c r="F134" i="1"/>
  <c r="F133" i="1"/>
  <c r="H59" i="10" l="1"/>
  <c r="J42" i="10"/>
  <c r="P11" i="3"/>
  <c r="K41" i="10"/>
  <c r="G7" i="10"/>
  <c r="G5" i="10"/>
  <c r="N11" i="3"/>
  <c r="N12" i="3" s="1"/>
  <c r="I41" i="10"/>
  <c r="I43" i="10" s="1"/>
  <c r="F101" i="2"/>
  <c r="I53" i="10"/>
  <c r="O11" i="3"/>
  <c r="O12" i="3" s="1"/>
  <c r="J41" i="10"/>
  <c r="J43" i="10" s="1"/>
  <c r="J45" i="10" s="1"/>
  <c r="E100" i="2"/>
  <c r="H52" i="10"/>
  <c r="H45" i="10"/>
  <c r="N15" i="3"/>
  <c r="N34" i="3" s="1"/>
  <c r="H128" i="2"/>
  <c r="F99" i="2"/>
  <c r="P46" i="3"/>
  <c r="O30" i="3"/>
  <c r="G105" i="2" s="1"/>
  <c r="Q39" i="3"/>
  <c r="P14" i="3"/>
  <c r="Q8" i="3"/>
  <c r="R7" i="3"/>
  <c r="Q10" i="3"/>
  <c r="O41" i="3"/>
  <c r="N25" i="3"/>
  <c r="P44" i="3"/>
  <c r="O24" i="3"/>
  <c r="P12" i="3"/>
  <c r="P42" i="3"/>
  <c r="O26" i="3"/>
  <c r="B43" i="2"/>
  <c r="B45" i="2" s="1"/>
  <c r="E36" i="2"/>
  <c r="E37" i="2" s="1"/>
  <c r="K62" i="2"/>
  <c r="H124" i="2"/>
  <c r="H125" i="2" s="1"/>
  <c r="B87" i="2"/>
  <c r="F95" i="2"/>
  <c r="F97" i="2" s="1"/>
  <c r="F98" i="2" s="1"/>
  <c r="H94" i="2"/>
  <c r="I93" i="2"/>
  <c r="G96" i="2"/>
  <c r="I19" i="3"/>
  <c r="L20" i="3"/>
  <c r="J19" i="3"/>
  <c r="H19" i="3"/>
  <c r="E102" i="2"/>
  <c r="E115" i="2" s="1"/>
  <c r="D126" i="1"/>
  <c r="D134" i="1"/>
  <c r="E126" i="1"/>
  <c r="E134" i="1"/>
  <c r="S7" i="3" l="1"/>
  <c r="M40" i="10"/>
  <c r="F100" i="2"/>
  <c r="I52" i="10"/>
  <c r="P15" i="3"/>
  <c r="K42" i="10"/>
  <c r="K43" i="10" s="1"/>
  <c r="G20" i="10"/>
  <c r="G101" i="2"/>
  <c r="J53" i="10"/>
  <c r="I45" i="10"/>
  <c r="I59" i="10"/>
  <c r="O34" i="3"/>
  <c r="G104" i="2" s="1"/>
  <c r="J50" i="10"/>
  <c r="Q11" i="3"/>
  <c r="Q12" i="3" s="1"/>
  <c r="L41" i="10"/>
  <c r="J59" i="10"/>
  <c r="G6" i="10"/>
  <c r="G8" i="10"/>
  <c r="O15" i="3"/>
  <c r="K128" i="2"/>
  <c r="H130" i="2"/>
  <c r="G99" i="2"/>
  <c r="Q46" i="3"/>
  <c r="P30" i="3"/>
  <c r="H105" i="2" s="1"/>
  <c r="P41" i="3"/>
  <c r="O25" i="3"/>
  <c r="Q42" i="3"/>
  <c r="P26" i="3"/>
  <c r="Q44" i="3"/>
  <c r="P24" i="3"/>
  <c r="R8" i="3"/>
  <c r="R10" i="3"/>
  <c r="R39" i="3"/>
  <c r="Q14" i="3"/>
  <c r="C119" i="2"/>
  <c r="B115" i="2"/>
  <c r="K129" i="2"/>
  <c r="C117" i="2"/>
  <c r="C120" i="2"/>
  <c r="C116" i="2"/>
  <c r="D116" i="2" s="1"/>
  <c r="C118" i="2"/>
  <c r="H99" i="2"/>
  <c r="J93" i="2"/>
  <c r="G95" i="2"/>
  <c r="G97" i="2" s="1"/>
  <c r="F104" i="2"/>
  <c r="I94" i="2"/>
  <c r="F102" i="2"/>
  <c r="F115" i="2" s="1"/>
  <c r="H96" i="2"/>
  <c r="L22" i="3"/>
  <c r="C69" i="1"/>
  <c r="C74" i="1" s="1"/>
  <c r="C99" i="1" s="1"/>
  <c r="C107" i="1" s="1"/>
  <c r="C133" i="1"/>
  <c r="D104" i="2"/>
  <c r="C127" i="1"/>
  <c r="C128" i="1"/>
  <c r="C132" i="1"/>
  <c r="C134" i="1"/>
  <c r="R14" i="3" l="1"/>
  <c r="M42" i="10" s="1"/>
  <c r="S39" i="3"/>
  <c r="T39" i="3" s="1"/>
  <c r="K130" i="2"/>
  <c r="B109" i="2" s="1"/>
  <c r="K45" i="10"/>
  <c r="P34" i="3"/>
  <c r="K50" i="10"/>
  <c r="K59" i="10" s="1"/>
  <c r="R11" i="3"/>
  <c r="M41" i="10"/>
  <c r="M43" i="10" s="1"/>
  <c r="G9" i="10"/>
  <c r="H6" i="10" s="1"/>
  <c r="G67" i="10"/>
  <c r="G72" i="10" s="1"/>
  <c r="G29" i="10"/>
  <c r="K21" i="10"/>
  <c r="H20" i="10"/>
  <c r="I21" i="10"/>
  <c r="J21" i="10"/>
  <c r="L21" i="10"/>
  <c r="M21" i="10"/>
  <c r="G23" i="10"/>
  <c r="H22" i="10"/>
  <c r="T7" i="3"/>
  <c r="N40" i="10"/>
  <c r="S25" i="3"/>
  <c r="N52" i="10" s="1"/>
  <c r="S10" i="3"/>
  <c r="S14" i="3"/>
  <c r="N42" i="10" s="1"/>
  <c r="S8" i="3"/>
  <c r="G100" i="2"/>
  <c r="J52" i="10"/>
  <c r="H101" i="2"/>
  <c r="K53" i="10"/>
  <c r="Q15" i="3"/>
  <c r="L42" i="10"/>
  <c r="L43" i="10" s="1"/>
  <c r="L45" i="10" s="1"/>
  <c r="M45" i="10"/>
  <c r="R46" i="3"/>
  <c r="R30" i="3" s="1"/>
  <c r="J105" i="2" s="1"/>
  <c r="Q30" i="3"/>
  <c r="I105" i="2" s="1"/>
  <c r="I111" i="2" s="1"/>
  <c r="R44" i="3"/>
  <c r="Q24" i="3"/>
  <c r="Q41" i="3"/>
  <c r="P25" i="3"/>
  <c r="R15" i="3"/>
  <c r="R12" i="3"/>
  <c r="R42" i="3"/>
  <c r="Q26" i="3"/>
  <c r="D117" i="2"/>
  <c r="J94" i="2"/>
  <c r="H95" i="2"/>
  <c r="H97" i="2" s="1"/>
  <c r="H98" i="2" s="1"/>
  <c r="J96" i="2"/>
  <c r="I96" i="2"/>
  <c r="G98" i="2"/>
  <c r="G102" i="2" s="1"/>
  <c r="G115" i="2" s="1"/>
  <c r="D118" i="2" s="1"/>
  <c r="R24" i="3" l="1"/>
  <c r="S44" i="3"/>
  <c r="R26" i="3"/>
  <c r="J101" i="2" s="1"/>
  <c r="S42" i="3"/>
  <c r="I20" i="10"/>
  <c r="I22" i="10"/>
  <c r="J99" i="2"/>
  <c r="M50" i="10"/>
  <c r="M59" i="10" s="1"/>
  <c r="O40" i="10"/>
  <c r="T8" i="3"/>
  <c r="T14" i="3"/>
  <c r="O42" i="10" s="1"/>
  <c r="T25" i="3"/>
  <c r="O52" i="10" s="1"/>
  <c r="T10" i="3"/>
  <c r="G32" i="10"/>
  <c r="G35" i="10"/>
  <c r="H31" i="10"/>
  <c r="H46" i="10" s="1"/>
  <c r="H29" i="10"/>
  <c r="H8" i="10"/>
  <c r="K8" i="10" s="1"/>
  <c r="F9" i="10"/>
  <c r="L9" i="10"/>
  <c r="G61" i="10" s="1"/>
  <c r="H9" i="10"/>
  <c r="H5" i="10"/>
  <c r="H7" i="10"/>
  <c r="Q34" i="3"/>
  <c r="L50" i="10"/>
  <c r="L59" i="10" s="1"/>
  <c r="I101" i="2"/>
  <c r="L53" i="10"/>
  <c r="H100" i="2"/>
  <c r="K52" i="10"/>
  <c r="S11" i="3"/>
  <c r="N41" i="10"/>
  <c r="N43" i="10" s="1"/>
  <c r="H23" i="10"/>
  <c r="M53" i="10"/>
  <c r="I23" i="10"/>
  <c r="R34" i="3"/>
  <c r="I99" i="2"/>
  <c r="R41" i="3"/>
  <c r="R25" i="3" s="1"/>
  <c r="Q25" i="3"/>
  <c r="H102" i="2"/>
  <c r="H115" i="2" s="1"/>
  <c r="D119" i="2" s="1"/>
  <c r="H104" i="2"/>
  <c r="J95" i="2"/>
  <c r="J97" i="2" s="1"/>
  <c r="J98" i="2" s="1"/>
  <c r="I95" i="2"/>
  <c r="I97" i="2" s="1"/>
  <c r="I98" i="2" s="1"/>
  <c r="M61" i="10" l="1"/>
  <c r="T44" i="3"/>
  <c r="T24" i="3" s="1"/>
  <c r="O50" i="10" s="1"/>
  <c r="S24" i="3"/>
  <c r="N50" i="10" s="1"/>
  <c r="N59" i="10" s="1"/>
  <c r="T42" i="3"/>
  <c r="T26" i="3" s="1"/>
  <c r="O53" i="10" s="1"/>
  <c r="S26" i="3"/>
  <c r="N53" i="10" s="1"/>
  <c r="N45" i="10"/>
  <c r="N47" i="10" s="1"/>
  <c r="I100" i="2"/>
  <c r="I102" i="2" s="1"/>
  <c r="L52" i="10"/>
  <c r="J100" i="2"/>
  <c r="M52" i="10"/>
  <c r="H49" i="10"/>
  <c r="H47" i="10"/>
  <c r="H48" i="10" s="1"/>
  <c r="I31" i="10"/>
  <c r="H35" i="10"/>
  <c r="I29" i="10"/>
  <c r="J22" i="10"/>
  <c r="J20" i="10"/>
  <c r="S12" i="3"/>
  <c r="S15" i="3"/>
  <c r="S34" i="3" s="1"/>
  <c r="T11" i="3"/>
  <c r="O41" i="10"/>
  <c r="O43" i="10" s="1"/>
  <c r="J102" i="2"/>
  <c r="I109" i="2" s="1"/>
  <c r="H32" i="10"/>
  <c r="H34" i="10"/>
  <c r="H56" i="10" s="1"/>
  <c r="J104" i="2"/>
  <c r="I104" i="2"/>
  <c r="I108" i="2" s="1"/>
  <c r="O45" i="10" l="1"/>
  <c r="O47" i="10" s="1"/>
  <c r="O59" i="10"/>
  <c r="J46" i="10"/>
  <c r="J23" i="10"/>
  <c r="I34" i="10"/>
  <c r="I56" i="10" s="1"/>
  <c r="I32" i="10"/>
  <c r="N48" i="10"/>
  <c r="N54" i="10" s="1"/>
  <c r="H54" i="10"/>
  <c r="K22" i="10"/>
  <c r="K20" i="10"/>
  <c r="T15" i="3"/>
  <c r="T34" i="3" s="1"/>
  <c r="T12" i="3"/>
  <c r="J29" i="10"/>
  <c r="J31" i="10"/>
  <c r="I35" i="10"/>
  <c r="I46" i="10"/>
  <c r="I110" i="2"/>
  <c r="I113" i="2" s="1"/>
  <c r="I115" i="2" s="1"/>
  <c r="D120" i="2" s="1"/>
  <c r="D121" i="2" s="1"/>
  <c r="D124" i="2" s="1"/>
  <c r="J35" i="10" l="1"/>
  <c r="K31" i="10"/>
  <c r="K46" i="10" s="1"/>
  <c r="K29" i="10"/>
  <c r="I49" i="10"/>
  <c r="I47" i="10"/>
  <c r="K23" i="10"/>
  <c r="J49" i="10"/>
  <c r="J47" i="10"/>
  <c r="L20" i="10"/>
  <c r="L22" i="10"/>
  <c r="J34" i="10"/>
  <c r="J56" i="10" s="1"/>
  <c r="J32" i="10"/>
  <c r="H57" i="10"/>
  <c r="H67" i="10" s="1"/>
  <c r="H70" i="10" s="1"/>
  <c r="O48" i="10"/>
  <c r="O54" i="10" s="1"/>
  <c r="D127" i="2"/>
  <c r="D129" i="2" s="1"/>
  <c r="K49" i="10" l="1"/>
  <c r="K47" i="10"/>
  <c r="K48" i="10" s="1"/>
  <c r="K54" i="10" s="1"/>
  <c r="L23" i="10"/>
  <c r="J48" i="10"/>
  <c r="J54" i="10" s="1"/>
  <c r="K34" i="10"/>
  <c r="K56" i="10" s="1"/>
  <c r="K32" i="10"/>
  <c r="M20" i="10"/>
  <c r="M22" i="10"/>
  <c r="I48" i="10"/>
  <c r="I54" i="10" s="1"/>
  <c r="L31" i="10"/>
  <c r="L46" i="10" s="1"/>
  <c r="K35" i="10"/>
  <c r="L29" i="10"/>
  <c r="L49" i="10" l="1"/>
  <c r="L47" i="10"/>
  <c r="I57" i="10"/>
  <c r="I67" i="10" s="1"/>
  <c r="I70" i="10" s="1"/>
  <c r="M23" i="10"/>
  <c r="L34" i="10"/>
  <c r="L56" i="10" s="1"/>
  <c r="L32" i="10"/>
  <c r="J57" i="10"/>
  <c r="J67" i="10" s="1"/>
  <c r="J70" i="10" s="1"/>
  <c r="L35" i="10"/>
  <c r="M29" i="10"/>
  <c r="M31" i="10"/>
  <c r="N21" i="10"/>
  <c r="N20" i="10" s="1"/>
  <c r="N22" i="10"/>
  <c r="K57" i="10"/>
  <c r="K67" i="10" s="1"/>
  <c r="K70" i="10" s="1"/>
  <c r="L48" i="10" l="1"/>
  <c r="L54" i="10" s="1"/>
  <c r="M35" i="10"/>
  <c r="N29" i="10"/>
  <c r="N35" i="10" s="1"/>
  <c r="N31" i="10"/>
  <c r="N23" i="10"/>
  <c r="O22" i="10"/>
  <c r="O21" i="10"/>
  <c r="O20" i="10"/>
  <c r="M32" i="10"/>
  <c r="M34" i="10"/>
  <c r="M56" i="10" s="1"/>
  <c r="M46" i="10"/>
  <c r="L57" i="10" l="1"/>
  <c r="L67" i="10" s="1"/>
  <c r="O29" i="10"/>
  <c r="O35" i="10" s="1"/>
  <c r="O31" i="10"/>
  <c r="M64" i="10"/>
  <c r="M49" i="10"/>
  <c r="M47" i="10"/>
  <c r="O23" i="10"/>
  <c r="F23" i="10" s="1"/>
  <c r="I5" i="10" s="1"/>
  <c r="N32" i="10"/>
  <c r="N34" i="10"/>
  <c r="N56" i="10" s="1"/>
  <c r="N57" i="10" s="1"/>
  <c r="O32" i="10" l="1"/>
  <c r="F32" i="10" s="1"/>
  <c r="I6" i="10" s="1"/>
  <c r="J6" i="10" s="1"/>
  <c r="K6" i="10" s="1"/>
  <c r="O34" i="10"/>
  <c r="O56" i="10" s="1"/>
  <c r="O57" i="10" s="1"/>
  <c r="G22" i="10"/>
  <c r="J5" i="10"/>
  <c r="L70" i="10"/>
  <c r="M48" i="10"/>
  <c r="M54" i="10"/>
  <c r="M57" i="10" l="1"/>
  <c r="L11" i="10"/>
  <c r="K5" i="10"/>
  <c r="K7" i="10" s="1"/>
  <c r="K9" i="10" s="1"/>
  <c r="G62" i="10" s="1"/>
  <c r="M62" i="10" s="1"/>
  <c r="M63" i="10" s="1"/>
  <c r="M65" i="10" s="1"/>
  <c r="M67" i="10" l="1"/>
  <c r="G75" i="10" s="1"/>
  <c r="M70" i="10" l="1"/>
  <c r="G70" i="10" s="1"/>
  <c r="G73" i="10" s="1"/>
</calcChain>
</file>

<file path=xl/sharedStrings.xml><?xml version="1.0" encoding="utf-8"?>
<sst xmlns="http://schemas.openxmlformats.org/spreadsheetml/2006/main" count="843" uniqueCount="635">
  <si>
    <t>($000's)</t>
  </si>
  <si>
    <t>Total Revenue</t>
  </si>
  <si>
    <t>Cost of Revenue</t>
  </si>
  <si>
    <t>Gross Profit</t>
  </si>
  <si>
    <t>Total Operating Expenses</t>
  </si>
  <si>
    <t>EBIT (Operating Income or Loss)</t>
  </si>
  <si>
    <t>Interest Expense</t>
  </si>
  <si>
    <t>EBT &amp; other Income/Expenses</t>
  </si>
  <si>
    <t>Other Income/Expenses Net</t>
  </si>
  <si>
    <t>EBT</t>
  </si>
  <si>
    <t>Income Tax Expense</t>
  </si>
  <si>
    <t>Net Income</t>
  </si>
  <si>
    <t>Assets</t>
  </si>
  <si>
    <t>Current Assets</t>
  </si>
  <si>
    <t>Cash And Cash Equivalents</t>
  </si>
  <si>
    <t>Other Short Term Investments</t>
  </si>
  <si>
    <t>Total Cash</t>
  </si>
  <si>
    <t>Net Receivables</t>
  </si>
  <si>
    <t>Inventory</t>
  </si>
  <si>
    <t>Total Current Assets</t>
  </si>
  <si>
    <t>Non-current assets</t>
  </si>
  <si>
    <t>Gross property, plant and equipment</t>
  </si>
  <si>
    <t>Accumulated Depreciation</t>
  </si>
  <si>
    <t>Net property, plant and equipment</t>
  </si>
  <si>
    <t>Long Term Investments</t>
  </si>
  <si>
    <t>Goodwill</t>
  </si>
  <si>
    <t>Intangible Assets</t>
  </si>
  <si>
    <t>Other long-term assets</t>
  </si>
  <si>
    <t>Total non-current assets</t>
  </si>
  <si>
    <t>Total Assets</t>
  </si>
  <si>
    <t>Liabilities</t>
  </si>
  <si>
    <t>Current Liabilities</t>
  </si>
  <si>
    <t>Accounts Payable</t>
  </si>
  <si>
    <t>Accrued liabilities</t>
  </si>
  <si>
    <t>Deferred revenues</t>
  </si>
  <si>
    <t>Current Portion of Long Term Debt</t>
  </si>
  <si>
    <t>Total Current Liabilities</t>
  </si>
  <si>
    <t>Non-Current Liabilities</t>
  </si>
  <si>
    <t>Long Term Debt</t>
  </si>
  <si>
    <t>Deferred taxes liabilities</t>
  </si>
  <si>
    <t>Total non-current liabilities</t>
  </si>
  <si>
    <t>Total Liabilities</t>
  </si>
  <si>
    <t>Stockholders' Equity</t>
  </si>
  <si>
    <t>Common Stock</t>
  </si>
  <si>
    <t>Retained Earnings</t>
  </si>
  <si>
    <t>Total stockholders' equity</t>
  </si>
  <si>
    <t xml:space="preserve"> Liabilities &amp; Stockholders Equity</t>
  </si>
  <si>
    <t>Error</t>
  </si>
  <si>
    <t>Depreciation</t>
  </si>
  <si>
    <t>Amortization (Intangibles)</t>
  </si>
  <si>
    <t>Deferred Taxes</t>
  </si>
  <si>
    <t>ST Deferred Revenue</t>
  </si>
  <si>
    <t xml:space="preserve"> Cash Income</t>
  </si>
  <si>
    <t>Working Capital Activity</t>
  </si>
  <si>
    <t xml:space="preserve">  Total Working Capital</t>
  </si>
  <si>
    <t>Operating Cash Flow (OCF)</t>
  </si>
  <si>
    <t>Investment Activities</t>
  </si>
  <si>
    <t>Capital Expenditure</t>
  </si>
  <si>
    <t>Long-Term Investment</t>
  </si>
  <si>
    <t>Other Long-Term Assets</t>
  </si>
  <si>
    <t xml:space="preserve">  Total Investment Activities</t>
  </si>
  <si>
    <t>Financing Activity</t>
  </si>
  <si>
    <t>ST Debt</t>
  </si>
  <si>
    <t>LT Debt</t>
  </si>
  <si>
    <t>LT Deferred Revenue</t>
  </si>
  <si>
    <t>Other Long-Term Liabilities</t>
  </si>
  <si>
    <t xml:space="preserve">  Total Financing Activities</t>
  </si>
  <si>
    <t>Free Cash Flow</t>
  </si>
  <si>
    <t xml:space="preserve"> Allocation Cash and Cash Equivalents</t>
  </si>
  <si>
    <t xml:space="preserve"> Allocation Other Short-Term Investments</t>
  </si>
  <si>
    <t>Beginning Cash</t>
  </si>
  <si>
    <t>Ending Cash</t>
  </si>
  <si>
    <t>FINANCIAL RATIO ANALYSIS</t>
  </si>
  <si>
    <t>EBITDA ($ 000's)</t>
  </si>
  <si>
    <t>TREND ANALYSIS</t>
  </si>
  <si>
    <t>Revenue Growth</t>
  </si>
  <si>
    <t>LIQUIDITY RATIOS</t>
  </si>
  <si>
    <t>Current Ratio</t>
  </si>
  <si>
    <t>Quick Ratio</t>
  </si>
  <si>
    <t>Accounts Receivable Turnover</t>
  </si>
  <si>
    <t>Accounts Receivable Days</t>
  </si>
  <si>
    <t>SOLVENCY RATIOS</t>
  </si>
  <si>
    <t>Total Debt / Total Capitalization (Cap Ratio)</t>
  </si>
  <si>
    <t>EBITDA/ Interest (Coverage Ratio)</t>
  </si>
  <si>
    <t>Total Debt / EBITDA (Leverage Ratio)</t>
  </si>
  <si>
    <t>PROFITABILITY RATIO</t>
  </si>
  <si>
    <t>EBITDA Margin</t>
  </si>
  <si>
    <t>ROA</t>
  </si>
  <si>
    <t>ROE</t>
  </si>
  <si>
    <t xml:space="preserve">INCOME STATEMENT </t>
  </si>
  <si>
    <t>Yahoo Finance 
Link =</t>
  </si>
  <si>
    <t>Date of Analysis:</t>
  </si>
  <si>
    <t>INPUT</t>
  </si>
  <si>
    <t>HISTORICAL  INFORMATION</t>
  </si>
  <si>
    <t>ENTERPRISE VALUATION ANALYSIS</t>
  </si>
  <si>
    <t>INCOME STATEMENT</t>
  </si>
  <si>
    <t>LTM</t>
  </si>
  <si>
    <t>EV
(000's)</t>
  </si>
  <si>
    <t>Debt
(000's)</t>
  </si>
  <si>
    <t>Cash
(000's)</t>
  </si>
  <si>
    <t>Eq Value
(000's)</t>
  </si>
  <si>
    <t>Shares Outs
(000's)</t>
  </si>
  <si>
    <t>Stock 
Price</t>
  </si>
  <si>
    <t>(000's)</t>
  </si>
  <si>
    <t>METHOD #1 - Market Value / Using the Stock Price</t>
  </si>
  <si>
    <t>Revenue</t>
  </si>
  <si>
    <t>METHOD #2- Intrinsic Value</t>
  </si>
  <si>
    <t xml:space="preserve"> Gross Profit</t>
  </si>
  <si>
    <t>METHOD #3- Dividend Discount Model (DDM)</t>
  </si>
  <si>
    <t>Operating Expense</t>
  </si>
  <si>
    <t xml:space="preserve">METHOD #4 -Average  EBITDA  Industry Trading Multiples </t>
  </si>
  <si>
    <t>METHOD #5 - Using Averge EBITDA Transaction Multiples</t>
  </si>
  <si>
    <t>METHOD #6 - Discount Cash Flow Valuation Analysis</t>
  </si>
  <si>
    <t xml:space="preserve">  Average of other methods</t>
  </si>
  <si>
    <t>Shares Outstanding</t>
  </si>
  <si>
    <t>EPS</t>
  </si>
  <si>
    <t>EBITDA</t>
  </si>
  <si>
    <t>Calculations</t>
  </si>
  <si>
    <t>SO</t>
  </si>
  <si>
    <t>Company</t>
  </si>
  <si>
    <t>Symbol</t>
  </si>
  <si>
    <t xml:space="preserve">Stock Price </t>
  </si>
  <si>
    <t>Stocks Outstanding ($000)</t>
  </si>
  <si>
    <t>Equity 
Value
 ($000)</t>
  </si>
  <si>
    <t>Debt (ST&amp;LT)
($000)</t>
  </si>
  <si>
    <t>Cash
 ($000)</t>
  </si>
  <si>
    <t>Enterprise Value 
($000)</t>
  </si>
  <si>
    <t>Choice Hotels International</t>
  </si>
  <si>
    <t>CHH</t>
  </si>
  <si>
    <t>Fairmont Hotels &amp; Resorts</t>
  </si>
  <si>
    <t>FHR</t>
  </si>
  <si>
    <t>Hilton Hotels</t>
  </si>
  <si>
    <t>HLT</t>
  </si>
  <si>
    <t>John Q. Hammons Hotels</t>
  </si>
  <si>
    <t>JQH</t>
  </si>
  <si>
    <t>La-Quinta Corp</t>
  </si>
  <si>
    <t>LQI</t>
  </si>
  <si>
    <t>Marcus Corporation</t>
  </si>
  <si>
    <t>MCS</t>
  </si>
  <si>
    <t>Marriott International</t>
  </si>
  <si>
    <t>MAR</t>
  </si>
  <si>
    <t>Orient Express Hotels Ltd</t>
  </si>
  <si>
    <t>OEH</t>
  </si>
  <si>
    <t>Hyatt</t>
  </si>
  <si>
    <t>H</t>
  </si>
  <si>
    <t>Cash, Cash &amp; Equivalent</t>
  </si>
  <si>
    <t>Total Debt</t>
  </si>
  <si>
    <t>Using CAPM = k = Rf + ( Beta * Premium )</t>
  </si>
  <si>
    <t>Intrinsic Value = V0 = [ E(D1) + E (P1)] / (1+k)</t>
  </si>
  <si>
    <t>Risk Free =</t>
  </si>
  <si>
    <t>D1=</t>
  </si>
  <si>
    <t>Beta =</t>
  </si>
  <si>
    <t xml:space="preserve">Analyst Est. </t>
  </si>
  <si>
    <t xml:space="preserve"> (Average Earnings per share)</t>
  </si>
  <si>
    <t>SUMMARY CASH FLOW ST.</t>
  </si>
  <si>
    <t>Premium=</t>
  </si>
  <si>
    <t>Exp (P1)=</t>
  </si>
  <si>
    <t>(Avg Target by Analysts for 9/19)</t>
  </si>
  <si>
    <t>Market Return (Rf + Premium)=</t>
  </si>
  <si>
    <t>k=</t>
  </si>
  <si>
    <t>Capex</t>
  </si>
  <si>
    <t>Expected Equity Return using CAPM=</t>
  </si>
  <si>
    <t>Deprec. &amp; Amort.</t>
  </si>
  <si>
    <t>OPERATING ASSUMPTIONS</t>
  </si>
  <si>
    <t>AVERAGE</t>
  </si>
  <si>
    <t>Constant-Growth DDM (Gordon Model) V0 = D1 / (k-g)</t>
  </si>
  <si>
    <t>Expected HPR = E 9r) = [E (d1) + (E(p1) - P0) / P0</t>
  </si>
  <si>
    <t>Revenue Growth %</t>
  </si>
  <si>
    <t>D1 =</t>
  </si>
  <si>
    <t>Dividend (d1)</t>
  </si>
  <si>
    <t>(No growth)</t>
  </si>
  <si>
    <t>COGS % of Revenue</t>
  </si>
  <si>
    <t>Expected Equity Return (k)=</t>
  </si>
  <si>
    <t>P1 = P0+D</t>
  </si>
  <si>
    <t>Oper. Expense % of Revenue</t>
  </si>
  <si>
    <t>Expected Growth (g) =</t>
  </si>
  <si>
    <t>P0</t>
  </si>
  <si>
    <t>Depreciation % Revenue</t>
  </si>
  <si>
    <t>Exp. HPR=</t>
  </si>
  <si>
    <t>Capex % Revenue</t>
  </si>
  <si>
    <t>E</t>
  </si>
  <si>
    <t>EV / E</t>
  </si>
  <si>
    <t>Stock
Price</t>
  </si>
  <si>
    <t>Equity Value
 ($000)</t>
  </si>
  <si>
    <t>EBITDA Multiple</t>
  </si>
  <si>
    <t>Beta</t>
  </si>
  <si>
    <t>Hilton Worldwide Holdings Inc.</t>
  </si>
  <si>
    <t>Intercontinental Hotel</t>
  </si>
  <si>
    <t>IHG</t>
  </si>
  <si>
    <t>Park Hotels &amp; Resorts Inc.</t>
  </si>
  <si>
    <t>PK</t>
  </si>
  <si>
    <t>Wyndham Worldwide</t>
  </si>
  <si>
    <t>WYNN</t>
  </si>
  <si>
    <t>EBITDA * Average Multiple</t>
  </si>
  <si>
    <t>Average</t>
  </si>
  <si>
    <t>METHOD #5 - Using Averge EBITDA Transaction Multiples (M&amp;A Comparable Method)</t>
  </si>
  <si>
    <t>AP</t>
  </si>
  <si>
    <t>AP * SO = EQ</t>
  </si>
  <si>
    <t>ND</t>
  </si>
  <si>
    <t>EQ + ND = EV</t>
  </si>
  <si>
    <t xml:space="preserve">Target </t>
  </si>
  <si>
    <t>Acquirer</t>
  </si>
  <si>
    <t>Acquisition Price /Share</t>
  </si>
  <si>
    <t>Equity Value ($mm)</t>
  </si>
  <si>
    <t>Total Net Debt ($mm)</t>
  </si>
  <si>
    <t>Enterprise Value (EV)</t>
  </si>
  <si>
    <t>EBITDA (last reported)</t>
  </si>
  <si>
    <t>Blackstone Group</t>
  </si>
  <si>
    <t>Four Seasons*</t>
  </si>
  <si>
    <t>Kingtom Hotels Int'l</t>
  </si>
  <si>
    <t>Fairmont/Rafles</t>
  </si>
  <si>
    <t>Hilton International</t>
  </si>
  <si>
    <t>Hilton Hotels Corp.</t>
  </si>
  <si>
    <t>Starwood Hotels</t>
  </si>
  <si>
    <t>Host Marriott</t>
  </si>
  <si>
    <t>Wynham Int'l</t>
  </si>
  <si>
    <t>JQH Acquisition LLC</t>
  </si>
  <si>
    <t>Societe du Louvre</t>
  </si>
  <si>
    <t>Starwood Capital</t>
  </si>
  <si>
    <t>Intercontinental Hotels</t>
  </si>
  <si>
    <t>LRG</t>
  </si>
  <si>
    <t>Boca Resorts</t>
  </si>
  <si>
    <t>Prime Hospitality</t>
  </si>
  <si>
    <t>Extended Stay</t>
  </si>
  <si>
    <t>Haytt's Enteprise Value</t>
  </si>
  <si>
    <t xml:space="preserve">  year =</t>
  </si>
  <si>
    <t>EXIT YEAR</t>
  </si>
  <si>
    <t>Assumptions</t>
  </si>
  <si>
    <t>Revenues</t>
  </si>
  <si>
    <t xml:space="preserve">  Revenue Growth</t>
  </si>
  <si>
    <t>Cost of Revenues (CoGS)</t>
  </si>
  <si>
    <t>Operating Expenses (Excl. Non-rec.)</t>
  </si>
  <si>
    <t xml:space="preserve"> EBIT</t>
  </si>
  <si>
    <t>Less Taxes (tax rate x of EBIT)</t>
  </si>
  <si>
    <t>Plus Depreciation</t>
  </si>
  <si>
    <t xml:space="preserve">Less Capex </t>
  </si>
  <si>
    <t>Cash Flow</t>
  </si>
  <si>
    <t>Debt (assuming 5% reduction of intial principal per year)</t>
  </si>
  <si>
    <t>Terminal Value</t>
  </si>
  <si>
    <t>Growth</t>
  </si>
  <si>
    <t xml:space="preserve">  EBITDA Multiple Method</t>
  </si>
  <si>
    <t>(EBITDA x EBITDA Multiple)</t>
  </si>
  <si>
    <t xml:space="preserve">  Perpetuity Method </t>
  </si>
  <si>
    <t xml:space="preserve"> Next Year's Cash Flow / (Discount Rate - Growth)</t>
  </si>
  <si>
    <t>Less Debt Outstanding (at Exit)</t>
  </si>
  <si>
    <t>Plus Cash (at Exit)</t>
  </si>
  <si>
    <t>Equity Value at Terminal</t>
  </si>
  <si>
    <t>PV (for $1)</t>
  </si>
  <si>
    <t>Equity Cash Flows</t>
  </si>
  <si>
    <t>PV (1) =</t>
  </si>
  <si>
    <t>PV (2) =</t>
  </si>
  <si>
    <t>PV (3) =</t>
  </si>
  <si>
    <t>PV (4) =</t>
  </si>
  <si>
    <t>PV (5) =</t>
  </si>
  <si>
    <t>PV=</t>
  </si>
  <si>
    <t>Cost of Equity Calc</t>
  </si>
  <si>
    <t>Interest</t>
  </si>
  <si>
    <t>Risk Free Rate (5 year)</t>
  </si>
  <si>
    <t>Enterprise Value =</t>
  </si>
  <si>
    <t>PV of Equity + PV of Debt</t>
  </si>
  <si>
    <t>Premium based on MC =</t>
  </si>
  <si>
    <t>Rate</t>
  </si>
  <si>
    <t xml:space="preserve">PV of Equity = </t>
  </si>
  <si>
    <t>Hyatt Beta =</t>
  </si>
  <si>
    <t xml:space="preserve">+ PV of Debt = </t>
  </si>
  <si>
    <t>Expected Equity Return =</t>
  </si>
  <si>
    <t>Hyatt's Enterprise Value</t>
  </si>
  <si>
    <t>WACC Calc:</t>
  </si>
  <si>
    <t xml:space="preserve">  % Cap</t>
  </si>
  <si>
    <t xml:space="preserve"> AT RoR</t>
  </si>
  <si>
    <t>WACC</t>
  </si>
  <si>
    <t>BV Equity</t>
  </si>
  <si>
    <t>Dec 31</t>
  </si>
  <si>
    <t>Financial Analysis</t>
  </si>
  <si>
    <t>EBIT (operating)</t>
  </si>
  <si>
    <t xml:space="preserve">Interest </t>
  </si>
  <si>
    <t>Other non-oper. Income</t>
  </si>
  <si>
    <t>EBT (operating)</t>
  </si>
  <si>
    <t>Taxes</t>
  </si>
  <si>
    <t>BALANACE SHEET STATEMENT</t>
  </si>
  <si>
    <t>Cost of Revenue as % of Revenue</t>
  </si>
  <si>
    <t>Operating Expense as % of Revenues</t>
  </si>
  <si>
    <t>Working Capital as % of Revenues</t>
  </si>
  <si>
    <t>Working Capital</t>
  </si>
  <si>
    <t xml:space="preserve"> Debt Reapayment $</t>
  </si>
  <si>
    <t>Projection Analysis</t>
  </si>
  <si>
    <t xml:space="preserve">  Gross profit</t>
  </si>
  <si>
    <t>HISTORICAL</t>
  </si>
  <si>
    <t>PROJECTED</t>
  </si>
  <si>
    <t>Financial Statement Date:</t>
  </si>
  <si>
    <t>Comments</t>
  </si>
  <si>
    <t>Last Quarter Revenue Decline</t>
  </si>
  <si>
    <t xml:space="preserve">- PV of Cash = </t>
  </si>
  <si>
    <t>Recom.
(-10%/+10%)</t>
  </si>
  <si>
    <t>Using 2019 EBITDA (Covid Adj)=</t>
  </si>
  <si>
    <t>Assume $0</t>
  </si>
  <si>
    <t>VALUATION ANALYSIS</t>
  </si>
  <si>
    <t>name</t>
  </si>
  <si>
    <t>ttm</t>
  </si>
  <si>
    <t>TotalRevenue</t>
  </si>
  <si>
    <t xml:space="preserve">	OperatingRevenue</t>
  </si>
  <si>
    <t>CostOfRevenue</t>
  </si>
  <si>
    <t>GrossProfit</t>
  </si>
  <si>
    <t>OperatingExpense</t>
  </si>
  <si>
    <t xml:space="preserve">	SellingGeneralAndAdministration</t>
  </si>
  <si>
    <t xml:space="preserve">	DepreciationAmortizationDepletionIncomeStatement</t>
  </si>
  <si>
    <t xml:space="preserve">		DepreciationAndAmortizationInIncomeStatement</t>
  </si>
  <si>
    <t>OperatingIncome</t>
  </si>
  <si>
    <t>NetNonOperatingInterestIncomeExpense</t>
  </si>
  <si>
    <t xml:space="preserve">	InterestIncomeNonOperating</t>
  </si>
  <si>
    <t xml:space="preserve">	InterestExpenseNonOperating</t>
  </si>
  <si>
    <t xml:space="preserve">	TotalOtherFinanceCost</t>
  </si>
  <si>
    <t>OtherIncomeExpense</t>
  </si>
  <si>
    <t xml:space="preserve">	GainOnSaleOfSecurity</t>
  </si>
  <si>
    <t xml:space="preserve">	EarningsFromEquityInterest</t>
  </si>
  <si>
    <t xml:space="preserve">	SpecialIncomeCharges</t>
  </si>
  <si>
    <t xml:space="preserve">		RestructuringAndMergernAcquisition</t>
  </si>
  <si>
    <t xml:space="preserve">		ImpairmentOfCapitalAssets</t>
  </si>
  <si>
    <t xml:space="preserve">		WriteOff</t>
  </si>
  <si>
    <t xml:space="preserve">		OtherSpecialCharges</t>
  </si>
  <si>
    <t xml:space="preserve">		GainOnSaleOfPPE</t>
  </si>
  <si>
    <t xml:space="preserve">	OtherNonOperatingIncomeExpenses</t>
  </si>
  <si>
    <t>PretaxIncome</t>
  </si>
  <si>
    <t>TaxProvision</t>
  </si>
  <si>
    <t>NetIncomeCommonStockholders</t>
  </si>
  <si>
    <t xml:space="preserve">	NetIncome</t>
  </si>
  <si>
    <t xml:space="preserve">		NetIncomeIncludingNoncontrollingInterests</t>
  </si>
  <si>
    <t xml:space="preserve">			NetIncomeContinuousOperations</t>
  </si>
  <si>
    <t xml:space="preserve">			NetIncomeDiscontinuousOperations</t>
  </si>
  <si>
    <t xml:space="preserve">			NetIncomeExtraordinary</t>
  </si>
  <si>
    <t xml:space="preserve">			NetIncomeFromTaxLossCarryforward</t>
  </si>
  <si>
    <t xml:space="preserve">		MinorityInterests</t>
  </si>
  <si>
    <t>DilutedNIAvailtoComStockholders</t>
  </si>
  <si>
    <t>BasicEPS</t>
  </si>
  <si>
    <t>DilutedEPS</t>
  </si>
  <si>
    <t>BasicAverageShares</t>
  </si>
  <si>
    <t>DilutedAverageShares</t>
  </si>
  <si>
    <t>TotalExpenses</t>
  </si>
  <si>
    <t>NetIncomeFromContinuingAndDiscontinuedOperation</t>
  </si>
  <si>
    <t>NormalizedIncome</t>
  </si>
  <si>
    <t>InterestIncome</t>
  </si>
  <si>
    <t>InterestExpense</t>
  </si>
  <si>
    <t>NetInterestIncome</t>
  </si>
  <si>
    <t>EBIT</t>
  </si>
  <si>
    <t>ReconciledCostOfRevenue</t>
  </si>
  <si>
    <t>ReconciledDepreciation</t>
  </si>
  <si>
    <t>NetIncomeFromContinuingOperationNetMinorityInterest</t>
  </si>
  <si>
    <t>TotalUnusualItemsExcludingGoodwill</t>
  </si>
  <si>
    <t>TotalUnusualItems</t>
  </si>
  <si>
    <t>NormalizedEBITDA</t>
  </si>
  <si>
    <t>TaxRateForCalcs</t>
  </si>
  <si>
    <t>TaxEffectOfUnusualItems</t>
  </si>
  <si>
    <t>TotalAssets</t>
  </si>
  <si>
    <t xml:space="preserve">	CurrentAssets</t>
  </si>
  <si>
    <t xml:space="preserve">		CashCashEquivalentsAndShortTermInvestments</t>
  </si>
  <si>
    <t xml:space="preserve">			CashAndCashEquivalents</t>
  </si>
  <si>
    <t xml:space="preserve">		Receivables</t>
  </si>
  <si>
    <t xml:space="preserve">			AccountsReceivable</t>
  </si>
  <si>
    <t xml:space="preserve">				GrossAccountsReceivable</t>
  </si>
  <si>
    <t xml:space="preserve">				AllowanceForDoubtfulAccountsReceivable</t>
  </si>
  <si>
    <t xml:space="preserve">		Inventory</t>
  </si>
  <si>
    <t xml:space="preserve">		PrepaidAssets</t>
  </si>
  <si>
    <t xml:space="preserve">		RestrictedCash</t>
  </si>
  <si>
    <t xml:space="preserve">		CurrentDeferredAssets</t>
  </si>
  <si>
    <t xml:space="preserve">			CurrentDeferredTaxesAssets</t>
  </si>
  <si>
    <t xml:space="preserve">		OtherCurrentAssets</t>
  </si>
  <si>
    <t xml:space="preserve">	TotalNonCurrentAssets</t>
  </si>
  <si>
    <t xml:space="preserve">		NetPPE</t>
  </si>
  <si>
    <t xml:space="preserve">			GrossPPE</t>
  </si>
  <si>
    <t xml:space="preserve">				Properties</t>
  </si>
  <si>
    <t xml:space="preserve">				LandAndImprovements</t>
  </si>
  <si>
    <t xml:space="preserve">				BuildingsAndImprovements</t>
  </si>
  <si>
    <t xml:space="preserve">				MachineryFurnitureEquipment</t>
  </si>
  <si>
    <t xml:space="preserve">				OtherProperties</t>
  </si>
  <si>
    <t xml:space="preserve">				ConstructionInProgress</t>
  </si>
  <si>
    <t xml:space="preserve">			AccumulatedDepreciation</t>
  </si>
  <si>
    <t xml:space="preserve">		GoodwillAndOtherIntangibleAssets</t>
  </si>
  <si>
    <t xml:space="preserve">			Goodwill</t>
  </si>
  <si>
    <t xml:space="preserve">			OtherIntangibleAssets</t>
  </si>
  <si>
    <t xml:space="preserve">		NonCurrentDeferredAssets</t>
  </si>
  <si>
    <t xml:space="preserve">			NonCurrentDeferredTaxesAssets</t>
  </si>
  <si>
    <t xml:space="preserve">		OtherNonCurrentAssets</t>
  </si>
  <si>
    <t>TotalLiabilitiesNetMinorityInterest</t>
  </si>
  <si>
    <t xml:space="preserve">	CurrentLiabilities</t>
  </si>
  <si>
    <t xml:space="preserve">		PayablesAndAccruedExpenses</t>
  </si>
  <si>
    <t xml:space="preserve">			Payables</t>
  </si>
  <si>
    <t xml:space="preserve">				AccountsPayable</t>
  </si>
  <si>
    <t xml:space="preserve">				TotalTaxPayable</t>
  </si>
  <si>
    <t xml:space="preserve">					IncomeTaxPayable</t>
  </si>
  <si>
    <t xml:space="preserve">			CurrentAccruedExpenses</t>
  </si>
  <si>
    <t xml:space="preserve">		CurrentDebtAndCapitalLeaseObligation</t>
  </si>
  <si>
    <t xml:space="preserve">			CurrentDebt</t>
  </si>
  <si>
    <t xml:space="preserve">		OtherCurrentLiabilities</t>
  </si>
  <si>
    <t xml:space="preserve">	TotalNonCurrentLiabilitiesNetMinorityInterest</t>
  </si>
  <si>
    <t xml:space="preserve">		LongTermDebtAndCapitalLeaseObligation</t>
  </si>
  <si>
    <t xml:space="preserve">			LongTermDebt</t>
  </si>
  <si>
    <t xml:space="preserve">			LongTermCapitalLeaseObligation</t>
  </si>
  <si>
    <t xml:space="preserve">		NonCurrentDeferredLiabilities</t>
  </si>
  <si>
    <t xml:space="preserve">			NonCurrentDeferredTaxesLiabilities</t>
  </si>
  <si>
    <t>TotalEquityGrossMinorityInterest</t>
  </si>
  <si>
    <t xml:space="preserve">	StockholdersEquity</t>
  </si>
  <si>
    <t xml:space="preserve">		CapitalStock</t>
  </si>
  <si>
    <t xml:space="preserve">			PreferredStock</t>
  </si>
  <si>
    <t xml:space="preserve">			CommonStock</t>
  </si>
  <si>
    <t xml:space="preserve">		AdditionalPaidInCapital</t>
  </si>
  <si>
    <t xml:space="preserve">		RetainedEarnings</t>
  </si>
  <si>
    <t xml:space="preserve">		GainsLossesNotAffectingRetainedEarnings</t>
  </si>
  <si>
    <t xml:space="preserve">			OtherEquityAdjustments</t>
  </si>
  <si>
    <t xml:space="preserve">	MinorityInterest</t>
  </si>
  <si>
    <t>TotalCapitalization</t>
  </si>
  <si>
    <t>CommonStockEquity</t>
  </si>
  <si>
    <t>CapitalLeaseObligations</t>
  </si>
  <si>
    <t>NetTangibleAssets</t>
  </si>
  <si>
    <t>WorkingCapital</t>
  </si>
  <si>
    <t>InvestedCapital</t>
  </si>
  <si>
    <t>TangibleBookValue</t>
  </si>
  <si>
    <t>TotalDebt</t>
  </si>
  <si>
    <t>NetDebt</t>
  </si>
  <si>
    <t>ShareIssued</t>
  </si>
  <si>
    <t>OrdinarySharesNumber</t>
  </si>
  <si>
    <t>TreasurySharesNumber</t>
  </si>
  <si>
    <t>OperatingCashFlow</t>
  </si>
  <si>
    <t xml:space="preserve">	CashFlowFromContinuingOperatingActivities</t>
  </si>
  <si>
    <t xml:space="preserve">		NetIncomeFromContinuingOperations</t>
  </si>
  <si>
    <t xml:space="preserve">		OperatingGainsLosses</t>
  </si>
  <si>
    <t xml:space="preserve">			GainLossOnSaleOfPPE</t>
  </si>
  <si>
    <t xml:space="preserve">			NetForeignCurrencyExchangeGainLoss</t>
  </si>
  <si>
    <t xml:space="preserve">			GainLossOnInvestmentSecurities</t>
  </si>
  <si>
    <t xml:space="preserve">		DepreciationAmortizationDepletion</t>
  </si>
  <si>
    <t xml:space="preserve">			DepreciationAndAmortization</t>
  </si>
  <si>
    <t xml:space="preserve">				Depreciation</t>
  </si>
  <si>
    <t xml:space="preserve">		DeferredTax</t>
  </si>
  <si>
    <t xml:space="preserve">			DeferredIncomeTax</t>
  </si>
  <si>
    <t xml:space="preserve">		AssetImpairmentCharge</t>
  </si>
  <si>
    <t xml:space="preserve">		StockBasedCompensation</t>
  </si>
  <si>
    <t xml:space="preserve">		OtherNonCashItems</t>
  </si>
  <si>
    <t xml:space="preserve">		ChangeInWorkingCapital</t>
  </si>
  <si>
    <t xml:space="preserve">			ChangeInReceivables</t>
  </si>
  <si>
    <t xml:space="preserve">			ChangeInInventory</t>
  </si>
  <si>
    <t xml:space="preserve">			ChangeInPrepaidAssets</t>
  </si>
  <si>
    <t xml:space="preserve">			ChangeInPayablesAndAccruedExpense</t>
  </si>
  <si>
    <t xml:space="preserve">				ChangeInPayable</t>
  </si>
  <si>
    <t xml:space="preserve">					ChangeInAccountPayable</t>
  </si>
  <si>
    <t xml:space="preserve">			ChangeInOtherCurrentAssets</t>
  </si>
  <si>
    <t xml:space="preserve">			ChangeInOtherCurrentLiabilities</t>
  </si>
  <si>
    <t xml:space="preserve">			ChangeInOtherWorkingCapital</t>
  </si>
  <si>
    <t>InvestingCashFlow</t>
  </si>
  <si>
    <t xml:space="preserve">	CashFlowFromContinuingInvestingActivities</t>
  </si>
  <si>
    <t xml:space="preserve">		NetPPEPurchaseAndSale</t>
  </si>
  <si>
    <t xml:space="preserve">			PurchaseOfPPE</t>
  </si>
  <si>
    <t xml:space="preserve">			SaleOfPPE</t>
  </si>
  <si>
    <t xml:space="preserve">		NetIntangiblesPurchaseAndSale</t>
  </si>
  <si>
    <t xml:space="preserve">		NetBusinessPurchaseAndSale</t>
  </si>
  <si>
    <t xml:space="preserve">			PurchaseOfBusiness</t>
  </si>
  <si>
    <t xml:space="preserve">		NetInvestmentPurchaseAndSale</t>
  </si>
  <si>
    <t xml:space="preserve">			PurchaseOfInvestment</t>
  </si>
  <si>
    <t xml:space="preserve">		NetOtherInvestingChanges</t>
  </si>
  <si>
    <t>FinancingCashFlow</t>
  </si>
  <si>
    <t xml:space="preserve">	CashFlowFromContinuingFinancingActivities</t>
  </si>
  <si>
    <t xml:space="preserve">		NetIssuancePaymentsOfDebt</t>
  </si>
  <si>
    <t xml:space="preserve">			NetLongTermDebtIssuance</t>
  </si>
  <si>
    <t xml:space="preserve">				LongTermDebtIssuance</t>
  </si>
  <si>
    <t xml:space="preserve">				LongTermDebtPayments</t>
  </si>
  <si>
    <t xml:space="preserve">			NetShortTermDebtIssuance</t>
  </si>
  <si>
    <t xml:space="preserve">				ShortTermDebtIssuance</t>
  </si>
  <si>
    <t xml:space="preserve">				ShortTermDebtPayments</t>
  </si>
  <si>
    <t xml:space="preserve">		NetCommonStockIssuance</t>
  </si>
  <si>
    <t xml:space="preserve">			CommonStockIssuance</t>
  </si>
  <si>
    <t xml:space="preserve">			CommonStockPayments</t>
  </si>
  <si>
    <t xml:space="preserve">		NetPreferredStockIssuance</t>
  </si>
  <si>
    <t xml:space="preserve">			PreferredStockIssuance</t>
  </si>
  <si>
    <t xml:space="preserve">		CashDividendsPaid</t>
  </si>
  <si>
    <t xml:space="preserve">			CommonStockDividendPaid</t>
  </si>
  <si>
    <t xml:space="preserve">		NetOtherFinancingCharges</t>
  </si>
  <si>
    <t>EndCashPosition</t>
  </si>
  <si>
    <t xml:space="preserve">	ChangesInCash</t>
  </si>
  <si>
    <t xml:space="preserve">	EffectOfExchangeRateChanges</t>
  </si>
  <si>
    <t xml:space="preserve">	BeginningCashPosition</t>
  </si>
  <si>
    <t>IncomeTaxPaidSupplementalData</t>
  </si>
  <si>
    <t>InterestPaidSupplementalData</t>
  </si>
  <si>
    <t>CapitalExpenditure</t>
  </si>
  <si>
    <t>IssuanceOfCapitalStock</t>
  </si>
  <si>
    <t>IssuanceOfDebt</t>
  </si>
  <si>
    <t>RepaymentOfDebt</t>
  </si>
  <si>
    <t>RepurchaseOfCapitalStock</t>
  </si>
  <si>
    <t>FreeCashFlow</t>
  </si>
  <si>
    <t>Used the same % of Capex for Deprecriation</t>
  </si>
  <si>
    <t>Expenses used pre-covid % of Revenue average</t>
  </si>
  <si>
    <t>Working Capital used pre-covid % of revenue</t>
  </si>
  <si>
    <t>By 2023, EBITDA will come back to 2019 levels</t>
  </si>
  <si>
    <t xml:space="preserve"> Depreciation</t>
  </si>
  <si>
    <t>SUMMARY CASH FLOW ANALASIS</t>
  </si>
  <si>
    <t xml:space="preserve"> Estimated Debt Repayment % of 12/2020</t>
  </si>
  <si>
    <t>EBITDA 
($mm)
2020 Covid</t>
  </si>
  <si>
    <t xml:space="preserve"> (based on 2019 Pre-covid mutiple)</t>
  </si>
  <si>
    <t>The growth rates (1o%, 50%, 25%) were designed for COVID recovery in 2022 after a significant decline in 2020 - assume back to 2019 EBITDA levels by 2023</t>
  </si>
  <si>
    <t>EBITDA 
($mm)
2019 - PreCovid</t>
  </si>
  <si>
    <t xml:space="preserve"> Stock Val=</t>
  </si>
  <si>
    <t>Stock Val=</t>
  </si>
  <si>
    <t>Stock Val =</t>
  </si>
  <si>
    <t>Less Working Capital</t>
  </si>
  <si>
    <t>Amount</t>
  </si>
  <si>
    <t xml:space="preserve">HISTORICAL </t>
  </si>
  <si>
    <t>COVID IMPACT</t>
  </si>
  <si>
    <t>Avg Debt</t>
  </si>
  <si>
    <t>Interest Calculation</t>
  </si>
  <si>
    <t>RoR</t>
  </si>
  <si>
    <t>Marriott Hotels</t>
  </si>
  <si>
    <t>Extended Stay America</t>
  </si>
  <si>
    <t>EXTENDED STAY AMERICA</t>
  </si>
  <si>
    <t xml:space="preserve">		GeneralAndAdministrativeExpense</t>
  </si>
  <si>
    <t xml:space="preserve">			SalariesAndWages</t>
  </si>
  <si>
    <t xml:space="preserve">			OtherGandA</t>
  </si>
  <si>
    <t xml:space="preserve">			DepreciationIncomeStatement</t>
  </si>
  <si>
    <t xml:space="preserve">	OtherOperatingExpenses</t>
  </si>
  <si>
    <t xml:space="preserve">	PreferredStockDividends</t>
  </si>
  <si>
    <t xml:space="preserve">	OtherunderPreferredStockDividend</t>
  </si>
  <si>
    <t>AverageDilutionEarnings</t>
  </si>
  <si>
    <t>TotalOperatingIncomeAsReported</t>
  </si>
  <si>
    <t xml:space="preserve">			OtherReceivables</t>
  </si>
  <si>
    <t xml:space="preserve">				OtherPayable</t>
  </si>
  <si>
    <t xml:space="preserve">		PreferredSecuritiesOutsideStockEquity</t>
  </si>
  <si>
    <t xml:space="preserve">			OtherCapitalStock</t>
  </si>
  <si>
    <t xml:space="preserve">			ForeignCurrencyTranslationAdjustments</t>
  </si>
  <si>
    <t xml:space="preserve">		OtherEquityInterest</t>
  </si>
  <si>
    <t xml:space="preserve">				AmortizationCashFlow</t>
  </si>
  <si>
    <t xml:space="preserve">					AmortizationOfIntangibles</t>
  </si>
  <si>
    <t xml:space="preserve">		AmortizationOfSecurities</t>
  </si>
  <si>
    <t xml:space="preserve">				ChangesInAccountReceivables</t>
  </si>
  <si>
    <t xml:space="preserve">					ChangeInTaxPayable</t>
  </si>
  <si>
    <t xml:space="preserve">						ChangeInIncomeTaxPayable</t>
  </si>
  <si>
    <t xml:space="preserve">				ChangeInAccruedExpense</t>
  </si>
  <si>
    <t xml:space="preserve">					ChangeInInterestPayable</t>
  </si>
  <si>
    <t xml:space="preserve">			PurchaseOfIntangibles</t>
  </si>
  <si>
    <t xml:space="preserve">		NetInvestmentPropertiesPurchaseAndSale</t>
  </si>
  <si>
    <t xml:space="preserve">			SaleOfInvestmentProperties</t>
  </si>
  <si>
    <t xml:space="preserve">			PreferredStockPayments</t>
  </si>
  <si>
    <t xml:space="preserve">			PreferredStockDividendPaid</t>
  </si>
  <si>
    <t>https://finance.yahoo.com/quote/STAY?p=STAY</t>
  </si>
  <si>
    <t>Other Current Assets</t>
  </si>
  <si>
    <t>Other Equity Accounts</t>
  </si>
  <si>
    <t>Covid Impact</t>
  </si>
  <si>
    <t>Public to Private LBO Equity &amp; Debt Analysis using CAPM</t>
  </si>
  <si>
    <t>TRANSACTION SOURCES &amp; USES</t>
  </si>
  <si>
    <t>COST OF DEBT AND EQUITY CALCULATIONS</t>
  </si>
  <si>
    <t>Sources:</t>
  </si>
  <si>
    <t>Debt
 Capacity (EBITDA x)</t>
  </si>
  <si>
    <t>Amount
($ 000's)</t>
  </si>
  <si>
    <t>% Capital</t>
  </si>
  <si>
    <t>Expected Return</t>
  </si>
  <si>
    <t>Expected Return 
(After Tax)</t>
  </si>
  <si>
    <t>WACC
 (After Tax)</t>
  </si>
  <si>
    <t>COST OF BANK DEBT CALCULATION
(Floaring Rate)</t>
  </si>
  <si>
    <t>Bank Loan</t>
  </si>
  <si>
    <t>3M-LIBOR
 Assumptions</t>
  </si>
  <si>
    <t>Loan
 Spread</t>
  </si>
  <si>
    <t>Initial All -In</t>
  </si>
  <si>
    <t>Corporate Bonds</t>
  </si>
  <si>
    <t xml:space="preserve">  Total Debt</t>
  </si>
  <si>
    <t>Equity</t>
  </si>
  <si>
    <t>COST OF MEZZANINE NOTE CALCULATION</t>
  </si>
  <si>
    <t xml:space="preserve">  Total Sources</t>
  </si>
  <si>
    <t>Uses:</t>
  </si>
  <si>
    <t>Current 
Stock
Price</t>
  </si>
  <si>
    <t>Stock 
Price 
Bid</t>
  </si>
  <si>
    <t>1st Year's
EBITDA
Multiple</t>
  </si>
  <si>
    <t xml:space="preserve"> % of 
Total
 Uses</t>
  </si>
  <si>
    <t>Shares
Outstanding
(mm)</t>
  </si>
  <si>
    <t>WACD =</t>
  </si>
  <si>
    <r>
      <t xml:space="preserve">COST OF EQUITY CALCULATION
</t>
    </r>
    <r>
      <rPr>
        <b/>
        <sz val="12"/>
        <rFont val="Arial"/>
        <family val="2"/>
      </rPr>
      <t>E</t>
    </r>
    <r>
      <rPr>
        <b/>
        <sz val="11"/>
        <rFont val="Arial"/>
        <family val="2"/>
      </rPr>
      <t xml:space="preserve"> (re) = rf + β</t>
    </r>
    <r>
      <rPr>
        <b/>
        <sz val="10"/>
        <rFont val="Arial"/>
        <family val="2"/>
      </rPr>
      <t xml:space="preserve"> . Pe + e</t>
    </r>
  </si>
  <si>
    <t>6-year Treasury Note [ rf ] (Intepol.)</t>
  </si>
  <si>
    <t xml:space="preserve"> Refinance Net Debt (Debt net of Cash)</t>
  </si>
  <si>
    <t xml:space="preserve">Company Beta </t>
  </si>
  <si>
    <t xml:space="preserve"> Enteprise Value</t>
  </si>
  <si>
    <t>Tax Rate=</t>
  </si>
  <si>
    <t>Equity Premium [ Pe ]</t>
  </si>
  <si>
    <t>Transaction Fees &amp; Expenses</t>
  </si>
  <si>
    <t>Firm Specific Risk Premium [e]</t>
  </si>
  <si>
    <t xml:space="preserve">      Total Uses</t>
  </si>
  <si>
    <t>Cost of Equity</t>
  </si>
  <si>
    <t>DEBT ASSUMPTIONS &amp; RETURN ANALYSIS</t>
  </si>
  <si>
    <t>Bank Loan Information</t>
  </si>
  <si>
    <t>Debt IRR</t>
  </si>
  <si>
    <t>Terms</t>
  </si>
  <si>
    <t>Amount Outstanding (End of Year)</t>
  </si>
  <si>
    <t>Schedule Principal Payments</t>
  </si>
  <si>
    <t>7 years</t>
  </si>
  <si>
    <t>Interest Payment (Calc based on last Year's Outs)</t>
  </si>
  <si>
    <t xml:space="preserve">  Total Financing Payment</t>
  </si>
  <si>
    <t xml:space="preserve">  Interest Rate</t>
  </si>
  <si>
    <t xml:space="preserve">  LIBOR RATE </t>
  </si>
  <si>
    <t xml:space="preserve">   LIBOR Rate Increase Assumptions</t>
  </si>
  <si>
    <t>Corporate Bond Information</t>
  </si>
  <si>
    <t>Amount Outstanding</t>
  </si>
  <si>
    <t>10 Years</t>
  </si>
  <si>
    <t>Total Financing</t>
  </si>
  <si>
    <t>Total Debt Outstanding</t>
  </si>
  <si>
    <t>CASH FLOW  &amp; EQUITY RETURN ANALYSIS</t>
  </si>
  <si>
    <t>Company Projections</t>
  </si>
  <si>
    <t>Entry Year</t>
  </si>
  <si>
    <t>Year 1</t>
  </si>
  <si>
    <t>Year 2</t>
  </si>
  <si>
    <t>Year 3</t>
  </si>
  <si>
    <t>Year 4</t>
  </si>
  <si>
    <t>Year 5</t>
  </si>
  <si>
    <t>Exit Year</t>
  </si>
  <si>
    <t>Cost of Revenues (Incl. Depreciation)</t>
  </si>
  <si>
    <t>Operating Costs</t>
  </si>
  <si>
    <t xml:space="preserve"> EBITA</t>
  </si>
  <si>
    <t>Less Amortization of Fees</t>
  </si>
  <si>
    <t xml:space="preserve">  Less Interest</t>
  </si>
  <si>
    <t xml:space="preserve">  Less Taxes (adj out Interest Exp)</t>
  </si>
  <si>
    <t xml:space="preserve">  Plus Interest</t>
  </si>
  <si>
    <t xml:space="preserve">  Plus Depreciation</t>
  </si>
  <si>
    <t xml:space="preserve">  Plus Amortization</t>
  </si>
  <si>
    <t xml:space="preserve">  Less Working Capital</t>
  </si>
  <si>
    <t xml:space="preserve">  Less Capex</t>
  </si>
  <si>
    <t>Cash Flow Before Financing (CFBF)</t>
  </si>
  <si>
    <t>Less Financing obligations ( P + I )</t>
  </si>
  <si>
    <t xml:space="preserve">  EBITDA Multiple Method (initial purchase multiple)</t>
  </si>
  <si>
    <t xml:space="preserve">  Perpetuity Method  (using WACC + growth)</t>
  </si>
  <si>
    <t>DDM = Next CFBF / (WACC - g)</t>
  </si>
  <si>
    <t>Average Terminal Value</t>
  </si>
  <si>
    <t>Debt Outstanding</t>
  </si>
  <si>
    <t>Equity Value (TV - Debt)</t>
  </si>
  <si>
    <t>x</t>
  </si>
  <si>
    <t>$ 1 PV Table (Expected Equity Rate)</t>
  </si>
  <si>
    <t>PV Table (Expected Equity Rate)</t>
  </si>
  <si>
    <t>Initial Investment</t>
  </si>
  <si>
    <t>NPV=</t>
  </si>
  <si>
    <t>IRR=</t>
  </si>
  <si>
    <t>STAY</t>
  </si>
  <si>
    <t>EBITDA (2019 - Pre-COVID)</t>
  </si>
  <si>
    <t xml:space="preserve"> Stock Purchase</t>
  </si>
  <si>
    <t>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</si>
</sst>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00"/>
    <numFmt numFmtId="165" formatCode="0.0%"/>
    <numFmt numFmtId="166" formatCode="0.0\x"/>
    <numFmt numFmtId="167" formatCode="#,#00.00"/>
    <numFmt numFmtId="168" formatCode="_(* #,##0_);_(* \(#,##0\);_(* &quot;-&quot;??_);_(@_)"/>
    <numFmt numFmtId="169" formatCode="_(* #,##0.000_);_(* \(#,##0.000\);_(* &quot;-&quot;??_);_(@_)"/>
    <numFmt numFmtId="170" formatCode="0.00\x"/>
    <numFmt numFmtId="171" formatCode="_(&quot;$&quot;* #,##0_);_(&quot;$&quot;* \(#,##0\);_(&quot;$&quot;* &quot;-&quot;??_);_(@_)"/>
    <numFmt numFmtId="172" formatCode="_(* #,##0.0000000_);_(* \(#,##0.0000000\);_(* &quot;-&quot;??_);_(@_)"/>
    <numFmt numFmtId="173" formatCode="0.000%"/>
    <numFmt numFmtId="174" formatCode="0.000\x"/>
  </numFmts>
  <fonts count="6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rgb="FF000000"/>
      <name val="Times New Roman"/>
      <family val="1"/>
    </font>
    <font>
      <b/>
      <sz val="9"/>
      <color rgb="FF000000"/>
      <name val="&amp;quot"/>
    </font>
    <font>
      <sz val="9"/>
      <color rgb="FF000000"/>
      <name val="Times New Roman"/>
      <family val="1"/>
    </font>
    <font>
      <sz val="9"/>
      <color rgb="FF000000"/>
      <name val="&amp;quot"/>
    </font>
    <font>
      <sz val="9"/>
      <name val="Arial"/>
      <family val="2"/>
    </font>
    <font>
      <b/>
      <u/>
      <sz val="9"/>
      <color rgb="FF000000"/>
      <name val="Times New Roman"/>
      <family val="1"/>
    </font>
    <font>
      <sz val="10"/>
      <name val="Calibri"/>
      <family val="2"/>
    </font>
    <font>
      <i/>
      <sz val="8"/>
      <name val="Arial"/>
      <family val="2"/>
    </font>
    <font>
      <b/>
      <u/>
      <sz val="9"/>
      <name val="Arial"/>
      <family val="2"/>
    </font>
    <font>
      <b/>
      <u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8"/>
      <name val="Times New Roman"/>
      <family val="1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sz val="11"/>
      <color rgb="FF00B0F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sz val="8"/>
      <color indexed="12"/>
      <name val="Arial"/>
      <family val="2"/>
    </font>
    <font>
      <b/>
      <sz val="11"/>
      <name val="Times New Roman"/>
      <family val="1"/>
    </font>
    <font>
      <b/>
      <i/>
      <sz val="10"/>
      <name val="Arial"/>
      <family val="2"/>
    </font>
    <font>
      <b/>
      <sz val="10"/>
      <name val="Times New Roman"/>
      <family val="1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b/>
      <sz val="10"/>
      <color rgb="FF000000"/>
      <name val="Times New Roman"/>
      <family val="1"/>
    </font>
    <font>
      <sz val="11"/>
      <color rgb="FF0066F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0066FF"/>
      <name val="Arial"/>
      <family val="2"/>
    </font>
    <font>
      <sz val="10"/>
      <color rgb="FF0066FF"/>
      <name val="Arial"/>
      <family val="2"/>
    </font>
    <font>
      <i/>
      <sz val="9"/>
      <color rgb="FF000000"/>
      <name val="Times New Roman"/>
      <family val="1"/>
    </font>
    <font>
      <i/>
      <sz val="9"/>
      <color rgb="FF000000"/>
      <name val="&amp;quot"/>
    </font>
    <font>
      <i/>
      <sz val="9"/>
      <name val="Arial"/>
      <family val="2"/>
    </font>
    <font>
      <b/>
      <sz val="10"/>
      <color rgb="FF0066FF"/>
      <name val="Arial"/>
      <family val="2"/>
    </font>
    <font>
      <b/>
      <sz val="16"/>
      <color rgb="FF00B0F0"/>
      <name val="Arial"/>
      <family val="2"/>
    </font>
    <font>
      <i/>
      <sz val="10"/>
      <color rgb="FF0066FF"/>
      <name val="Calibri"/>
      <family val="2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b/>
      <sz val="8"/>
      <color indexed="10"/>
      <name val="Arial"/>
      <family val="2"/>
    </font>
    <font>
      <b/>
      <sz val="9"/>
      <color theme="1"/>
      <name val="Arial"/>
      <family val="2"/>
    </font>
    <font>
      <b/>
      <sz val="18"/>
      <name val="Arial"/>
      <family val="2"/>
    </font>
    <font>
      <b/>
      <i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i/>
      <u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sz val="10"/>
      <color indexed="12"/>
      <name val="Arial"/>
      <family val="2"/>
    </font>
    <font>
      <i/>
      <sz val="10"/>
      <name val="Arial"/>
      <family val="2"/>
    </font>
    <font>
      <b/>
      <i/>
      <sz val="10"/>
      <color indexed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560">
    <xf numFmtId="0" fontId="0" fillId="0" borderId="0" xfId="0"/>
    <xf numFmtId="0" fontId="4" fillId="0" borderId="0" xfId="0" applyFont="1"/>
    <xf numFmtId="164" fontId="5" fillId="0" borderId="0" xfId="0" applyNumberFormat="1" applyFont="1"/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64" fontId="6" fillId="0" borderId="0" xfId="0" applyNumberFormat="1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64" fontId="9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horizontal="left" vertical="center"/>
    </xf>
    <xf numFmtId="164" fontId="11" fillId="0" borderId="0" xfId="0" applyNumberFormat="1" applyFont="1" applyAlignment="1">
      <alignment horizontal="right" vertical="center" wrapText="1"/>
    </xf>
    <xf numFmtId="164" fontId="12" fillId="0" borderId="2" xfId="0" applyNumberFormat="1" applyFont="1" applyBorder="1" applyAlignment="1">
      <alignment horizontal="right"/>
    </xf>
    <xf numFmtId="164" fontId="11" fillId="0" borderId="3" xfId="0" applyNumberFormat="1" applyFont="1" applyBorder="1" applyAlignment="1">
      <alignment horizontal="right" vertical="center" wrapText="1"/>
    </xf>
    <xf numFmtId="164" fontId="11" fillId="0" borderId="4" xfId="0" applyNumberFormat="1" applyFont="1" applyBorder="1" applyAlignment="1">
      <alignment horizontal="right" vertical="center" wrapText="1"/>
    </xf>
    <xf numFmtId="164" fontId="12" fillId="0" borderId="0" xfId="0" applyNumberFormat="1" applyFont="1" applyAlignment="1">
      <alignment horizontal="right"/>
    </xf>
    <xf numFmtId="164" fontId="4" fillId="0" borderId="0" xfId="0" applyNumberFormat="1" applyFont="1"/>
    <xf numFmtId="0" fontId="13" fillId="0" borderId="0" xfId="0" applyFont="1" applyAlignment="1">
      <alignment horizontal="left" vertical="center"/>
    </xf>
    <xf numFmtId="164" fontId="12" fillId="0" borderId="4" xfId="0" applyNumberFormat="1" applyFont="1" applyBorder="1" applyAlignment="1">
      <alignment horizontal="right"/>
    </xf>
    <xf numFmtId="0" fontId="12" fillId="0" borderId="0" xfId="0" applyFont="1"/>
    <xf numFmtId="0" fontId="14" fillId="0" borderId="0" xfId="0" applyFont="1" applyAlignment="1">
      <alignment vertical="center"/>
    </xf>
    <xf numFmtId="164" fontId="12" fillId="0" borderId="5" xfId="0" applyNumberFormat="1" applyFont="1" applyBorder="1" applyAlignment="1">
      <alignment horizontal="right"/>
    </xf>
    <xf numFmtId="164" fontId="7" fillId="0" borderId="2" xfId="0" applyNumberFormat="1" applyFont="1" applyBorder="1" applyAlignment="1">
      <alignment horizontal="right"/>
    </xf>
    <xf numFmtId="0" fontId="14" fillId="0" borderId="0" xfId="0" applyFont="1"/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164" fontId="15" fillId="0" borderId="0" xfId="0" applyNumberFormat="1" applyFont="1" applyAlignment="1">
      <alignment horizontal="right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16" fillId="0" borderId="0" xfId="0" applyFont="1" applyAlignment="1">
      <alignment horizontal="left" vertical="center"/>
    </xf>
    <xf numFmtId="164" fontId="7" fillId="0" borderId="5" xfId="0" applyNumberFormat="1" applyFont="1" applyBorder="1" applyAlignment="1">
      <alignment horizontal="right"/>
    </xf>
    <xf numFmtId="164" fontId="7" fillId="0" borderId="0" xfId="0" applyNumberFormat="1" applyFont="1" applyAlignment="1">
      <alignment horizontal="right"/>
    </xf>
    <xf numFmtId="164" fontId="7" fillId="0" borderId="4" xfId="0" applyNumberFormat="1" applyFont="1" applyBorder="1" applyAlignment="1">
      <alignment horizontal="right"/>
    </xf>
    <xf numFmtId="164" fontId="12" fillId="0" borderId="0" xfId="0" applyNumberFormat="1" applyFont="1"/>
    <xf numFmtId="164" fontId="4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165" fontId="12" fillId="0" borderId="0" xfId="3" applyNumberFormat="1" applyFont="1" applyFill="1" applyBorder="1" applyAlignment="1">
      <alignment horizontal="right"/>
    </xf>
    <xf numFmtId="166" fontId="12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0" fillId="0" borderId="8" xfId="0" applyBorder="1"/>
    <xf numFmtId="0" fontId="3" fillId="0" borderId="0" xfId="0" applyFont="1" applyAlignment="1">
      <alignment horizontal="center" vertical="center" wrapText="1"/>
    </xf>
    <xf numFmtId="14" fontId="19" fillId="0" borderId="6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0" fillId="2" borderId="0" xfId="0" applyFill="1"/>
    <xf numFmtId="0" fontId="0" fillId="0" borderId="0" xfId="0" applyAlignment="1">
      <alignment horizontal="center"/>
    </xf>
    <xf numFmtId="6" fontId="0" fillId="0" borderId="0" xfId="0" applyNumberFormat="1"/>
    <xf numFmtId="0" fontId="3" fillId="0" borderId="0" xfId="0" applyFont="1" applyAlignment="1">
      <alignment horizontal="right"/>
    </xf>
    <xf numFmtId="0" fontId="3" fillId="0" borderId="0" xfId="0" applyFont="1"/>
    <xf numFmtId="0" fontId="2" fillId="3" borderId="0" xfId="0" applyFont="1" applyFill="1"/>
    <xf numFmtId="0" fontId="2" fillId="3" borderId="12" xfId="0" applyFont="1" applyFill="1" applyBorder="1" applyAlignment="1">
      <alignment horizontal="center" vertical="center"/>
    </xf>
    <xf numFmtId="14" fontId="2" fillId="3" borderId="0" xfId="0" applyNumberFormat="1" applyFont="1" applyFill="1"/>
    <xf numFmtId="0" fontId="0" fillId="0" borderId="13" xfId="0" applyBorder="1"/>
    <xf numFmtId="0" fontId="6" fillId="4" borderId="1" xfId="0" quotePrefix="1" applyFont="1" applyFill="1" applyBorder="1" applyAlignment="1">
      <alignment horizontal="left" vertical="center" wrapText="1"/>
    </xf>
    <xf numFmtId="14" fontId="6" fillId="4" borderId="14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168" fontId="23" fillId="0" borderId="0" xfId="1" applyNumberFormat="1" applyFont="1"/>
    <xf numFmtId="0" fontId="24" fillId="0" borderId="15" xfId="0" applyFont="1" applyBorder="1"/>
    <xf numFmtId="168" fontId="0" fillId="0" borderId="4" xfId="0" applyNumberFormat="1" applyBorder="1"/>
    <xf numFmtId="44" fontId="0" fillId="0" borderId="16" xfId="2" applyFont="1" applyBorder="1" applyAlignment="1"/>
    <xf numFmtId="168" fontId="0" fillId="0" borderId="2" xfId="0" applyNumberFormat="1" applyBorder="1"/>
    <xf numFmtId="0" fontId="24" fillId="0" borderId="18" xfId="0" applyFont="1" applyBorder="1"/>
    <xf numFmtId="168" fontId="0" fillId="0" borderId="19" xfId="0" applyNumberFormat="1" applyBorder="1"/>
    <xf numFmtId="168" fontId="0" fillId="0" borderId="0" xfId="1" applyNumberFormat="1" applyFont="1"/>
    <xf numFmtId="168" fontId="0" fillId="0" borderId="0" xfId="0" applyNumberFormat="1"/>
    <xf numFmtId="168" fontId="0" fillId="0" borderId="21" xfId="0" applyNumberFormat="1" applyBorder="1"/>
    <xf numFmtId="168" fontId="0" fillId="0" borderId="20" xfId="1" applyNumberFormat="1" applyFont="1" applyBorder="1"/>
    <xf numFmtId="0" fontId="6" fillId="0" borderId="13" xfId="0" applyFont="1" applyBorder="1"/>
    <xf numFmtId="0" fontId="6" fillId="0" borderId="0" xfId="0" applyFont="1"/>
    <xf numFmtId="168" fontId="6" fillId="0" borderId="2" xfId="0" applyNumberFormat="1" applyFont="1" applyBorder="1"/>
    <xf numFmtId="44" fontId="0" fillId="0" borderId="0" xfId="2" applyFont="1"/>
    <xf numFmtId="0" fontId="20" fillId="0" borderId="30" xfId="0" applyFont="1" applyBorder="1" applyAlignment="1">
      <alignment horizontal="left" vertical="center" wrapText="1"/>
    </xf>
    <xf numFmtId="0" fontId="25" fillId="0" borderId="22" xfId="0" applyFont="1" applyBorder="1"/>
    <xf numFmtId="44" fontId="25" fillId="0" borderId="22" xfId="2" applyFont="1" applyBorder="1"/>
    <xf numFmtId="169" fontId="25" fillId="0" borderId="22" xfId="1" applyNumberFormat="1" applyFont="1" applyBorder="1"/>
    <xf numFmtId="43" fontId="25" fillId="0" borderId="22" xfId="1" applyFont="1" applyBorder="1"/>
    <xf numFmtId="43" fontId="25" fillId="0" borderId="31" xfId="1" applyFont="1" applyBorder="1"/>
    <xf numFmtId="43" fontId="25" fillId="0" borderId="4" xfId="1" applyFont="1" applyBorder="1"/>
    <xf numFmtId="43" fontId="26" fillId="5" borderId="16" xfId="1" applyFont="1" applyFill="1" applyBorder="1"/>
    <xf numFmtId="0" fontId="0" fillId="0" borderId="12" xfId="0" applyBorder="1"/>
    <xf numFmtId="0" fontId="20" fillId="0" borderId="32" xfId="0" applyFont="1" applyBorder="1" applyAlignment="1">
      <alignment horizontal="left" vertical="center" wrapText="1"/>
    </xf>
    <xf numFmtId="0" fontId="25" fillId="0" borderId="25" xfId="0" applyFont="1" applyBorder="1"/>
    <xf numFmtId="44" fontId="25" fillId="0" borderId="25" xfId="2" applyFont="1" applyBorder="1"/>
    <xf numFmtId="169" fontId="25" fillId="0" borderId="25" xfId="1" applyNumberFormat="1" applyFont="1" applyBorder="1"/>
    <xf numFmtId="43" fontId="25" fillId="0" borderId="33" xfId="1" applyFont="1" applyBorder="1"/>
    <xf numFmtId="43" fontId="25" fillId="0" borderId="19" xfId="1" applyFont="1" applyBorder="1"/>
    <xf numFmtId="43" fontId="26" fillId="5" borderId="34" xfId="1" applyFont="1" applyFill="1" applyBorder="1"/>
    <xf numFmtId="44" fontId="25" fillId="0" borderId="25" xfId="2" applyFont="1" applyFill="1" applyBorder="1"/>
    <xf numFmtId="44" fontId="25" fillId="0" borderId="25" xfId="2" applyFont="1" applyFill="1" applyBorder="1" applyAlignment="1">
      <alignment horizontal="center"/>
    </xf>
    <xf numFmtId="168" fontId="25" fillId="0" borderId="25" xfId="1" applyNumberFormat="1" applyFont="1" applyFill="1" applyBorder="1"/>
    <xf numFmtId="168" fontId="25" fillId="0" borderId="22" xfId="1" applyNumberFormat="1" applyFont="1" applyFill="1" applyBorder="1"/>
    <xf numFmtId="168" fontId="25" fillId="0" borderId="33" xfId="1" applyNumberFormat="1" applyFont="1" applyFill="1" applyBorder="1"/>
    <xf numFmtId="168" fontId="26" fillId="0" borderId="34" xfId="1" applyNumberFormat="1" applyFont="1" applyFill="1" applyBorder="1"/>
    <xf numFmtId="168" fontId="0" fillId="0" borderId="12" xfId="1" applyNumberFormat="1" applyFont="1" applyBorder="1"/>
    <xf numFmtId="0" fontId="0" fillId="0" borderId="2" xfId="0" applyBorder="1"/>
    <xf numFmtId="168" fontId="0" fillId="0" borderId="17" xfId="1" applyNumberFormat="1" applyFont="1" applyBorder="1"/>
    <xf numFmtId="168" fontId="0" fillId="0" borderId="2" xfId="1" applyNumberFormat="1" applyFont="1" applyBorder="1"/>
    <xf numFmtId="0" fontId="28" fillId="0" borderId="0" xfId="0" applyFont="1" applyAlignment="1">
      <alignment horizontal="left"/>
    </xf>
    <xf numFmtId="0" fontId="17" fillId="0" borderId="0" xfId="0" applyFont="1"/>
    <xf numFmtId="10" fontId="4" fillId="0" borderId="0" xfId="0" applyNumberFormat="1" applyFont="1"/>
    <xf numFmtId="0" fontId="25" fillId="0" borderId="0" xfId="0" quotePrefix="1" applyFont="1"/>
    <xf numFmtId="10" fontId="0" fillId="0" borderId="0" xfId="0" applyNumberFormat="1"/>
    <xf numFmtId="0" fontId="0" fillId="0" borderId="0" xfId="0" applyAlignment="1">
      <alignment horizontal="left"/>
    </xf>
    <xf numFmtId="10" fontId="0" fillId="0" borderId="0" xfId="3" applyNumberFormat="1" applyFont="1" applyAlignment="1">
      <alignment horizontal="right"/>
    </xf>
    <xf numFmtId="10" fontId="0" fillId="0" borderId="0" xfId="3" applyNumberFormat="1" applyFont="1"/>
    <xf numFmtId="8" fontId="4" fillId="0" borderId="0" xfId="0" applyNumberFormat="1" applyFont="1"/>
    <xf numFmtId="8" fontId="29" fillId="0" borderId="0" xfId="0" applyNumberFormat="1" applyFont="1"/>
    <xf numFmtId="0" fontId="0" fillId="0" borderId="0" xfId="0" quotePrefix="1"/>
    <xf numFmtId="44" fontId="4" fillId="0" borderId="0" xfId="2" applyFont="1" applyBorder="1"/>
    <xf numFmtId="10" fontId="6" fillId="0" borderId="0" xfId="3" applyNumberFormat="1" applyFont="1" applyFill="1" applyBorder="1"/>
    <xf numFmtId="0" fontId="30" fillId="0" borderId="0" xfId="0" applyFont="1" applyAlignment="1">
      <alignment horizontal="left"/>
    </xf>
    <xf numFmtId="0" fontId="25" fillId="0" borderId="22" xfId="0" applyFont="1" applyBorder="1" applyAlignment="1">
      <alignment horizontal="center"/>
    </xf>
    <xf numFmtId="44" fontId="25" fillId="7" borderId="22" xfId="2" applyFont="1" applyFill="1" applyBorder="1"/>
    <xf numFmtId="168" fontId="31" fillId="0" borderId="22" xfId="1" applyNumberFormat="1" applyFont="1" applyBorder="1"/>
    <xf numFmtId="168" fontId="25" fillId="0" borderId="22" xfId="1" applyNumberFormat="1" applyFont="1" applyBorder="1"/>
    <xf numFmtId="168" fontId="31" fillId="0" borderId="31" xfId="1" applyNumberFormat="1" applyFont="1" applyBorder="1"/>
    <xf numFmtId="168" fontId="31" fillId="0" borderId="35" xfId="1" applyNumberFormat="1" applyFont="1" applyBorder="1"/>
    <xf numFmtId="168" fontId="26" fillId="5" borderId="16" xfId="1" applyNumberFormat="1" applyFont="1" applyFill="1" applyBorder="1"/>
    <xf numFmtId="170" fontId="26" fillId="5" borderId="16" xfId="1" applyNumberFormat="1" applyFont="1" applyFill="1" applyBorder="1"/>
    <xf numFmtId="170" fontId="31" fillId="0" borderId="35" xfId="1" applyNumberFormat="1" applyFont="1" applyBorder="1" applyAlignment="1">
      <alignment horizontal="center"/>
    </xf>
    <xf numFmtId="44" fontId="25" fillId="7" borderId="25" xfId="2" applyFont="1" applyFill="1" applyBorder="1"/>
    <xf numFmtId="168" fontId="31" fillId="0" borderId="25" xfId="1" applyNumberFormat="1" applyFont="1" applyBorder="1"/>
    <xf numFmtId="168" fontId="31" fillId="0" borderId="33" xfId="1" applyNumberFormat="1" applyFont="1" applyBorder="1"/>
    <xf numFmtId="168" fontId="31" fillId="0" borderId="36" xfId="1" applyNumberFormat="1" applyFont="1" applyBorder="1"/>
    <xf numFmtId="170" fontId="31" fillId="0" borderId="36" xfId="1" applyNumberFormat="1" applyFont="1" applyBorder="1" applyAlignment="1">
      <alignment horizontal="center"/>
    </xf>
    <xf numFmtId="44" fontId="25" fillId="0" borderId="25" xfId="2" applyFont="1" applyBorder="1" applyAlignment="1">
      <alignment horizontal="center"/>
    </xf>
    <xf numFmtId="0" fontId="20" fillId="0" borderId="37" xfId="0" applyFont="1" applyBorder="1" applyAlignment="1">
      <alignment horizontal="left" vertical="center" wrapText="1"/>
    </xf>
    <xf numFmtId="44" fontId="25" fillId="0" borderId="38" xfId="2" applyFont="1" applyFill="1" applyBorder="1" applyAlignment="1">
      <alignment horizontal="center"/>
    </xf>
    <xf numFmtId="44" fontId="25" fillId="7" borderId="38" xfId="2" applyFont="1" applyFill="1" applyBorder="1"/>
    <xf numFmtId="168" fontId="31" fillId="0" borderId="38" xfId="1" applyNumberFormat="1" applyFont="1" applyBorder="1"/>
    <xf numFmtId="168" fontId="25" fillId="0" borderId="14" xfId="1" applyNumberFormat="1" applyFont="1" applyBorder="1"/>
    <xf numFmtId="168" fontId="31" fillId="0" borderId="39" xfId="1" applyNumberFormat="1" applyFont="1" applyBorder="1"/>
    <xf numFmtId="168" fontId="31" fillId="0" borderId="40" xfId="1" applyNumberFormat="1" applyFont="1" applyBorder="1"/>
    <xf numFmtId="168" fontId="26" fillId="5" borderId="41" xfId="1" applyNumberFormat="1" applyFont="1" applyFill="1" applyBorder="1"/>
    <xf numFmtId="170" fontId="26" fillId="5" borderId="41" xfId="1" applyNumberFormat="1" applyFont="1" applyFill="1" applyBorder="1"/>
    <xf numFmtId="170" fontId="31" fillId="0" borderId="40" xfId="1" applyNumberFormat="1" applyFont="1" applyBorder="1" applyAlignment="1">
      <alignment horizontal="center"/>
    </xf>
    <xf numFmtId="170" fontId="0" fillId="0" borderId="0" xfId="0" applyNumberFormat="1" applyAlignment="1">
      <alignment horizontal="center"/>
    </xf>
    <xf numFmtId="0" fontId="20" fillId="0" borderId="26" xfId="0" applyFont="1" applyBorder="1" applyAlignment="1">
      <alignment horizontal="left" vertical="center" wrapText="1"/>
    </xf>
    <xf numFmtId="44" fontId="25" fillId="0" borderId="27" xfId="2" applyFont="1" applyFill="1" applyBorder="1" applyAlignment="1">
      <alignment horizontal="center"/>
    </xf>
    <xf numFmtId="44" fontId="25" fillId="0" borderId="27" xfId="2" applyFont="1" applyFill="1" applyBorder="1" applyAlignment="1">
      <alignment horizontal="right"/>
    </xf>
    <xf numFmtId="168" fontId="25" fillId="0" borderId="27" xfId="1" applyNumberFormat="1" applyFont="1" applyBorder="1"/>
    <xf numFmtId="168" fontId="25" fillId="0" borderId="28" xfId="1" applyNumberFormat="1" applyFont="1" applyBorder="1"/>
    <xf numFmtId="168" fontId="25" fillId="0" borderId="29" xfId="1" applyNumberFormat="1" applyFont="1" applyBorder="1"/>
    <xf numFmtId="168" fontId="26" fillId="5" borderId="6" xfId="1" applyNumberFormat="1" applyFont="1" applyFill="1" applyBorder="1"/>
    <xf numFmtId="170" fontId="26" fillId="5" borderId="6" xfId="1" applyNumberFormat="1" applyFont="1" applyFill="1" applyBorder="1"/>
    <xf numFmtId="170" fontId="25" fillId="0" borderId="0" xfId="0" applyNumberFormat="1" applyFont="1"/>
    <xf numFmtId="170" fontId="0" fillId="0" borderId="0" xfId="0" applyNumberFormat="1"/>
    <xf numFmtId="170" fontId="26" fillId="0" borderId="0" xfId="0" applyNumberFormat="1" applyFont="1"/>
    <xf numFmtId="0" fontId="25" fillId="0" borderId="0" xfId="0" applyFont="1"/>
    <xf numFmtId="0" fontId="25" fillId="0" borderId="30" xfId="0" applyFont="1" applyBorder="1" applyAlignment="1">
      <alignment horizontal="left" vertical="center" wrapText="1"/>
    </xf>
    <xf numFmtId="44" fontId="25" fillId="0" borderId="22" xfId="2" applyFont="1" applyFill="1" applyBorder="1" applyAlignment="1">
      <alignment vertical="center"/>
    </xf>
    <xf numFmtId="168" fontId="25" fillId="0" borderId="22" xfId="1" applyNumberFormat="1" applyFont="1" applyFill="1" applyBorder="1" applyAlignment="1">
      <alignment vertical="center"/>
    </xf>
    <xf numFmtId="171" fontId="25" fillId="0" borderId="22" xfId="0" applyNumberFormat="1" applyFont="1" applyBorder="1" applyAlignment="1">
      <alignment vertical="center"/>
    </xf>
    <xf numFmtId="171" fontId="25" fillId="0" borderId="22" xfId="2" applyNumberFormat="1" applyFont="1" applyFill="1" applyBorder="1" applyAlignment="1">
      <alignment vertical="center"/>
    </xf>
    <xf numFmtId="170" fontId="25" fillId="0" borderId="35" xfId="0" applyNumberFormat="1" applyFont="1" applyBorder="1" applyAlignment="1">
      <alignment vertical="center"/>
    </xf>
    <xf numFmtId="0" fontId="25" fillId="0" borderId="30" xfId="0" applyFont="1" applyBorder="1"/>
    <xf numFmtId="171" fontId="25" fillId="0" borderId="22" xfId="2" applyNumberFormat="1" applyFont="1" applyBorder="1"/>
    <xf numFmtId="171" fontId="25" fillId="0" borderId="22" xfId="0" applyNumberFormat="1" applyFont="1" applyBorder="1"/>
    <xf numFmtId="170" fontId="25" fillId="0" borderId="35" xfId="0" applyNumberFormat="1" applyFont="1" applyBorder="1"/>
    <xf numFmtId="14" fontId="25" fillId="0" borderId="30" xfId="0" applyNumberFormat="1" applyFont="1" applyBorder="1" applyAlignment="1">
      <alignment horizontal="left"/>
    </xf>
    <xf numFmtId="0" fontId="25" fillId="0" borderId="32" xfId="0" applyFont="1" applyBorder="1"/>
    <xf numFmtId="168" fontId="25" fillId="0" borderId="25" xfId="1" applyNumberFormat="1" applyFont="1" applyBorder="1"/>
    <xf numFmtId="171" fontId="25" fillId="0" borderId="25" xfId="0" applyNumberFormat="1" applyFont="1" applyBorder="1"/>
    <xf numFmtId="171" fontId="25" fillId="0" borderId="25" xfId="2" applyNumberFormat="1" applyFont="1" applyBorder="1"/>
    <xf numFmtId="170" fontId="25" fillId="0" borderId="36" xfId="0" applyNumberFormat="1" applyFont="1" applyBorder="1"/>
    <xf numFmtId="0" fontId="25" fillId="0" borderId="37" xfId="0" applyFont="1" applyBorder="1"/>
    <xf numFmtId="44" fontId="25" fillId="0" borderId="38" xfId="2" applyFont="1" applyBorder="1"/>
    <xf numFmtId="168" fontId="25" fillId="0" borderId="38" xfId="1" applyNumberFormat="1" applyFont="1" applyBorder="1"/>
    <xf numFmtId="171" fontId="25" fillId="0" borderId="38" xfId="0" applyNumberFormat="1" applyFont="1" applyBorder="1"/>
    <xf numFmtId="171" fontId="25" fillId="0" borderId="38" xfId="2" applyNumberFormat="1" applyFont="1" applyBorder="1"/>
    <xf numFmtId="171" fontId="25" fillId="0" borderId="38" xfId="0" applyNumberFormat="1" applyFont="1" applyBorder="1" applyAlignment="1">
      <alignment vertical="center"/>
    </xf>
    <xf numFmtId="170" fontId="25" fillId="0" borderId="40" xfId="0" applyNumberFormat="1" applyFont="1" applyBorder="1"/>
    <xf numFmtId="0" fontId="6" fillId="0" borderId="22" xfId="0" applyFont="1" applyBorder="1"/>
    <xf numFmtId="170" fontId="26" fillId="0" borderId="22" xfId="0" applyNumberFormat="1" applyFont="1" applyBorder="1"/>
    <xf numFmtId="0" fontId="6" fillId="0" borderId="0" xfId="0" applyFont="1" applyAlignment="1">
      <alignment horizontal="right"/>
    </xf>
    <xf numFmtId="0" fontId="30" fillId="0" borderId="0" xfId="0" applyFont="1"/>
    <xf numFmtId="0" fontId="0" fillId="0" borderId="4" xfId="0" applyBorder="1"/>
    <xf numFmtId="0" fontId="15" fillId="0" borderId="4" xfId="0" applyFont="1" applyBorder="1" applyAlignment="1">
      <alignment horizontal="right"/>
    </xf>
    <xf numFmtId="0" fontId="15" fillId="0" borderId="4" xfId="0" applyFont="1" applyBorder="1" applyAlignment="1">
      <alignment horizontal="center"/>
    </xf>
    <xf numFmtId="0" fontId="15" fillId="0" borderId="0" xfId="0" applyFont="1" applyAlignment="1">
      <alignment horizontal="center"/>
    </xf>
    <xf numFmtId="168" fontId="0" fillId="0" borderId="0" xfId="1" applyNumberFormat="1" applyFont="1" applyBorder="1"/>
    <xf numFmtId="0" fontId="4" fillId="0" borderId="0" xfId="0" quotePrefix="1" applyFont="1" applyAlignment="1">
      <alignment shrinkToFit="1"/>
    </xf>
    <xf numFmtId="168" fontId="6" fillId="0" borderId="17" xfId="1" applyNumberFormat="1" applyFont="1" applyBorder="1"/>
    <xf numFmtId="168" fontId="6" fillId="0" borderId="2" xfId="1" applyNumberFormat="1" applyFont="1" applyBorder="1"/>
    <xf numFmtId="168" fontId="6" fillId="0" borderId="0" xfId="1" applyNumberFormat="1" applyFont="1" applyBorder="1"/>
    <xf numFmtId="168" fontId="0" fillId="0" borderId="4" xfId="1" applyNumberFormat="1" applyFont="1" applyBorder="1"/>
    <xf numFmtId="168" fontId="0" fillId="0" borderId="22" xfId="1" applyNumberFormat="1" applyFont="1" applyBorder="1"/>
    <xf numFmtId="0" fontId="0" fillId="0" borderId="5" xfId="0" applyBorder="1"/>
    <xf numFmtId="168" fontId="6" fillId="0" borderId="5" xfId="0" applyNumberFormat="1" applyFont="1" applyBorder="1"/>
    <xf numFmtId="168" fontId="6" fillId="0" borderId="20" xfId="0" applyNumberFormat="1" applyFont="1" applyBorder="1"/>
    <xf numFmtId="168" fontId="6" fillId="0" borderId="0" xfId="0" applyNumberFormat="1" applyFont="1"/>
    <xf numFmtId="0" fontId="6" fillId="0" borderId="4" xfId="0" applyFont="1" applyBorder="1"/>
    <xf numFmtId="168" fontId="6" fillId="0" borderId="4" xfId="0" applyNumberFormat="1" applyFont="1" applyBorder="1"/>
    <xf numFmtId="168" fontId="6" fillId="0" borderId="22" xfId="1" applyNumberFormat="1" applyFont="1" applyBorder="1"/>
    <xf numFmtId="0" fontId="33" fillId="0" borderId="0" xfId="0" applyFont="1"/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166" fontId="0" fillId="0" borderId="0" xfId="0" applyNumberFormat="1"/>
    <xf numFmtId="168" fontId="0" fillId="0" borderId="12" xfId="0" applyNumberFormat="1" applyBorder="1"/>
    <xf numFmtId="168" fontId="0" fillId="0" borderId="22" xfId="0" applyNumberFormat="1" applyBorder="1"/>
    <xf numFmtId="0" fontId="26" fillId="0" borderId="12" xfId="0" applyFont="1" applyBorder="1" applyAlignment="1">
      <alignment horizontal="center"/>
    </xf>
    <xf numFmtId="10" fontId="6" fillId="0" borderId="2" xfId="0" applyNumberFormat="1" applyFont="1" applyBorder="1"/>
    <xf numFmtId="0" fontId="0" fillId="0" borderId="17" xfId="0" applyBorder="1"/>
    <xf numFmtId="168" fontId="6" fillId="0" borderId="17" xfId="0" applyNumberFormat="1" applyFont="1" applyBorder="1"/>
    <xf numFmtId="172" fontId="6" fillId="0" borderId="12" xfId="1" applyNumberFormat="1" applyFont="1" applyBorder="1"/>
    <xf numFmtId="6" fontId="6" fillId="0" borderId="0" xfId="0" applyNumberFormat="1" applyFont="1"/>
    <xf numFmtId="43" fontId="0" fillId="0" borderId="0" xfId="0" applyNumberFormat="1"/>
    <xf numFmtId="6" fontId="6" fillId="0" borderId="2" xfId="0" applyNumberFormat="1" applyFont="1" applyBorder="1"/>
    <xf numFmtId="10" fontId="35" fillId="0" borderId="43" xfId="0" applyNumberFormat="1" applyFont="1" applyBorder="1"/>
    <xf numFmtId="168" fontId="6" fillId="0" borderId="13" xfId="1" applyNumberFormat="1" applyFont="1" applyBorder="1"/>
    <xf numFmtId="168" fontId="6" fillId="0" borderId="43" xfId="1" applyNumberFormat="1" applyFont="1" applyBorder="1"/>
    <xf numFmtId="0" fontId="17" fillId="0" borderId="0" xfId="0" applyFont="1" applyAlignment="1">
      <alignment horizontal="right"/>
    </xf>
    <xf numFmtId="6" fontId="17" fillId="0" borderId="0" xfId="0" applyNumberFormat="1" applyFont="1"/>
    <xf numFmtId="0" fontId="0" fillId="0" borderId="0" xfId="0" applyAlignment="1">
      <alignment horizontal="right"/>
    </xf>
    <xf numFmtId="170" fontId="6" fillId="0" borderId="43" xfId="0" applyNumberFormat="1" applyFont="1" applyBorder="1"/>
    <xf numFmtId="0" fontId="0" fillId="0" borderId="0" xfId="0" quotePrefix="1" applyAlignment="1">
      <alignment horizontal="right"/>
    </xf>
    <xf numFmtId="0" fontId="6" fillId="0" borderId="23" xfId="0" applyFont="1" applyBorder="1"/>
    <xf numFmtId="0" fontId="6" fillId="0" borderId="1" xfId="0" applyFont="1" applyBorder="1"/>
    <xf numFmtId="168" fontId="6" fillId="0" borderId="44" xfId="0" applyNumberFormat="1" applyFont="1" applyBorder="1"/>
    <xf numFmtId="164" fontId="7" fillId="0" borderId="0" xfId="0" applyNumberFormat="1" applyFont="1"/>
    <xf numFmtId="168" fontId="1" fillId="0" borderId="0" xfId="1" applyNumberFormat="1" applyFont="1"/>
    <xf numFmtId="168" fontId="0" fillId="0" borderId="0" xfId="0" applyNumberFormat="1" applyFont="1"/>
    <xf numFmtId="168" fontId="0" fillId="0" borderId="3" xfId="0" applyNumberFormat="1" applyFont="1" applyBorder="1"/>
    <xf numFmtId="168" fontId="0" fillId="0" borderId="19" xfId="1" applyNumberFormat="1" applyFont="1" applyBorder="1"/>
    <xf numFmtId="168" fontId="1" fillId="0" borderId="0" xfId="1" applyNumberFormat="1" applyFont="1" applyBorder="1"/>
    <xf numFmtId="0" fontId="37" fillId="0" borderId="47" xfId="0" applyFont="1" applyBorder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14" fontId="0" fillId="0" borderId="0" xfId="0" applyNumberFormat="1"/>
    <xf numFmtId="168" fontId="4" fillId="0" borderId="0" xfId="1" applyNumberFormat="1" applyFont="1"/>
    <xf numFmtId="168" fontId="38" fillId="0" borderId="0" xfId="1" applyNumberFormat="1" applyFont="1"/>
    <xf numFmtId="0" fontId="0" fillId="0" borderId="48" xfId="0" applyBorder="1"/>
    <xf numFmtId="168" fontId="1" fillId="0" borderId="12" xfId="1" applyNumberFormat="1" applyFont="1" applyBorder="1"/>
    <xf numFmtId="168" fontId="1" fillId="0" borderId="17" xfId="0" applyNumberFormat="1" applyFont="1" applyBorder="1"/>
    <xf numFmtId="168" fontId="1" fillId="0" borderId="46" xfId="1" applyNumberFormat="1" applyFont="1" applyBorder="1"/>
    <xf numFmtId="168" fontId="1" fillId="0" borderId="25" xfId="0" applyNumberFormat="1" applyFont="1" applyBorder="1"/>
    <xf numFmtId="168" fontId="1" fillId="0" borderId="12" xfId="0" applyNumberFormat="1" applyFont="1" applyBorder="1"/>
    <xf numFmtId="168" fontId="1" fillId="0" borderId="25" xfId="1" applyNumberFormat="1" applyFont="1" applyBorder="1"/>
    <xf numFmtId="0" fontId="1" fillId="0" borderId="12" xfId="0" applyFont="1" applyBorder="1"/>
    <xf numFmtId="168" fontId="38" fillId="0" borderId="0" xfId="0" applyNumberFormat="1" applyFont="1"/>
    <xf numFmtId="165" fontId="12" fillId="0" borderId="0" xfId="3" applyNumberFormat="1" applyFont="1" applyAlignment="1">
      <alignment horizontal="right"/>
    </xf>
    <xf numFmtId="165" fontId="0" fillId="0" borderId="0" xfId="0" applyNumberFormat="1"/>
    <xf numFmtId="165" fontId="38" fillId="0" borderId="0" xfId="0" applyNumberFormat="1" applyFont="1"/>
    <xf numFmtId="0" fontId="40" fillId="0" borderId="0" xfId="0" applyFont="1"/>
    <xf numFmtId="0" fontId="41" fillId="0" borderId="0" xfId="0" applyFont="1"/>
    <xf numFmtId="168" fontId="41" fillId="0" borderId="0" xfId="1" applyNumberFormat="1" applyFont="1"/>
    <xf numFmtId="0" fontId="38" fillId="0" borderId="0" xfId="0" applyFont="1"/>
    <xf numFmtId="168" fontId="9" fillId="0" borderId="0" xfId="1" applyNumberFormat="1" applyFont="1" applyAlignment="1">
      <alignment horizontal="right" vertical="center" wrapText="1"/>
    </xf>
    <xf numFmtId="168" fontId="11" fillId="0" borderId="0" xfId="1" applyNumberFormat="1" applyFont="1" applyAlignment="1">
      <alignment horizontal="right" vertical="center" wrapText="1"/>
    </xf>
    <xf numFmtId="168" fontId="12" fillId="0" borderId="5" xfId="1" applyNumberFormat="1" applyFont="1" applyBorder="1" applyAlignment="1">
      <alignment horizontal="right"/>
    </xf>
    <xf numFmtId="168" fontId="11" fillId="0" borderId="4" xfId="1" applyNumberFormat="1" applyFont="1" applyBorder="1" applyAlignment="1">
      <alignment horizontal="right" vertical="center" wrapText="1"/>
    </xf>
    <xf numFmtId="168" fontId="11" fillId="0" borderId="0" xfId="1" applyNumberFormat="1" applyFont="1" applyBorder="1" applyAlignment="1">
      <alignment horizontal="right" vertical="center" wrapText="1"/>
    </xf>
    <xf numFmtId="168" fontId="12" fillId="0" borderId="0" xfId="1" applyNumberFormat="1" applyFont="1" applyAlignment="1">
      <alignment horizontal="right"/>
    </xf>
    <xf numFmtId="168" fontId="12" fillId="0" borderId="2" xfId="1" applyNumberFormat="1" applyFont="1" applyBorder="1" applyAlignment="1">
      <alignment horizontal="right"/>
    </xf>
    <xf numFmtId="168" fontId="4" fillId="0" borderId="0" xfId="1" applyNumberFormat="1" applyFont="1" applyAlignment="1">
      <alignment horizontal="right"/>
    </xf>
    <xf numFmtId="168" fontId="12" fillId="0" borderId="0" xfId="1" applyNumberFormat="1" applyFont="1" applyBorder="1" applyAlignment="1">
      <alignment horizontal="right"/>
    </xf>
    <xf numFmtId="168" fontId="7" fillId="0" borderId="0" xfId="1" applyNumberFormat="1" applyFont="1" applyBorder="1" applyAlignment="1">
      <alignment horizontal="right"/>
    </xf>
    <xf numFmtId="168" fontId="9" fillId="0" borderId="2" xfId="1" applyNumberFormat="1" applyFont="1" applyBorder="1" applyAlignment="1">
      <alignment horizontal="right" vertical="center" wrapText="1"/>
    </xf>
    <xf numFmtId="168" fontId="11" fillId="0" borderId="2" xfId="1" applyNumberFormat="1" applyFont="1" applyBorder="1" applyAlignment="1">
      <alignment horizontal="right" vertical="center" wrapText="1"/>
    </xf>
    <xf numFmtId="168" fontId="9" fillId="0" borderId="0" xfId="1" applyNumberFormat="1" applyFont="1" applyBorder="1" applyAlignment="1">
      <alignment horizontal="right" vertical="center" wrapText="1"/>
    </xf>
    <xf numFmtId="0" fontId="42" fillId="0" borderId="0" xfId="0" applyFont="1" applyAlignment="1">
      <alignment horizontal="left" vertical="center"/>
    </xf>
    <xf numFmtId="168" fontId="43" fillId="0" borderId="0" xfId="1" applyNumberFormat="1" applyFont="1" applyAlignment="1">
      <alignment horizontal="right" vertical="center" wrapText="1"/>
    </xf>
    <xf numFmtId="165" fontId="44" fillId="0" borderId="0" xfId="3" applyNumberFormat="1" applyFont="1" applyBorder="1" applyAlignment="1">
      <alignment horizontal="right"/>
    </xf>
    <xf numFmtId="165" fontId="43" fillId="0" borderId="0" xfId="3" applyNumberFormat="1" applyFont="1" applyAlignment="1">
      <alignment horizontal="right" vertical="center" wrapText="1"/>
    </xf>
    <xf numFmtId="168" fontId="7" fillId="0" borderId="5" xfId="1" applyNumberFormat="1" applyFont="1" applyBorder="1" applyAlignment="1">
      <alignment horizontal="right"/>
    </xf>
    <xf numFmtId="0" fontId="0" fillId="0" borderId="0" xfId="0" applyBorder="1"/>
    <xf numFmtId="0" fontId="12" fillId="0" borderId="15" xfId="0" applyFont="1" applyBorder="1"/>
    <xf numFmtId="168" fontId="4" fillId="0" borderId="4" xfId="0" applyNumberFormat="1" applyFont="1" applyBorder="1"/>
    <xf numFmtId="0" fontId="18" fillId="0" borderId="8" xfId="4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3" fillId="0" borderId="7" xfId="0" applyFont="1" applyBorder="1" applyAlignment="1">
      <alignment horizontal="right" vertical="center" wrapText="1"/>
    </xf>
    <xf numFmtId="8" fontId="41" fillId="0" borderId="0" xfId="0" applyNumberFormat="1" applyFont="1"/>
    <xf numFmtId="0" fontId="47" fillId="0" borderId="0" xfId="0" applyFont="1"/>
    <xf numFmtId="165" fontId="0" fillId="0" borderId="25" xfId="3" applyNumberFormat="1" applyFont="1" applyBorder="1" applyAlignment="1">
      <alignment horizontal="center"/>
    </xf>
    <xf numFmtId="0" fontId="45" fillId="0" borderId="0" xfId="0" applyFont="1" applyAlignment="1">
      <alignment horizontal="right"/>
    </xf>
    <xf numFmtId="165" fontId="25" fillId="0" borderId="0" xfId="3" applyNumberFormat="1" applyFont="1" applyBorder="1"/>
    <xf numFmtId="165" fontId="25" fillId="0" borderId="12" xfId="3" applyNumberFormat="1" applyFont="1" applyBorder="1"/>
    <xf numFmtId="168" fontId="6" fillId="0" borderId="49" xfId="1" applyNumberFormat="1" applyFont="1" applyBorder="1"/>
    <xf numFmtId="168" fontId="6" fillId="0" borderId="0" xfId="0" applyNumberFormat="1" applyFont="1" applyBorder="1"/>
    <xf numFmtId="168" fontId="4" fillId="0" borderId="0" xfId="1" applyNumberFormat="1" applyFont="1" applyBorder="1"/>
    <xf numFmtId="168" fontId="4" fillId="0" borderId="4" xfId="0" applyNumberFormat="1" applyFont="1" applyBorder="1" applyAlignment="1">
      <alignment horizontal="center" vertical="center"/>
    </xf>
    <xf numFmtId="168" fontId="0" fillId="0" borderId="4" xfId="0" applyNumberFormat="1" applyBorder="1" applyAlignment="1">
      <alignment horizontal="center" vertical="center"/>
    </xf>
    <xf numFmtId="168" fontId="0" fillId="0" borderId="4" xfId="0" applyNumberFormat="1" applyFont="1" applyBorder="1" applyAlignment="1">
      <alignment horizontal="center" vertical="center"/>
    </xf>
    <xf numFmtId="168" fontId="0" fillId="0" borderId="0" xfId="0" applyNumberFormat="1" applyFont="1" applyAlignment="1">
      <alignment horizontal="center" vertical="center"/>
    </xf>
    <xf numFmtId="165" fontId="0" fillId="0" borderId="0" xfId="3" applyNumberFormat="1" applyFont="1" applyAlignment="1">
      <alignment horizontal="left"/>
    </xf>
    <xf numFmtId="44" fontId="6" fillId="0" borderId="50" xfId="2" applyFont="1" applyBorder="1" applyAlignment="1"/>
    <xf numFmtId="168" fontId="4" fillId="0" borderId="5" xfId="0" applyNumberFormat="1" applyFont="1" applyBorder="1" applyAlignment="1">
      <alignment horizontal="center" vertical="center"/>
    </xf>
    <xf numFmtId="0" fontId="0" fillId="0" borderId="7" xfId="0" applyBorder="1"/>
    <xf numFmtId="10" fontId="29" fillId="0" borderId="0" xfId="0" applyNumberFormat="1" applyFont="1"/>
    <xf numFmtId="10" fontId="45" fillId="0" borderId="0" xfId="0" applyNumberFormat="1" applyFont="1"/>
    <xf numFmtId="170" fontId="49" fillId="0" borderId="29" xfId="1" applyNumberFormat="1" applyFont="1" applyBorder="1" applyAlignment="1">
      <alignment horizontal="center"/>
    </xf>
    <xf numFmtId="0" fontId="46" fillId="0" borderId="6" xfId="0" applyFont="1" applyBorder="1" applyAlignment="1">
      <alignment vertical="center"/>
    </xf>
    <xf numFmtId="10" fontId="38" fillId="0" borderId="0" xfId="0" applyNumberFormat="1" applyFont="1"/>
    <xf numFmtId="0" fontId="25" fillId="0" borderId="0" xfId="0" quotePrefix="1" applyFont="1" applyAlignment="1">
      <alignment horizontal="center" shrinkToFit="1"/>
    </xf>
    <xf numFmtId="0" fontId="32" fillId="0" borderId="0" xfId="0" applyFont="1"/>
    <xf numFmtId="4" fontId="0" fillId="0" borderId="0" xfId="0" applyNumberFormat="1"/>
    <xf numFmtId="165" fontId="12" fillId="0" borderId="0" xfId="3" applyNumberFormat="1" applyFont="1" applyFill="1" applyAlignment="1">
      <alignment horizontal="right"/>
    </xf>
    <xf numFmtId="164" fontId="12" fillId="0" borderId="0" xfId="0" applyNumberFormat="1" applyFont="1" applyFill="1" applyAlignment="1">
      <alignment horizontal="right"/>
    </xf>
    <xf numFmtId="165" fontId="12" fillId="8" borderId="0" xfId="3" applyNumberFormat="1" applyFont="1" applyFill="1" applyAlignment="1">
      <alignment horizontal="right"/>
    </xf>
    <xf numFmtId="165" fontId="38" fillId="0" borderId="0" xfId="0" applyNumberFormat="1" applyFont="1" applyFill="1"/>
    <xf numFmtId="164" fontId="6" fillId="9" borderId="0" xfId="0" applyNumberFormat="1" applyFont="1" applyFill="1"/>
    <xf numFmtId="164" fontId="35" fillId="9" borderId="4" xfId="0" quotePrefix="1" applyNumberFormat="1" applyFont="1" applyFill="1" applyBorder="1" applyAlignment="1">
      <alignment horizontal="right"/>
    </xf>
    <xf numFmtId="164" fontId="7" fillId="9" borderId="1" xfId="0" quotePrefix="1" applyNumberFormat="1" applyFont="1" applyFill="1" applyBorder="1" applyAlignment="1">
      <alignment horizontal="left" vertical="center"/>
    </xf>
    <xf numFmtId="1" fontId="6" fillId="9" borderId="1" xfId="0" applyNumberFormat="1" applyFont="1" applyFill="1" applyBorder="1" applyAlignment="1">
      <alignment horizontal="right" vertical="center"/>
    </xf>
    <xf numFmtId="164" fontId="35" fillId="9" borderId="4" xfId="0" applyNumberFormat="1" applyFont="1" applyFill="1" applyBorder="1" applyAlignment="1">
      <alignment horizontal="right"/>
    </xf>
    <xf numFmtId="164" fontId="27" fillId="10" borderId="0" xfId="0" applyNumberFormat="1" applyFont="1" applyFill="1"/>
    <xf numFmtId="164" fontId="22" fillId="10" borderId="0" xfId="0" applyNumberFormat="1" applyFont="1" applyFill="1" applyAlignment="1">
      <alignment horizontal="right"/>
    </xf>
    <xf numFmtId="0" fontId="22" fillId="10" borderId="0" xfId="0" applyFont="1" applyFill="1" applyAlignment="1">
      <alignment horizontal="right"/>
    </xf>
    <xf numFmtId="0" fontId="22" fillId="10" borderId="0" xfId="0" applyFont="1" applyFill="1"/>
    <xf numFmtId="168" fontId="22" fillId="10" borderId="0" xfId="1" applyNumberFormat="1" applyFont="1" applyFill="1"/>
    <xf numFmtId="164" fontId="6" fillId="11" borderId="0" xfId="0" applyNumberFormat="1" applyFont="1" applyFill="1"/>
    <xf numFmtId="164" fontId="35" fillId="11" borderId="4" xfId="0" quotePrefix="1" applyNumberFormat="1" applyFont="1" applyFill="1" applyBorder="1" applyAlignment="1">
      <alignment horizontal="right"/>
    </xf>
    <xf numFmtId="164" fontId="35" fillId="11" borderId="4" xfId="0" applyNumberFormat="1" applyFont="1" applyFill="1" applyBorder="1" applyAlignment="1">
      <alignment horizontal="right" wrapText="1"/>
    </xf>
    <xf numFmtId="164" fontId="7" fillId="11" borderId="1" xfId="0" quotePrefix="1" applyNumberFormat="1" applyFont="1" applyFill="1" applyBorder="1" applyAlignment="1">
      <alignment horizontal="left" vertical="center"/>
    </xf>
    <xf numFmtId="1" fontId="6" fillId="11" borderId="1" xfId="0" applyNumberFormat="1" applyFont="1" applyFill="1" applyBorder="1" applyAlignment="1">
      <alignment horizontal="right" vertical="center"/>
    </xf>
    <xf numFmtId="164" fontId="35" fillId="11" borderId="4" xfId="0" applyNumberFormat="1" applyFont="1" applyFill="1" applyBorder="1" applyAlignment="1">
      <alignment horizontal="center"/>
    </xf>
    <xf numFmtId="0" fontId="6" fillId="11" borderId="0" xfId="0" applyFont="1" applyFill="1"/>
    <xf numFmtId="0" fontId="4" fillId="11" borderId="0" xfId="0" applyFont="1" applyFill="1"/>
    <xf numFmtId="0" fontId="6" fillId="11" borderId="1" xfId="0" applyFont="1" applyFill="1" applyBorder="1" applyAlignment="1">
      <alignment horizontal="center" wrapText="1"/>
    </xf>
    <xf numFmtId="0" fontId="6" fillId="11" borderId="6" xfId="0" applyFont="1" applyFill="1" applyBorder="1" applyAlignment="1">
      <alignment horizontal="center" wrapText="1"/>
    </xf>
    <xf numFmtId="0" fontId="6" fillId="11" borderId="1" xfId="0" applyFont="1" applyFill="1" applyBorder="1" applyAlignment="1">
      <alignment horizontal="center" vertical="center" wrapText="1"/>
    </xf>
    <xf numFmtId="0" fontId="21" fillId="10" borderId="10" xfId="0" applyFont="1" applyFill="1" applyBorder="1"/>
    <xf numFmtId="0" fontId="22" fillId="10" borderId="11" xfId="0" applyFont="1" applyFill="1" applyBorder="1"/>
    <xf numFmtId="0" fontId="22" fillId="10" borderId="51" xfId="0" applyFont="1" applyFill="1" applyBorder="1"/>
    <xf numFmtId="0" fontId="21" fillId="10" borderId="0" xfId="0" applyFont="1" applyFill="1" applyAlignment="1">
      <alignment horizontal="left"/>
    </xf>
    <xf numFmtId="6" fontId="22" fillId="10" borderId="0" xfId="0" applyNumberFormat="1" applyFont="1" applyFill="1"/>
    <xf numFmtId="0" fontId="27" fillId="10" borderId="0" xfId="0" applyFont="1" applyFill="1"/>
    <xf numFmtId="0" fontId="21" fillId="10" borderId="0" xfId="0" applyFont="1" applyFill="1"/>
    <xf numFmtId="0" fontId="0" fillId="10" borderId="0" xfId="0" applyFill="1"/>
    <xf numFmtId="0" fontId="6" fillId="11" borderId="26" xfId="0" applyFont="1" applyFill="1" applyBorder="1"/>
    <xf numFmtId="0" fontId="6" fillId="11" borderId="27" xfId="0" applyFont="1" applyFill="1" applyBorder="1" applyAlignment="1">
      <alignment horizontal="center"/>
    </xf>
    <xf numFmtId="0" fontId="6" fillId="11" borderId="27" xfId="0" applyFont="1" applyFill="1" applyBorder="1" applyAlignment="1">
      <alignment horizontal="center" wrapText="1"/>
    </xf>
    <xf numFmtId="0" fontId="6" fillId="11" borderId="28" xfId="0" applyFont="1" applyFill="1" applyBorder="1" applyAlignment="1">
      <alignment horizontal="center" wrapText="1"/>
    </xf>
    <xf numFmtId="0" fontId="6" fillId="11" borderId="29" xfId="0" applyFont="1" applyFill="1" applyBorder="1" applyAlignment="1">
      <alignment horizontal="center" wrapText="1"/>
    </xf>
    <xf numFmtId="14" fontId="6" fillId="11" borderId="27" xfId="0" applyNumberFormat="1" applyFont="1" applyFill="1" applyBorder="1" applyAlignment="1">
      <alignment horizontal="center" wrapText="1"/>
    </xf>
    <xf numFmtId="0" fontId="3" fillId="11" borderId="25" xfId="0" applyFont="1" applyFill="1" applyBorder="1" applyAlignment="1">
      <alignment horizontal="center" wrapText="1"/>
    </xf>
    <xf numFmtId="0" fontId="6" fillId="11" borderId="7" xfId="0" applyFont="1" applyFill="1" applyBorder="1" applyAlignment="1">
      <alignment horizontal="center" vertical="center" wrapText="1"/>
    </xf>
    <xf numFmtId="0" fontId="6" fillId="11" borderId="42" xfId="0" applyFont="1" applyFill="1" applyBorder="1" applyAlignment="1">
      <alignment horizontal="center" vertical="center" wrapText="1"/>
    </xf>
    <xf numFmtId="0" fontId="6" fillId="11" borderId="27" xfId="0" applyFont="1" applyFill="1" applyBorder="1" applyAlignment="1">
      <alignment horizontal="center" vertical="center" wrapText="1"/>
    </xf>
    <xf numFmtId="0" fontId="6" fillId="11" borderId="29" xfId="0" applyFont="1" applyFill="1" applyBorder="1" applyAlignment="1">
      <alignment horizontal="center" vertical="center" wrapText="1"/>
    </xf>
    <xf numFmtId="0" fontId="32" fillId="11" borderId="7" xfId="0" applyFont="1" applyFill="1" applyBorder="1" applyAlignment="1">
      <alignment horizontal="left" vertical="center"/>
    </xf>
    <xf numFmtId="0" fontId="32" fillId="11" borderId="8" xfId="0" applyFont="1" applyFill="1" applyBorder="1" applyAlignment="1">
      <alignment horizontal="left" vertical="center"/>
    </xf>
    <xf numFmtId="0" fontId="32" fillId="11" borderId="9" xfId="0" applyFont="1" applyFill="1" applyBorder="1" applyAlignment="1">
      <alignment horizontal="left" vertical="center"/>
    </xf>
    <xf numFmtId="0" fontId="34" fillId="11" borderId="7" xfId="0" applyFont="1" applyFill="1" applyBorder="1" applyAlignment="1">
      <alignment horizontal="left" vertical="center"/>
    </xf>
    <xf numFmtId="14" fontId="6" fillId="11" borderId="8" xfId="0" applyNumberFormat="1" applyFont="1" applyFill="1" applyBorder="1" applyAlignment="1">
      <alignment horizontal="right"/>
    </xf>
    <xf numFmtId="14" fontId="6" fillId="11" borderId="27" xfId="0" applyNumberFormat="1" applyFont="1" applyFill="1" applyBorder="1" applyAlignment="1">
      <alignment horizontal="right"/>
    </xf>
    <xf numFmtId="14" fontId="6" fillId="11" borderId="9" xfId="0" applyNumberFormat="1" applyFont="1" applyFill="1" applyBorder="1" applyAlignment="1">
      <alignment horizontal="right"/>
    </xf>
    <xf numFmtId="0" fontId="6" fillId="11" borderId="20" xfId="0" applyFont="1" applyFill="1" applyBorder="1" applyAlignment="1">
      <alignment horizontal="center"/>
    </xf>
    <xf numFmtId="170" fontId="50" fillId="0" borderId="0" xfId="0" applyNumberFormat="1" applyFont="1"/>
    <xf numFmtId="0" fontId="51" fillId="8" borderId="25" xfId="0" applyFont="1" applyFill="1" applyBorder="1" applyAlignment="1">
      <alignment horizontal="center" vertical="center"/>
    </xf>
    <xf numFmtId="168" fontId="31" fillId="0" borderId="16" xfId="1" applyNumberFormat="1" applyFont="1" applyBorder="1"/>
    <xf numFmtId="168" fontId="31" fillId="0" borderId="34" xfId="1" applyNumberFormat="1" applyFont="1" applyBorder="1"/>
    <xf numFmtId="168" fontId="31" fillId="0" borderId="52" xfId="1" applyNumberFormat="1" applyFont="1" applyBorder="1"/>
    <xf numFmtId="0" fontId="6" fillId="8" borderId="28" xfId="0" applyFont="1" applyFill="1" applyBorder="1" applyAlignment="1">
      <alignment horizontal="center" wrapText="1"/>
    </xf>
    <xf numFmtId="168" fontId="31" fillId="8" borderId="31" xfId="1" applyNumberFormat="1" applyFont="1" applyFill="1" applyBorder="1"/>
    <xf numFmtId="168" fontId="31" fillId="8" borderId="33" xfId="1" applyNumberFormat="1" applyFont="1" applyFill="1" applyBorder="1"/>
    <xf numFmtId="168" fontId="31" fillId="8" borderId="39" xfId="1" applyNumberFormat="1" applyFont="1" applyFill="1" applyBorder="1"/>
    <xf numFmtId="168" fontId="26" fillId="8" borderId="28" xfId="1" applyNumberFormat="1" applyFont="1" applyFill="1" applyBorder="1"/>
    <xf numFmtId="44" fontId="3" fillId="2" borderId="6" xfId="0" applyNumberFormat="1" applyFont="1" applyFill="1" applyBorder="1"/>
    <xf numFmtId="44" fontId="6" fillId="6" borderId="6" xfId="2" applyFont="1" applyFill="1" applyBorder="1"/>
    <xf numFmtId="0" fontId="6" fillId="6" borderId="0" xfId="0" applyFont="1" applyFill="1" applyAlignment="1">
      <alignment horizontal="right"/>
    </xf>
    <xf numFmtId="0" fontId="32" fillId="0" borderId="7" xfId="0" applyFont="1" applyFill="1" applyBorder="1" applyAlignment="1">
      <alignment horizontal="left" vertical="center" wrapText="1"/>
    </xf>
    <xf numFmtId="168" fontId="6" fillId="0" borderId="9" xfId="0" applyNumberFormat="1" applyFont="1" applyFill="1" applyBorder="1"/>
    <xf numFmtId="0" fontId="0" fillId="0" borderId="8" xfId="0" applyFill="1" applyBorder="1"/>
    <xf numFmtId="10" fontId="6" fillId="0" borderId="6" xfId="3" applyNumberFormat="1" applyFont="1" applyFill="1" applyBorder="1"/>
    <xf numFmtId="0" fontId="34" fillId="11" borderId="9" xfId="0" applyFont="1" applyFill="1" applyBorder="1" applyAlignment="1">
      <alignment horizontal="left" vertical="center"/>
    </xf>
    <xf numFmtId="0" fontId="32" fillId="11" borderId="8" xfId="0" applyFont="1" applyFill="1" applyBorder="1" applyAlignment="1">
      <alignment horizontal="center" vertical="center"/>
    </xf>
    <xf numFmtId="165" fontId="6" fillId="0" borderId="0" xfId="3" applyNumberFormat="1" applyFont="1" applyFill="1" applyBorder="1" applyAlignment="1">
      <alignment horizontal="center"/>
    </xf>
    <xf numFmtId="165" fontId="6" fillId="0" borderId="44" xfId="3" applyNumberFormat="1" applyFont="1" applyFill="1" applyBorder="1" applyAlignment="1">
      <alignment horizontal="center"/>
    </xf>
    <xf numFmtId="0" fontId="32" fillId="11" borderId="9" xfId="0" applyFont="1" applyFill="1" applyBorder="1" applyAlignment="1">
      <alignment horizontal="center" vertical="center"/>
    </xf>
    <xf numFmtId="10" fontId="38" fillId="0" borderId="6" xfId="0" applyNumberFormat="1" applyFont="1" applyBorder="1" applyAlignment="1">
      <alignment horizontal="center"/>
    </xf>
    <xf numFmtId="14" fontId="6" fillId="11" borderId="7" xfId="0" quotePrefix="1" applyNumberFormat="1" applyFont="1" applyFill="1" applyBorder="1" applyAlignment="1">
      <alignment horizontal="center"/>
    </xf>
    <xf numFmtId="14" fontId="6" fillId="11" borderId="8" xfId="0" quotePrefix="1" applyNumberFormat="1" applyFont="1" applyFill="1" applyBorder="1" applyAlignment="1">
      <alignment horizontal="center"/>
    </xf>
    <xf numFmtId="14" fontId="6" fillId="11" borderId="42" xfId="0" quotePrefix="1" applyNumberFormat="1" applyFont="1" applyFill="1" applyBorder="1" applyAlignment="1">
      <alignment horizontal="center"/>
    </xf>
    <xf numFmtId="168" fontId="4" fillId="0" borderId="53" xfId="1" applyNumberFormat="1" applyFont="1" applyBorder="1"/>
    <xf numFmtId="0" fontId="0" fillId="0" borderId="53" xfId="0" applyBorder="1"/>
    <xf numFmtId="168" fontId="0" fillId="0" borderId="53" xfId="1" applyNumberFormat="1" applyFont="1" applyBorder="1"/>
    <xf numFmtId="165" fontId="25" fillId="0" borderId="53" xfId="3" applyNumberFormat="1" applyFont="1" applyBorder="1"/>
    <xf numFmtId="168" fontId="0" fillId="0" borderId="54" xfId="1" applyNumberFormat="1" applyFont="1" applyBorder="1"/>
    <xf numFmtId="10" fontId="3" fillId="0" borderId="23" xfId="3" applyNumberFormat="1" applyFont="1" applyBorder="1"/>
    <xf numFmtId="168" fontId="6" fillId="0" borderId="24" xfId="1" applyNumberFormat="1" applyFont="1" applyBorder="1"/>
    <xf numFmtId="10" fontId="6" fillId="0" borderId="0" xfId="3" applyNumberFormat="1" applyFont="1" applyFill="1" applyBorder="1" applyAlignment="1">
      <alignment horizontal="center"/>
    </xf>
    <xf numFmtId="10" fontId="6" fillId="0" borderId="43" xfId="3" applyNumberFormat="1" applyFont="1" applyFill="1" applyBorder="1" applyAlignment="1">
      <alignment horizontal="center"/>
    </xf>
    <xf numFmtId="10" fontId="6" fillId="0" borderId="0" xfId="0" applyNumberFormat="1" applyFont="1" applyAlignment="1">
      <alignment horizontal="center"/>
    </xf>
    <xf numFmtId="10" fontId="6" fillId="0" borderId="44" xfId="3" applyNumberFormat="1" applyFont="1" applyFill="1" applyBorder="1" applyAlignment="1">
      <alignment horizontal="center"/>
    </xf>
    <xf numFmtId="10" fontId="6" fillId="0" borderId="44" xfId="0" applyNumberFormat="1" applyFont="1" applyBorder="1" applyAlignment="1">
      <alignment horizontal="center"/>
    </xf>
    <xf numFmtId="10" fontId="6" fillId="0" borderId="45" xfId="0" applyNumberFormat="1" applyFont="1" applyBorder="1" applyAlignment="1">
      <alignment horizontal="center"/>
    </xf>
    <xf numFmtId="168" fontId="45" fillId="0" borderId="4" xfId="0" applyNumberFormat="1" applyFont="1" applyBorder="1"/>
    <xf numFmtId="44" fontId="45" fillId="0" borderId="16" xfId="2" applyFont="1" applyBorder="1" applyAlignment="1"/>
    <xf numFmtId="0" fontId="39" fillId="10" borderId="0" xfId="0" applyFont="1" applyFill="1" applyAlignment="1">
      <alignment horizontal="center" vertical="center"/>
    </xf>
    <xf numFmtId="164" fontId="52" fillId="0" borderId="0" xfId="0" applyNumberFormat="1" applyFont="1" applyAlignment="1">
      <alignment horizontal="right"/>
    </xf>
    <xf numFmtId="164" fontId="27" fillId="10" borderId="0" xfId="0" applyNumberFormat="1" applyFont="1" applyFill="1" applyAlignment="1">
      <alignment vertical="center"/>
    </xf>
    <xf numFmtId="0" fontId="53" fillId="0" borderId="0" xfId="0" applyFont="1"/>
    <xf numFmtId="0" fontId="5" fillId="0" borderId="0" xfId="0" applyFont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26" fillId="0" borderId="12" xfId="0" applyFont="1" applyBorder="1" applyAlignment="1">
      <alignment horizontal="center" vertical="center"/>
    </xf>
    <xf numFmtId="0" fontId="57" fillId="0" borderId="0" xfId="0" applyFont="1"/>
    <xf numFmtId="166" fontId="58" fillId="0" borderId="51" xfId="1" applyNumberFormat="1" applyFont="1" applyBorder="1" applyAlignment="1">
      <alignment horizontal="center"/>
    </xf>
    <xf numFmtId="165" fontId="0" fillId="0" borderId="0" xfId="3" applyNumberFormat="1" applyFont="1" applyBorder="1"/>
    <xf numFmtId="173" fontId="4" fillId="0" borderId="0" xfId="0" applyNumberFormat="1" applyFont="1"/>
    <xf numFmtId="10" fontId="0" fillId="0" borderId="0" xfId="3" applyNumberFormat="1" applyFont="1" applyBorder="1" applyAlignment="1">
      <alignment horizontal="right"/>
    </xf>
    <xf numFmtId="166" fontId="0" fillId="0" borderId="0" xfId="0" applyNumberFormat="1" applyAlignment="1">
      <alignment horizontal="right"/>
    </xf>
    <xf numFmtId="166" fontId="58" fillId="0" borderId="16" xfId="1" applyNumberFormat="1" applyFont="1" applyBorder="1" applyAlignment="1">
      <alignment horizontal="center" vertical="center"/>
    </xf>
    <xf numFmtId="168" fontId="4" fillId="0" borderId="4" xfId="1" applyNumberFormat="1" applyFont="1" applyBorder="1"/>
    <xf numFmtId="165" fontId="0" fillId="0" borderId="4" xfId="3" applyNumberFormat="1" applyFont="1" applyBorder="1"/>
    <xf numFmtId="173" fontId="4" fillId="0" borderId="4" xfId="0" applyNumberFormat="1" applyFont="1" applyBorder="1"/>
    <xf numFmtId="10" fontId="0" fillId="0" borderId="4" xfId="3" applyNumberFormat="1" applyFont="1" applyBorder="1" applyAlignment="1">
      <alignment horizontal="right"/>
    </xf>
    <xf numFmtId="166" fontId="0" fillId="0" borderId="4" xfId="0" applyNumberFormat="1" applyBorder="1" applyAlignment="1">
      <alignment horizontal="right"/>
    </xf>
    <xf numFmtId="10" fontId="58" fillId="0" borderId="6" xfId="0" applyNumberFormat="1" applyFont="1" applyBorder="1" applyAlignment="1">
      <alignment horizontal="center"/>
    </xf>
    <xf numFmtId="10" fontId="58" fillId="0" borderId="41" xfId="0" applyNumberFormat="1" applyFont="1" applyBorder="1" applyAlignment="1">
      <alignment horizontal="center"/>
    </xf>
    <xf numFmtId="10" fontId="6" fillId="0" borderId="23" xfId="0" applyNumberFormat="1" applyFont="1" applyBorder="1" applyAlignment="1">
      <alignment horizontal="center"/>
    </xf>
    <xf numFmtId="166" fontId="58" fillId="0" borderId="41" xfId="1" applyNumberFormat="1" applyFont="1" applyBorder="1" applyAlignment="1">
      <alignment horizontal="center" vertical="center"/>
    </xf>
    <xf numFmtId="166" fontId="6" fillId="0" borderId="0" xfId="0" applyNumberFormat="1" applyFont="1" applyAlignment="1">
      <alignment horizontal="right"/>
    </xf>
    <xf numFmtId="166" fontId="6" fillId="0" borderId="0" xfId="1" applyNumberFormat="1" applyFont="1" applyBorder="1" applyAlignment="1">
      <alignment horizontal="center" vertical="center"/>
    </xf>
    <xf numFmtId="10" fontId="6" fillId="0" borderId="6" xfId="0" applyNumberFormat="1" applyFont="1" applyBorder="1"/>
    <xf numFmtId="165" fontId="0" fillId="0" borderId="2" xfId="3" applyNumberFormat="1" applyFont="1" applyBorder="1"/>
    <xf numFmtId="166" fontId="6" fillId="0" borderId="2" xfId="0" applyNumberFormat="1" applyFont="1" applyBorder="1" applyAlignment="1">
      <alignment horizontal="right"/>
    </xf>
    <xf numFmtId="0" fontId="0" fillId="0" borderId="23" xfId="0" applyBorder="1"/>
    <xf numFmtId="10" fontId="58" fillId="0" borderId="1" xfId="0" applyNumberFormat="1" applyFont="1" applyBorder="1" applyAlignment="1">
      <alignment horizontal="center"/>
    </xf>
    <xf numFmtId="0" fontId="0" fillId="0" borderId="24" xfId="0" applyBorder="1"/>
    <xf numFmtId="168" fontId="0" fillId="0" borderId="3" xfId="1" applyNumberFormat="1" applyFont="1" applyBorder="1"/>
    <xf numFmtId="0" fontId="57" fillId="0" borderId="0" xfId="0" applyFont="1" applyAlignment="1">
      <alignment vertical="center"/>
    </xf>
    <xf numFmtId="44" fontId="58" fillId="0" borderId="6" xfId="2" applyFont="1" applyBorder="1" applyAlignment="1">
      <alignment horizontal="center" vertical="center"/>
    </xf>
    <xf numFmtId="44" fontId="6" fillId="0" borderId="6" xfId="2" applyFont="1" applyBorder="1" applyAlignment="1">
      <alignment horizontal="center" vertical="center"/>
    </xf>
    <xf numFmtId="166" fontId="58" fillId="0" borderId="0" xfId="1" applyNumberFormat="1" applyFont="1" applyBorder="1" applyAlignment="1">
      <alignment horizontal="center" vertical="center"/>
    </xf>
    <xf numFmtId="165" fontId="0" fillId="0" borderId="0" xfId="3" applyNumberFormat="1" applyFont="1" applyBorder="1" applyAlignment="1">
      <alignment horizontal="right"/>
    </xf>
    <xf numFmtId="0" fontId="4" fillId="0" borderId="13" xfId="0" applyFont="1" applyBorder="1"/>
    <xf numFmtId="10" fontId="58" fillId="0" borderId="4" xfId="0" applyNumberFormat="1" applyFont="1" applyBorder="1"/>
    <xf numFmtId="168" fontId="58" fillId="0" borderId="4" xfId="1" quotePrefix="1" applyNumberFormat="1" applyFont="1" applyBorder="1"/>
    <xf numFmtId="165" fontId="0" fillId="0" borderId="4" xfId="3" applyNumberFormat="1" applyFont="1" applyBorder="1" applyAlignment="1">
      <alignment horizontal="right"/>
    </xf>
    <xf numFmtId="174" fontId="58" fillId="0" borderId="0" xfId="0" applyNumberFormat="1" applyFont="1"/>
    <xf numFmtId="165" fontId="58" fillId="0" borderId="0" xfId="3" applyNumberFormat="1" applyFont="1" applyBorder="1" applyAlignment="1">
      <alignment horizontal="center"/>
    </xf>
    <xf numFmtId="168" fontId="6" fillId="0" borderId="0" xfId="1" applyNumberFormat="1" applyFont="1"/>
    <xf numFmtId="168" fontId="0" fillId="0" borderId="0" xfId="1" applyNumberFormat="1" applyFont="1" applyFill="1" applyBorder="1"/>
    <xf numFmtId="165" fontId="0" fillId="0" borderId="2" xfId="0" applyNumberFormat="1" applyBorder="1"/>
    <xf numFmtId="168" fontId="0" fillId="0" borderId="1" xfId="1" applyNumberFormat="1" applyFont="1" applyBorder="1"/>
    <xf numFmtId="0" fontId="0" fillId="0" borderId="1" xfId="0" applyBorder="1"/>
    <xf numFmtId="168" fontId="6" fillId="0" borderId="21" xfId="0" applyNumberFormat="1" applyFont="1" applyBorder="1"/>
    <xf numFmtId="168" fontId="0" fillId="0" borderId="21" xfId="1" applyNumberFormat="1" applyFont="1" applyBorder="1"/>
    <xf numFmtId="0" fontId="6" fillId="0" borderId="21" xfId="0" quotePrefix="1" applyFont="1" applyBorder="1" applyAlignment="1">
      <alignment horizontal="center"/>
    </xf>
    <xf numFmtId="168" fontId="60" fillId="0" borderId="0" xfId="1" applyNumberFormat="1" applyFont="1"/>
    <xf numFmtId="168" fontId="58" fillId="0" borderId="0" xfId="1" applyNumberFormat="1" applyFont="1"/>
    <xf numFmtId="168" fontId="58" fillId="0" borderId="21" xfId="1" applyNumberFormat="1" applyFont="1" applyBorder="1"/>
    <xf numFmtId="10" fontId="6" fillId="0" borderId="21" xfId="3" applyNumberFormat="1" applyFont="1" applyBorder="1" applyAlignment="1">
      <alignment horizontal="center"/>
    </xf>
    <xf numFmtId="173" fontId="0" fillId="0" borderId="0" xfId="0" applyNumberFormat="1"/>
    <xf numFmtId="168" fontId="0" fillId="0" borderId="57" xfId="0" applyNumberFormat="1" applyBorder="1"/>
    <xf numFmtId="168" fontId="0" fillId="0" borderId="57" xfId="1" applyNumberFormat="1" applyFont="1" applyBorder="1"/>
    <xf numFmtId="10" fontId="61" fillId="0" borderId="0" xfId="3" applyNumberFormat="1" applyFont="1" applyBorder="1"/>
    <xf numFmtId="10" fontId="61" fillId="0" borderId="21" xfId="3" applyNumberFormat="1" applyFont="1" applyBorder="1"/>
    <xf numFmtId="173" fontId="61" fillId="0" borderId="0" xfId="0" applyNumberFormat="1" applyFont="1"/>
    <xf numFmtId="0" fontId="61" fillId="0" borderId="0" xfId="0" applyFont="1"/>
    <xf numFmtId="10" fontId="62" fillId="0" borderId="0" xfId="3" applyNumberFormat="1" applyFont="1" applyBorder="1"/>
    <xf numFmtId="0" fontId="0" fillId="0" borderId="21" xfId="0" applyBorder="1"/>
    <xf numFmtId="173" fontId="33" fillId="0" borderId="0" xfId="0" applyNumberFormat="1" applyFont="1"/>
    <xf numFmtId="168" fontId="60" fillId="0" borderId="21" xfId="1" applyNumberFormat="1" applyFont="1" applyBorder="1"/>
    <xf numFmtId="10" fontId="6" fillId="0" borderId="21" xfId="0" applyNumberFormat="1" applyFont="1" applyBorder="1" applyAlignment="1">
      <alignment horizontal="center"/>
    </xf>
    <xf numFmtId="168" fontId="0" fillId="0" borderId="41" xfId="0" applyNumberFormat="1" applyBorder="1"/>
    <xf numFmtId="168" fontId="0" fillId="0" borderId="41" xfId="1" applyNumberFormat="1" applyFont="1" applyBorder="1"/>
    <xf numFmtId="165" fontId="58" fillId="0" borderId="0" xfId="0" applyNumberFormat="1" applyFont="1"/>
    <xf numFmtId="168" fontId="4" fillId="0" borderId="0" xfId="0" applyNumberFormat="1" applyFont="1"/>
    <xf numFmtId="168" fontId="58" fillId="0" borderId="21" xfId="1" quotePrefix="1" applyNumberFormat="1" applyFont="1" applyBorder="1"/>
    <xf numFmtId="168" fontId="4" fillId="0" borderId="5" xfId="0" applyNumberFormat="1" applyFont="1" applyBorder="1"/>
    <xf numFmtId="168" fontId="4" fillId="0" borderId="50" xfId="0" applyNumberFormat="1" applyFont="1" applyBorder="1"/>
    <xf numFmtId="168" fontId="0" fillId="0" borderId="15" xfId="0" applyNumberFormat="1" applyBorder="1"/>
    <xf numFmtId="168" fontId="0" fillId="0" borderId="16" xfId="0" applyNumberFormat="1" applyBorder="1"/>
    <xf numFmtId="10" fontId="58" fillId="0" borderId="0" xfId="0" applyNumberFormat="1" applyFont="1"/>
    <xf numFmtId="168" fontId="0" fillId="0" borderId="21" xfId="1" quotePrefix="1" applyNumberFormat="1" applyFont="1" applyBorder="1"/>
    <xf numFmtId="165" fontId="60" fillId="0" borderId="0" xfId="0" applyNumberFormat="1" applyFont="1"/>
    <xf numFmtId="168" fontId="6" fillId="0" borderId="21" xfId="1" applyNumberFormat="1" applyFont="1" applyBorder="1"/>
    <xf numFmtId="168" fontId="6" fillId="0" borderId="21" xfId="1" quotePrefix="1" applyNumberFormat="1" applyFont="1" applyBorder="1"/>
    <xf numFmtId="168" fontId="6" fillId="0" borderId="57" xfId="0" applyNumberFormat="1" applyFont="1" applyBorder="1"/>
    <xf numFmtId="168" fontId="0" fillId="0" borderId="59" xfId="1" applyNumberFormat="1" applyFont="1" applyBorder="1"/>
    <xf numFmtId="10" fontId="58" fillId="0" borderId="23" xfId="0" applyNumberFormat="1" applyFont="1" applyBorder="1" applyAlignment="1">
      <alignment horizontal="center"/>
    </xf>
    <xf numFmtId="168" fontId="0" fillId="0" borderId="61" xfId="0" applyNumberFormat="1" applyBorder="1"/>
    <xf numFmtId="0" fontId="6" fillId="0" borderId="0" xfId="0" applyFont="1" applyAlignment="1">
      <alignment horizontal="centerContinuous"/>
    </xf>
    <xf numFmtId="0" fontId="6" fillId="0" borderId="0" xfId="0" applyFont="1" applyAlignment="1">
      <alignment horizontal="right" shrinkToFit="1"/>
    </xf>
    <xf numFmtId="166" fontId="6" fillId="0" borderId="0" xfId="0" applyNumberFormat="1" applyFont="1" applyAlignment="1">
      <alignment horizontal="center" vertical="center"/>
    </xf>
    <xf numFmtId="10" fontId="0" fillId="0" borderId="0" xfId="3" applyNumberFormat="1" applyFont="1" applyFill="1" applyBorder="1" applyAlignment="1">
      <alignment horizontal="center"/>
    </xf>
    <xf numFmtId="172" fontId="6" fillId="0" borderId="3" xfId="1" applyNumberFormat="1" applyFont="1" applyBorder="1" applyAlignment="1">
      <alignment horizontal="center"/>
    </xf>
    <xf numFmtId="172" fontId="6" fillId="0" borderId="4" xfId="1" applyNumberFormat="1" applyFont="1" applyBorder="1" applyAlignment="1">
      <alignment horizontal="center"/>
    </xf>
    <xf numFmtId="10" fontId="6" fillId="0" borderId="0" xfId="3" applyNumberFormat="1" applyFont="1" applyBorder="1"/>
    <xf numFmtId="172" fontId="61" fillId="0" borderId="19" xfId="1" applyNumberFormat="1" applyFont="1" applyBorder="1" applyAlignment="1">
      <alignment horizontal="center"/>
    </xf>
    <xf numFmtId="168" fontId="4" fillId="0" borderId="0" xfId="1" applyNumberFormat="1" applyFont="1" applyBorder="1" applyAlignment="1">
      <alignment horizontal="center"/>
    </xf>
    <xf numFmtId="0" fontId="6" fillId="0" borderId="0" xfId="0" applyFont="1" applyAlignment="1">
      <alignment wrapText="1"/>
    </xf>
    <xf numFmtId="168" fontId="29" fillId="0" borderId="21" xfId="1" applyNumberFormat="1" applyFont="1" applyBorder="1"/>
    <xf numFmtId="168" fontId="29" fillId="0" borderId="21" xfId="1" quotePrefix="1" applyNumberFormat="1" applyFont="1" applyBorder="1"/>
    <xf numFmtId="168" fontId="29" fillId="0" borderId="16" xfId="1" quotePrefix="1" applyNumberFormat="1" applyFont="1" applyBorder="1"/>
    <xf numFmtId="165" fontId="60" fillId="0" borderId="0" xfId="0" applyNumberFormat="1" applyFont="1" applyBorder="1"/>
    <xf numFmtId="10" fontId="0" fillId="0" borderId="0" xfId="3" applyNumberFormat="1" applyFont="1" applyBorder="1"/>
    <xf numFmtId="0" fontId="54" fillId="10" borderId="8" xfId="0" applyFont="1" applyFill="1" applyBorder="1"/>
    <xf numFmtId="0" fontId="55" fillId="10" borderId="8" xfId="0" applyFont="1" applyFill="1" applyBorder="1"/>
    <xf numFmtId="168" fontId="56" fillId="10" borderId="8" xfId="1" applyNumberFormat="1" applyFont="1" applyFill="1" applyBorder="1"/>
    <xf numFmtId="168" fontId="55" fillId="10" borderId="8" xfId="1" applyNumberFormat="1" applyFont="1" applyFill="1" applyBorder="1"/>
    <xf numFmtId="0" fontId="33" fillId="11" borderId="6" xfId="0" applyFont="1" applyFill="1" applyBorder="1" applyAlignment="1">
      <alignment horizontal="center"/>
    </xf>
    <xf numFmtId="0" fontId="6" fillId="11" borderId="16" xfId="0" applyFont="1" applyFill="1" applyBorder="1" applyAlignment="1">
      <alignment horizontal="center"/>
    </xf>
    <xf numFmtId="0" fontId="6" fillId="11" borderId="4" xfId="0" applyFont="1" applyFill="1" applyBorder="1" applyAlignment="1">
      <alignment horizontal="center"/>
    </xf>
    <xf numFmtId="0" fontId="6" fillId="11" borderId="58" xfId="0" applyFont="1" applyFill="1" applyBorder="1" applyAlignment="1">
      <alignment horizontal="center"/>
    </xf>
    <xf numFmtId="0" fontId="0" fillId="11" borderId="47" xfId="0" applyFill="1" applyBorder="1" applyAlignment="1">
      <alignment horizontal="center"/>
    </xf>
    <xf numFmtId="0" fontId="6" fillId="11" borderId="1" xfId="0" applyFont="1" applyFill="1" applyBorder="1" applyAlignment="1">
      <alignment horizontal="center"/>
    </xf>
    <xf numFmtId="0" fontId="6" fillId="11" borderId="41" xfId="0" applyFont="1" applyFill="1" applyBorder="1" applyAlignment="1">
      <alignment horizontal="center"/>
    </xf>
    <xf numFmtId="0" fontId="35" fillId="11" borderId="41" xfId="0" applyFont="1" applyFill="1" applyBorder="1" applyAlignment="1">
      <alignment horizontal="center"/>
    </xf>
    <xf numFmtId="0" fontId="6" fillId="11" borderId="1" xfId="0" quotePrefix="1" applyFont="1" applyFill="1" applyBorder="1" applyAlignment="1">
      <alignment horizontal="center" vertical="center"/>
    </xf>
    <xf numFmtId="0" fontId="6" fillId="11" borderId="7" xfId="0" applyFont="1" applyFill="1" applyBorder="1" applyAlignment="1">
      <alignment horizontal="center"/>
    </xf>
    <xf numFmtId="0" fontId="6" fillId="11" borderId="7" xfId="0" applyFont="1" applyFill="1" applyBorder="1" applyAlignment="1">
      <alignment horizontal="right" vertical="center"/>
    </xf>
    <xf numFmtId="173" fontId="6" fillId="11" borderId="9" xfId="3" applyNumberFormat="1" applyFont="1" applyFill="1" applyBorder="1" applyAlignment="1">
      <alignment horizontal="left" vertical="center"/>
    </xf>
    <xf numFmtId="10" fontId="6" fillId="11" borderId="57" xfId="3" applyNumberFormat="1" applyFont="1" applyFill="1" applyBorder="1" applyAlignment="1">
      <alignment horizontal="right"/>
    </xf>
    <xf numFmtId="0" fontId="6" fillId="8" borderId="7" xfId="0" applyFont="1" applyFill="1" applyBorder="1" applyAlignment="1">
      <alignment horizontal="right"/>
    </xf>
    <xf numFmtId="165" fontId="6" fillId="8" borderId="9" xfId="0" applyNumberFormat="1" applyFont="1" applyFill="1" applyBorder="1"/>
    <xf numFmtId="43" fontId="6" fillId="8" borderId="6" xfId="1" applyFont="1" applyFill="1" applyBorder="1"/>
    <xf numFmtId="10" fontId="6" fillId="8" borderId="6" xfId="0" applyNumberFormat="1" applyFont="1" applyFill="1" applyBorder="1"/>
    <xf numFmtId="165" fontId="6" fillId="8" borderId="7" xfId="3" applyNumberFormat="1" applyFont="1" applyFill="1" applyBorder="1" applyAlignment="1">
      <alignment horizontal="right"/>
    </xf>
    <xf numFmtId="165" fontId="6" fillId="8" borderId="9" xfId="3" applyNumberFormat="1" applyFont="1" applyFill="1" applyBorder="1" applyAlignment="1">
      <alignment horizontal="center"/>
    </xf>
    <xf numFmtId="0" fontId="6" fillId="8" borderId="7" xfId="0" applyFont="1" applyFill="1" applyBorder="1"/>
    <xf numFmtId="0" fontId="0" fillId="8" borderId="8" xfId="0" applyFill="1" applyBorder="1"/>
    <xf numFmtId="10" fontId="6" fillId="8" borderId="8" xfId="3" applyNumberFormat="1" applyFont="1" applyFill="1" applyBorder="1"/>
    <xf numFmtId="168" fontId="6" fillId="8" borderId="21" xfId="1" applyNumberFormat="1" applyFont="1" applyFill="1" applyBorder="1"/>
    <xf numFmtId="168" fontId="58" fillId="0" borderId="0" xfId="1" applyNumberFormat="1" applyFont="1" applyBorder="1" applyAlignment="1">
      <alignment horizontal="center"/>
    </xf>
    <xf numFmtId="0" fontId="26" fillId="0" borderId="0" xfId="0" applyFont="1" applyBorder="1" applyAlignment="1">
      <alignment horizontal="center" vertical="center"/>
    </xf>
    <xf numFmtId="0" fontId="54" fillId="10" borderId="1" xfId="0" applyFont="1" applyFill="1" applyBorder="1"/>
    <xf numFmtId="0" fontId="55" fillId="10" borderId="1" xfId="0" applyFont="1" applyFill="1" applyBorder="1"/>
    <xf numFmtId="0" fontId="56" fillId="10" borderId="7" xfId="0" applyFont="1" applyFill="1" applyBorder="1"/>
    <xf numFmtId="168" fontId="56" fillId="10" borderId="7" xfId="1" applyNumberFormat="1" applyFont="1" applyFill="1" applyBorder="1"/>
    <xf numFmtId="0" fontId="6" fillId="8" borderId="60" xfId="0" applyFont="1" applyFill="1" applyBorder="1" applyAlignment="1">
      <alignment horizontal="center"/>
    </xf>
    <xf numFmtId="166" fontId="6" fillId="8" borderId="58" xfId="0" applyNumberFormat="1" applyFont="1" applyFill="1" applyBorder="1" applyAlignment="1">
      <alignment horizontal="center"/>
    </xf>
    <xf numFmtId="10" fontId="6" fillId="8" borderId="41" xfId="0" applyNumberFormat="1" applyFont="1" applyFill="1" applyBorder="1" applyAlignment="1">
      <alignment horizontal="center"/>
    </xf>
    <xf numFmtId="168" fontId="6" fillId="8" borderId="57" xfId="0" applyNumberFormat="1" applyFont="1" applyFill="1" applyBorder="1"/>
    <xf numFmtId="168" fontId="6" fillId="8" borderId="2" xfId="0" applyNumberFormat="1" applyFont="1" applyFill="1" applyBorder="1"/>
    <xf numFmtId="168" fontId="6" fillId="8" borderId="57" xfId="1" applyNumberFormat="1" applyFont="1" applyFill="1" applyBorder="1"/>
    <xf numFmtId="165" fontId="6" fillId="8" borderId="6" xfId="3" applyNumberFormat="1" applyFont="1" applyFill="1" applyBorder="1" applyAlignment="1">
      <alignment horizontal="center"/>
    </xf>
    <xf numFmtId="168" fontId="6" fillId="8" borderId="6" xfId="0" applyNumberFormat="1" applyFont="1" applyFill="1" applyBorder="1"/>
    <xf numFmtId="164" fontId="27" fillId="10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39" fillId="10" borderId="0" xfId="0" applyFont="1" applyFill="1" applyAlignment="1">
      <alignment horizontal="center" vertical="center"/>
    </xf>
    <xf numFmtId="0" fontId="6" fillId="0" borderId="0" xfId="0" applyFont="1" applyAlignment="1">
      <alignment vertical="top" wrapText="1"/>
    </xf>
    <xf numFmtId="0" fontId="48" fillId="0" borderId="0" xfId="0" applyFont="1" applyAlignment="1">
      <alignment vertical="top" wrapText="1"/>
    </xf>
    <xf numFmtId="0" fontId="0" fillId="0" borderId="0" xfId="0" applyAlignment="1"/>
    <xf numFmtId="0" fontId="3" fillId="11" borderId="1" xfId="0" applyFont="1" applyFill="1" applyBorder="1" applyAlignment="1">
      <alignment horizontal="center" vertical="center"/>
    </xf>
    <xf numFmtId="0" fontId="3" fillId="11" borderId="56" xfId="0" applyFont="1" applyFill="1" applyBorder="1" applyAlignment="1">
      <alignment horizontal="center" vertical="center"/>
    </xf>
    <xf numFmtId="0" fontId="3" fillId="11" borderId="44" xfId="0" applyFont="1" applyFill="1" applyBorder="1" applyAlignment="1">
      <alignment horizontal="center" vertical="center"/>
    </xf>
    <xf numFmtId="0" fontId="3" fillId="11" borderId="55" xfId="0" applyFont="1" applyFill="1" applyBorder="1" applyAlignment="1">
      <alignment horizontal="center" vertical="center"/>
    </xf>
    <xf numFmtId="0" fontId="3" fillId="12" borderId="0" xfId="0" applyFont="1" applyFill="1" applyAlignment="1">
      <alignment horizontal="center" vertical="center"/>
    </xf>
    <xf numFmtId="0" fontId="25" fillId="0" borderId="25" xfId="0" applyFont="1" applyBorder="1"/>
    <xf numFmtId="0" fontId="0" fillId="0" borderId="25" xfId="0" applyBorder="1"/>
    <xf numFmtId="0" fontId="6" fillId="11" borderId="26" xfId="0" applyFont="1" applyFill="1" applyBorder="1" applyAlignment="1">
      <alignment horizontal="center" vertical="center" wrapText="1"/>
    </xf>
    <xf numFmtId="0" fontId="0" fillId="11" borderId="29" xfId="0" applyFill="1" applyBorder="1" applyAlignment="1">
      <alignment vertical="center"/>
    </xf>
    <xf numFmtId="0" fontId="25" fillId="0" borderId="22" xfId="0" applyFont="1" applyBorder="1" applyAlignment="1">
      <alignment horizontal="left" wrapText="1"/>
    </xf>
    <xf numFmtId="0" fontId="0" fillId="0" borderId="22" xfId="0" applyBorder="1"/>
    <xf numFmtId="0" fontId="25" fillId="0" borderId="25" xfId="0" applyFont="1" applyBorder="1" applyAlignment="1">
      <alignment horizontal="left" wrapText="1"/>
    </xf>
    <xf numFmtId="0" fontId="25" fillId="0" borderId="38" xfId="0" applyFont="1" applyBorder="1"/>
    <xf numFmtId="0" fontId="0" fillId="0" borderId="38" xfId="0" applyBorder="1"/>
    <xf numFmtId="0" fontId="6" fillId="0" borderId="0" xfId="0" applyFont="1" applyAlignment="1">
      <alignment horizontal="center" vertical="center" textRotation="90"/>
    </xf>
    <xf numFmtId="0" fontId="6" fillId="0" borderId="0" xfId="0" applyFont="1"/>
    <xf numFmtId="168" fontId="6" fillId="11" borderId="7" xfId="1" applyNumberFormat="1" applyFont="1" applyFill="1" applyBorder="1" applyAlignment="1">
      <alignment horizontal="center" vertical="center" wrapText="1"/>
    </xf>
    <xf numFmtId="0" fontId="4" fillId="11" borderId="8" xfId="0" applyFont="1" applyFill="1" applyBorder="1" applyAlignment="1">
      <alignment horizontal="center" vertical="center"/>
    </xf>
    <xf numFmtId="0" fontId="4" fillId="11" borderId="9" xfId="0" applyFont="1" applyFill="1" applyBorder="1" applyAlignment="1">
      <alignment horizontal="center" vertical="center"/>
    </xf>
    <xf numFmtId="168" fontId="6" fillId="11" borderId="7" xfId="1" applyNumberFormat="1" applyFont="1" applyFill="1" applyBorder="1" applyAlignment="1">
      <alignment horizontal="center" vertical="center" shrinkToFit="1"/>
    </xf>
    <xf numFmtId="0" fontId="4" fillId="11" borderId="8" xfId="0" applyFont="1" applyFill="1" applyBorder="1" applyAlignment="1">
      <alignment horizontal="center" vertical="center" shrinkToFit="1"/>
    </xf>
    <xf numFmtId="0" fontId="4" fillId="11" borderId="9" xfId="0" applyFont="1" applyFill="1" applyBorder="1" applyAlignment="1">
      <alignment horizontal="center" vertical="center" shrinkToFit="1"/>
    </xf>
    <xf numFmtId="0" fontId="56" fillId="0" borderId="0" xfId="0" applyFont="1"/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411480</xdr:colOff>
      <xdr:row>115</xdr:row>
      <xdr:rowOff>0</xdr:rowOff>
    </xdr:from>
    <xdr:to>
      <xdr:col>5</xdr:col>
      <xdr:colOff>411480</xdr:colOff>
      <xdr:row>116</xdr:row>
      <xdr:rowOff>91440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638E1BF5-323B-44DC-BC8A-CE3543930509}"/>
            </a:ext>
          </a:extLst>
        </xdr:cNvPr>
        <xdr:cNvSpPr>
          <a:spLocks noChangeShapeType="1"/>
        </xdr:cNvSpPr>
      </xdr:nvSpPr>
      <xdr:spPr bwMode="auto">
        <a:xfrm>
          <a:off x="6981613" y="21086233"/>
          <a:ext cx="0" cy="27770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361950</xdr:colOff>
      <xdr:row>115</xdr:row>
      <xdr:rowOff>0</xdr:rowOff>
    </xdr:from>
    <xdr:to>
      <xdr:col>6</xdr:col>
      <xdr:colOff>361950</xdr:colOff>
      <xdr:row>117</xdr:row>
      <xdr:rowOff>102870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4BB2AC47-F010-4D66-9A1A-18956E86BAB0}"/>
            </a:ext>
          </a:extLst>
        </xdr:cNvPr>
        <xdr:cNvSpPr>
          <a:spLocks noChangeShapeType="1"/>
        </xdr:cNvSpPr>
      </xdr:nvSpPr>
      <xdr:spPr bwMode="auto">
        <a:xfrm>
          <a:off x="7821083" y="21086233"/>
          <a:ext cx="0" cy="47117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411480</xdr:colOff>
      <xdr:row>115</xdr:row>
      <xdr:rowOff>0</xdr:rowOff>
    </xdr:from>
    <xdr:to>
      <xdr:col>7</xdr:col>
      <xdr:colOff>411480</xdr:colOff>
      <xdr:row>118</xdr:row>
      <xdr:rowOff>72390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8B9164D9-B6EF-4255-B201-09E8DAFEC21B}"/>
            </a:ext>
          </a:extLst>
        </xdr:cNvPr>
        <xdr:cNvSpPr>
          <a:spLocks noChangeShapeType="1"/>
        </xdr:cNvSpPr>
      </xdr:nvSpPr>
      <xdr:spPr bwMode="auto">
        <a:xfrm>
          <a:off x="8649547" y="21086233"/>
          <a:ext cx="0" cy="6227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411480</xdr:colOff>
      <xdr:row>115</xdr:row>
      <xdr:rowOff>0</xdr:rowOff>
    </xdr:from>
    <xdr:to>
      <xdr:col>8</xdr:col>
      <xdr:colOff>411480</xdr:colOff>
      <xdr:row>119</xdr:row>
      <xdr:rowOff>87630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C71F37F2-1FCD-43FA-8CEB-2229713C99AA}"/>
            </a:ext>
          </a:extLst>
        </xdr:cNvPr>
        <xdr:cNvSpPr>
          <a:spLocks noChangeShapeType="1"/>
        </xdr:cNvSpPr>
      </xdr:nvSpPr>
      <xdr:spPr bwMode="auto">
        <a:xfrm>
          <a:off x="9534313" y="21086233"/>
          <a:ext cx="0" cy="81999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115</xdr:row>
      <xdr:rowOff>53340</xdr:rowOff>
    </xdr:from>
    <xdr:to>
      <xdr:col>4</xdr:col>
      <xdr:colOff>491490</xdr:colOff>
      <xdr:row>115</xdr:row>
      <xdr:rowOff>53340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7282B1FD-58CB-4E87-97AB-3F37B65EDAF7}"/>
            </a:ext>
          </a:extLst>
        </xdr:cNvPr>
        <xdr:cNvSpPr>
          <a:spLocks noChangeShapeType="1"/>
        </xdr:cNvSpPr>
      </xdr:nvSpPr>
      <xdr:spPr bwMode="auto">
        <a:xfrm flipH="1">
          <a:off x="5770033" y="21139573"/>
          <a:ext cx="4914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116</xdr:row>
      <xdr:rowOff>91440</xdr:rowOff>
    </xdr:from>
    <xdr:to>
      <xdr:col>5</xdr:col>
      <xdr:colOff>411480</xdr:colOff>
      <xdr:row>116</xdr:row>
      <xdr:rowOff>91440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9BE96A42-9A0E-45D5-A0C7-209613D1818C}"/>
            </a:ext>
          </a:extLst>
        </xdr:cNvPr>
        <xdr:cNvSpPr>
          <a:spLocks noChangeShapeType="1"/>
        </xdr:cNvSpPr>
      </xdr:nvSpPr>
      <xdr:spPr bwMode="auto">
        <a:xfrm flipH="1">
          <a:off x="5770033" y="21363940"/>
          <a:ext cx="12115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117</xdr:row>
      <xdr:rowOff>91440</xdr:rowOff>
    </xdr:from>
    <xdr:to>
      <xdr:col>6</xdr:col>
      <xdr:colOff>361950</xdr:colOff>
      <xdr:row>117</xdr:row>
      <xdr:rowOff>91440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47F6021-D458-4F5F-9D45-861AA72722A1}"/>
            </a:ext>
          </a:extLst>
        </xdr:cNvPr>
        <xdr:cNvSpPr>
          <a:spLocks noChangeShapeType="1"/>
        </xdr:cNvSpPr>
      </xdr:nvSpPr>
      <xdr:spPr bwMode="auto">
        <a:xfrm flipH="1">
          <a:off x="5770033" y="21545973"/>
          <a:ext cx="2051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118</xdr:row>
      <xdr:rowOff>64770</xdr:rowOff>
    </xdr:from>
    <xdr:to>
      <xdr:col>7</xdr:col>
      <xdr:colOff>411480</xdr:colOff>
      <xdr:row>118</xdr:row>
      <xdr:rowOff>64770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48100384-EE4D-431D-BB08-02A6AC0D997B}"/>
            </a:ext>
          </a:extLst>
        </xdr:cNvPr>
        <xdr:cNvSpPr>
          <a:spLocks noChangeShapeType="1"/>
        </xdr:cNvSpPr>
      </xdr:nvSpPr>
      <xdr:spPr bwMode="auto">
        <a:xfrm flipH="1">
          <a:off x="5770033" y="21701337"/>
          <a:ext cx="2879514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10582</xdr:colOff>
      <xdr:row>119</xdr:row>
      <xdr:rowOff>85725</xdr:rowOff>
    </xdr:from>
    <xdr:to>
      <xdr:col>8</xdr:col>
      <xdr:colOff>419099</xdr:colOff>
      <xdr:row>119</xdr:row>
      <xdr:rowOff>86360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9498ECB5-D466-42D4-9AB3-FD401657FDE1}"/>
            </a:ext>
          </a:extLst>
        </xdr:cNvPr>
        <xdr:cNvSpPr>
          <a:spLocks noChangeShapeType="1"/>
        </xdr:cNvSpPr>
      </xdr:nvSpPr>
      <xdr:spPr bwMode="auto">
        <a:xfrm flipH="1">
          <a:off x="5363632" y="22221825"/>
          <a:ext cx="3761317" cy="6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480060</xdr:colOff>
      <xdr:row>115</xdr:row>
      <xdr:rowOff>0</xdr:rowOff>
    </xdr:from>
    <xdr:to>
      <xdr:col>4</xdr:col>
      <xdr:colOff>480060</xdr:colOff>
      <xdr:row>115</xdr:row>
      <xdr:rowOff>53340</xdr:rowOff>
    </xdr:to>
    <xdr:sp macro="" textlink="">
      <xdr:nvSpPr>
        <xdr:cNvPr id="12" name="Line 12">
          <a:extLst>
            <a:ext uri="{FF2B5EF4-FFF2-40B4-BE49-F238E27FC236}">
              <a16:creationId xmlns:a16="http://schemas.microsoft.com/office/drawing/2014/main" id="{58BC617E-03C3-474A-B5EF-9ABBD851ABEB}"/>
            </a:ext>
          </a:extLst>
        </xdr:cNvPr>
        <xdr:cNvSpPr>
          <a:spLocks noChangeShapeType="1"/>
        </xdr:cNvSpPr>
      </xdr:nvSpPr>
      <xdr:spPr bwMode="auto">
        <a:xfrm>
          <a:off x="6250093" y="21086233"/>
          <a:ext cx="0" cy="533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461010</xdr:colOff>
      <xdr:row>105</xdr:row>
      <xdr:rowOff>83820</xdr:rowOff>
    </xdr:from>
    <xdr:to>
      <xdr:col>9</xdr:col>
      <xdr:colOff>461010</xdr:colOff>
      <xdr:row>108</xdr:row>
      <xdr:rowOff>110490</xdr:rowOff>
    </xdr:to>
    <xdr:sp macro="" textlink="">
      <xdr:nvSpPr>
        <xdr:cNvPr id="13" name="Line 21">
          <a:extLst>
            <a:ext uri="{FF2B5EF4-FFF2-40B4-BE49-F238E27FC236}">
              <a16:creationId xmlns:a16="http://schemas.microsoft.com/office/drawing/2014/main" id="{7B74A0F0-9FF4-42E9-A731-DED3C036BAE5}"/>
            </a:ext>
          </a:extLst>
        </xdr:cNvPr>
        <xdr:cNvSpPr>
          <a:spLocks noChangeShapeType="1"/>
        </xdr:cNvSpPr>
      </xdr:nvSpPr>
      <xdr:spPr bwMode="auto">
        <a:xfrm flipV="1">
          <a:off x="10333143" y="19430153"/>
          <a:ext cx="0" cy="48810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</xdr:colOff>
      <xdr:row>108</xdr:row>
      <xdr:rowOff>91440</xdr:rowOff>
    </xdr:from>
    <xdr:to>
      <xdr:col>9</xdr:col>
      <xdr:colOff>472440</xdr:colOff>
      <xdr:row>108</xdr:row>
      <xdr:rowOff>91440</xdr:rowOff>
    </xdr:to>
    <xdr:sp macro="" textlink="">
      <xdr:nvSpPr>
        <xdr:cNvPr id="14" name="Line 22">
          <a:extLst>
            <a:ext uri="{FF2B5EF4-FFF2-40B4-BE49-F238E27FC236}">
              <a16:creationId xmlns:a16="http://schemas.microsoft.com/office/drawing/2014/main" id="{40D317B4-EB82-489E-B533-433A3A5C8E67}"/>
            </a:ext>
          </a:extLst>
        </xdr:cNvPr>
        <xdr:cNvSpPr>
          <a:spLocks noChangeShapeType="1"/>
        </xdr:cNvSpPr>
      </xdr:nvSpPr>
      <xdr:spPr bwMode="auto">
        <a:xfrm>
          <a:off x="9883563" y="19899207"/>
          <a:ext cx="46101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215900</xdr:colOff>
      <xdr:row>54</xdr:row>
      <xdr:rowOff>0</xdr:rowOff>
    </xdr:from>
    <xdr:to>
      <xdr:col>13</xdr:col>
      <xdr:colOff>224367</xdr:colOff>
      <xdr:row>61</xdr:row>
      <xdr:rowOff>33867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253A2CA-538C-42F7-A6EB-8DDDC7BDE31F}"/>
            </a:ext>
          </a:extLst>
        </xdr:cNvPr>
        <xdr:cNvSpPr>
          <a:spLocks noChangeShapeType="1"/>
        </xdr:cNvSpPr>
      </xdr:nvSpPr>
      <xdr:spPr bwMode="auto">
        <a:xfrm flipV="1">
          <a:off x="12353925" y="9982200"/>
          <a:ext cx="9525" cy="1095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61</xdr:row>
      <xdr:rowOff>29633</xdr:rowOff>
    </xdr:from>
    <xdr:to>
      <xdr:col>13</xdr:col>
      <xdr:colOff>215900</xdr:colOff>
      <xdr:row>61</xdr:row>
      <xdr:rowOff>29633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A54E9B1-B2D3-4042-A8EA-982B838386B9}"/>
            </a:ext>
          </a:extLst>
        </xdr:cNvPr>
        <xdr:cNvSpPr>
          <a:spLocks noChangeShapeType="1"/>
        </xdr:cNvSpPr>
      </xdr:nvSpPr>
      <xdr:spPr bwMode="auto">
        <a:xfrm>
          <a:off x="12134850" y="11068050"/>
          <a:ext cx="219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4233</xdr:colOff>
      <xdr:row>5</xdr:row>
      <xdr:rowOff>33867</xdr:rowOff>
    </xdr:from>
    <xdr:to>
      <xdr:col>10</xdr:col>
      <xdr:colOff>127000</xdr:colOff>
      <xdr:row>10</xdr:row>
      <xdr:rowOff>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1DB93A4F-A44C-4F60-A97B-F5264A0F998D}"/>
            </a:ext>
          </a:extLst>
        </xdr:cNvPr>
        <xdr:cNvSpPr>
          <a:spLocks noChangeShapeType="1"/>
        </xdr:cNvSpPr>
      </xdr:nvSpPr>
      <xdr:spPr bwMode="auto">
        <a:xfrm flipH="1" flipV="1">
          <a:off x="9201150" y="1676400"/>
          <a:ext cx="123825" cy="819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inance.yahoo.com/quote/STAY?p=STAY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EDBC5-E6C8-40C2-8C13-3227A2C3EF8C}">
  <dimension ref="B1:L197"/>
  <sheetViews>
    <sheetView showGridLines="0" workbookViewId="0">
      <selection activeCell="M33" sqref="M33"/>
    </sheetView>
  </sheetViews>
  <sheetFormatPr defaultColWidth="24.46875" defaultRowHeight="12.7"/>
  <cols>
    <col min="1" max="1" width="3.8203125" style="1" customWidth="1"/>
    <col min="2" max="2" width="31.29296875" style="15" customWidth="1"/>
    <col min="3" max="3" width="9" style="15" bestFit="1" customWidth="1"/>
    <col min="4" max="7" width="9" style="3" bestFit="1" customWidth="1"/>
    <col min="8" max="8" width="9" style="4" bestFit="1" customWidth="1"/>
    <col min="9" max="10" width="9" style="1" bestFit="1" customWidth="1"/>
    <col min="11" max="11" width="9" style="228" bestFit="1" customWidth="1"/>
    <col min="12" max="12" width="9" style="1" bestFit="1" customWidth="1"/>
    <col min="13" max="255" width="24.46875" style="1"/>
    <col min="256" max="256" width="3.8203125" style="1" customWidth="1"/>
    <col min="257" max="257" width="32.234375" style="1" customWidth="1"/>
    <col min="258" max="261" width="13.87890625" style="1" customWidth="1"/>
    <col min="262" max="265" width="7.5859375" style="1" customWidth="1"/>
    <col min="266" max="511" width="24.46875" style="1"/>
    <col min="512" max="512" width="3.8203125" style="1" customWidth="1"/>
    <col min="513" max="513" width="32.234375" style="1" customWidth="1"/>
    <col min="514" max="517" width="13.87890625" style="1" customWidth="1"/>
    <col min="518" max="521" width="7.5859375" style="1" customWidth="1"/>
    <col min="522" max="767" width="24.46875" style="1"/>
    <col min="768" max="768" width="3.8203125" style="1" customWidth="1"/>
    <col min="769" max="769" width="32.234375" style="1" customWidth="1"/>
    <col min="770" max="773" width="13.87890625" style="1" customWidth="1"/>
    <col min="774" max="777" width="7.5859375" style="1" customWidth="1"/>
    <col min="778" max="1023" width="24.46875" style="1"/>
    <col min="1024" max="1024" width="3.8203125" style="1" customWidth="1"/>
    <col min="1025" max="1025" width="32.234375" style="1" customWidth="1"/>
    <col min="1026" max="1029" width="13.87890625" style="1" customWidth="1"/>
    <col min="1030" max="1033" width="7.5859375" style="1" customWidth="1"/>
    <col min="1034" max="1279" width="24.46875" style="1"/>
    <col min="1280" max="1280" width="3.8203125" style="1" customWidth="1"/>
    <col min="1281" max="1281" width="32.234375" style="1" customWidth="1"/>
    <col min="1282" max="1285" width="13.87890625" style="1" customWidth="1"/>
    <col min="1286" max="1289" width="7.5859375" style="1" customWidth="1"/>
    <col min="1290" max="1535" width="24.46875" style="1"/>
    <col min="1536" max="1536" width="3.8203125" style="1" customWidth="1"/>
    <col min="1537" max="1537" width="32.234375" style="1" customWidth="1"/>
    <col min="1538" max="1541" width="13.87890625" style="1" customWidth="1"/>
    <col min="1542" max="1545" width="7.5859375" style="1" customWidth="1"/>
    <col min="1546" max="1791" width="24.46875" style="1"/>
    <col min="1792" max="1792" width="3.8203125" style="1" customWidth="1"/>
    <col min="1793" max="1793" width="32.234375" style="1" customWidth="1"/>
    <col min="1794" max="1797" width="13.87890625" style="1" customWidth="1"/>
    <col min="1798" max="1801" width="7.5859375" style="1" customWidth="1"/>
    <col min="1802" max="2047" width="24.46875" style="1"/>
    <col min="2048" max="2048" width="3.8203125" style="1" customWidth="1"/>
    <col min="2049" max="2049" width="32.234375" style="1" customWidth="1"/>
    <col min="2050" max="2053" width="13.87890625" style="1" customWidth="1"/>
    <col min="2054" max="2057" width="7.5859375" style="1" customWidth="1"/>
    <col min="2058" max="2303" width="24.46875" style="1"/>
    <col min="2304" max="2304" width="3.8203125" style="1" customWidth="1"/>
    <col min="2305" max="2305" width="32.234375" style="1" customWidth="1"/>
    <col min="2306" max="2309" width="13.87890625" style="1" customWidth="1"/>
    <col min="2310" max="2313" width="7.5859375" style="1" customWidth="1"/>
    <col min="2314" max="2559" width="24.46875" style="1"/>
    <col min="2560" max="2560" width="3.8203125" style="1" customWidth="1"/>
    <col min="2561" max="2561" width="32.234375" style="1" customWidth="1"/>
    <col min="2562" max="2565" width="13.87890625" style="1" customWidth="1"/>
    <col min="2566" max="2569" width="7.5859375" style="1" customWidth="1"/>
    <col min="2570" max="2815" width="24.46875" style="1"/>
    <col min="2816" max="2816" width="3.8203125" style="1" customWidth="1"/>
    <col min="2817" max="2817" width="32.234375" style="1" customWidth="1"/>
    <col min="2818" max="2821" width="13.87890625" style="1" customWidth="1"/>
    <col min="2822" max="2825" width="7.5859375" style="1" customWidth="1"/>
    <col min="2826" max="3071" width="24.46875" style="1"/>
    <col min="3072" max="3072" width="3.8203125" style="1" customWidth="1"/>
    <col min="3073" max="3073" width="32.234375" style="1" customWidth="1"/>
    <col min="3074" max="3077" width="13.87890625" style="1" customWidth="1"/>
    <col min="3078" max="3081" width="7.5859375" style="1" customWidth="1"/>
    <col min="3082" max="3327" width="24.46875" style="1"/>
    <col min="3328" max="3328" width="3.8203125" style="1" customWidth="1"/>
    <col min="3329" max="3329" width="32.234375" style="1" customWidth="1"/>
    <col min="3330" max="3333" width="13.87890625" style="1" customWidth="1"/>
    <col min="3334" max="3337" width="7.5859375" style="1" customWidth="1"/>
    <col min="3338" max="3583" width="24.46875" style="1"/>
    <col min="3584" max="3584" width="3.8203125" style="1" customWidth="1"/>
    <col min="3585" max="3585" width="32.234375" style="1" customWidth="1"/>
    <col min="3586" max="3589" width="13.87890625" style="1" customWidth="1"/>
    <col min="3590" max="3593" width="7.5859375" style="1" customWidth="1"/>
    <col min="3594" max="3839" width="24.46875" style="1"/>
    <col min="3840" max="3840" width="3.8203125" style="1" customWidth="1"/>
    <col min="3841" max="3841" width="32.234375" style="1" customWidth="1"/>
    <col min="3842" max="3845" width="13.87890625" style="1" customWidth="1"/>
    <col min="3846" max="3849" width="7.5859375" style="1" customWidth="1"/>
    <col min="3850" max="4095" width="24.46875" style="1"/>
    <col min="4096" max="4096" width="3.8203125" style="1" customWidth="1"/>
    <col min="4097" max="4097" width="32.234375" style="1" customWidth="1"/>
    <col min="4098" max="4101" width="13.87890625" style="1" customWidth="1"/>
    <col min="4102" max="4105" width="7.5859375" style="1" customWidth="1"/>
    <col min="4106" max="4351" width="24.46875" style="1"/>
    <col min="4352" max="4352" width="3.8203125" style="1" customWidth="1"/>
    <col min="4353" max="4353" width="32.234375" style="1" customWidth="1"/>
    <col min="4354" max="4357" width="13.87890625" style="1" customWidth="1"/>
    <col min="4358" max="4361" width="7.5859375" style="1" customWidth="1"/>
    <col min="4362" max="4607" width="24.46875" style="1"/>
    <col min="4608" max="4608" width="3.8203125" style="1" customWidth="1"/>
    <col min="4609" max="4609" width="32.234375" style="1" customWidth="1"/>
    <col min="4610" max="4613" width="13.87890625" style="1" customWidth="1"/>
    <col min="4614" max="4617" width="7.5859375" style="1" customWidth="1"/>
    <col min="4618" max="4863" width="24.46875" style="1"/>
    <col min="4864" max="4864" width="3.8203125" style="1" customWidth="1"/>
    <col min="4865" max="4865" width="32.234375" style="1" customWidth="1"/>
    <col min="4866" max="4869" width="13.87890625" style="1" customWidth="1"/>
    <col min="4870" max="4873" width="7.5859375" style="1" customWidth="1"/>
    <col min="4874" max="5119" width="24.46875" style="1"/>
    <col min="5120" max="5120" width="3.8203125" style="1" customWidth="1"/>
    <col min="5121" max="5121" width="32.234375" style="1" customWidth="1"/>
    <col min="5122" max="5125" width="13.87890625" style="1" customWidth="1"/>
    <col min="5126" max="5129" width="7.5859375" style="1" customWidth="1"/>
    <col min="5130" max="5375" width="24.46875" style="1"/>
    <col min="5376" max="5376" width="3.8203125" style="1" customWidth="1"/>
    <col min="5377" max="5377" width="32.234375" style="1" customWidth="1"/>
    <col min="5378" max="5381" width="13.87890625" style="1" customWidth="1"/>
    <col min="5382" max="5385" width="7.5859375" style="1" customWidth="1"/>
    <col min="5386" max="5631" width="24.46875" style="1"/>
    <col min="5632" max="5632" width="3.8203125" style="1" customWidth="1"/>
    <col min="5633" max="5633" width="32.234375" style="1" customWidth="1"/>
    <col min="5634" max="5637" width="13.87890625" style="1" customWidth="1"/>
    <col min="5638" max="5641" width="7.5859375" style="1" customWidth="1"/>
    <col min="5642" max="5887" width="24.46875" style="1"/>
    <col min="5888" max="5888" width="3.8203125" style="1" customWidth="1"/>
    <col min="5889" max="5889" width="32.234375" style="1" customWidth="1"/>
    <col min="5890" max="5893" width="13.87890625" style="1" customWidth="1"/>
    <col min="5894" max="5897" width="7.5859375" style="1" customWidth="1"/>
    <col min="5898" max="6143" width="24.46875" style="1"/>
    <col min="6144" max="6144" width="3.8203125" style="1" customWidth="1"/>
    <col min="6145" max="6145" width="32.234375" style="1" customWidth="1"/>
    <col min="6146" max="6149" width="13.87890625" style="1" customWidth="1"/>
    <col min="6150" max="6153" width="7.5859375" style="1" customWidth="1"/>
    <col min="6154" max="6399" width="24.46875" style="1"/>
    <col min="6400" max="6400" width="3.8203125" style="1" customWidth="1"/>
    <col min="6401" max="6401" width="32.234375" style="1" customWidth="1"/>
    <col min="6402" max="6405" width="13.87890625" style="1" customWidth="1"/>
    <col min="6406" max="6409" width="7.5859375" style="1" customWidth="1"/>
    <col min="6410" max="6655" width="24.46875" style="1"/>
    <col min="6656" max="6656" width="3.8203125" style="1" customWidth="1"/>
    <col min="6657" max="6657" width="32.234375" style="1" customWidth="1"/>
    <col min="6658" max="6661" width="13.87890625" style="1" customWidth="1"/>
    <col min="6662" max="6665" width="7.5859375" style="1" customWidth="1"/>
    <col min="6666" max="6911" width="24.46875" style="1"/>
    <col min="6912" max="6912" width="3.8203125" style="1" customWidth="1"/>
    <col min="6913" max="6913" width="32.234375" style="1" customWidth="1"/>
    <col min="6914" max="6917" width="13.87890625" style="1" customWidth="1"/>
    <col min="6918" max="6921" width="7.5859375" style="1" customWidth="1"/>
    <col min="6922" max="7167" width="24.46875" style="1"/>
    <col min="7168" max="7168" width="3.8203125" style="1" customWidth="1"/>
    <col min="7169" max="7169" width="32.234375" style="1" customWidth="1"/>
    <col min="7170" max="7173" width="13.87890625" style="1" customWidth="1"/>
    <col min="7174" max="7177" width="7.5859375" style="1" customWidth="1"/>
    <col min="7178" max="7423" width="24.46875" style="1"/>
    <col min="7424" max="7424" width="3.8203125" style="1" customWidth="1"/>
    <col min="7425" max="7425" width="32.234375" style="1" customWidth="1"/>
    <col min="7426" max="7429" width="13.87890625" style="1" customWidth="1"/>
    <col min="7430" max="7433" width="7.5859375" style="1" customWidth="1"/>
    <col min="7434" max="7679" width="24.46875" style="1"/>
    <col min="7680" max="7680" width="3.8203125" style="1" customWidth="1"/>
    <col min="7681" max="7681" width="32.234375" style="1" customWidth="1"/>
    <col min="7682" max="7685" width="13.87890625" style="1" customWidth="1"/>
    <col min="7686" max="7689" width="7.5859375" style="1" customWidth="1"/>
    <col min="7690" max="7935" width="24.46875" style="1"/>
    <col min="7936" max="7936" width="3.8203125" style="1" customWidth="1"/>
    <col min="7937" max="7937" width="32.234375" style="1" customWidth="1"/>
    <col min="7938" max="7941" width="13.87890625" style="1" customWidth="1"/>
    <col min="7942" max="7945" width="7.5859375" style="1" customWidth="1"/>
    <col min="7946" max="8191" width="24.46875" style="1"/>
    <col min="8192" max="8192" width="3.8203125" style="1" customWidth="1"/>
    <col min="8193" max="8193" width="32.234375" style="1" customWidth="1"/>
    <col min="8194" max="8197" width="13.87890625" style="1" customWidth="1"/>
    <col min="8198" max="8201" width="7.5859375" style="1" customWidth="1"/>
    <col min="8202" max="8447" width="24.46875" style="1"/>
    <col min="8448" max="8448" width="3.8203125" style="1" customWidth="1"/>
    <col min="8449" max="8449" width="32.234375" style="1" customWidth="1"/>
    <col min="8450" max="8453" width="13.87890625" style="1" customWidth="1"/>
    <col min="8454" max="8457" width="7.5859375" style="1" customWidth="1"/>
    <col min="8458" max="8703" width="24.46875" style="1"/>
    <col min="8704" max="8704" width="3.8203125" style="1" customWidth="1"/>
    <col min="8705" max="8705" width="32.234375" style="1" customWidth="1"/>
    <col min="8706" max="8709" width="13.87890625" style="1" customWidth="1"/>
    <col min="8710" max="8713" width="7.5859375" style="1" customWidth="1"/>
    <col min="8714" max="8959" width="24.46875" style="1"/>
    <col min="8960" max="8960" width="3.8203125" style="1" customWidth="1"/>
    <col min="8961" max="8961" width="32.234375" style="1" customWidth="1"/>
    <col min="8962" max="8965" width="13.87890625" style="1" customWidth="1"/>
    <col min="8966" max="8969" width="7.5859375" style="1" customWidth="1"/>
    <col min="8970" max="9215" width="24.46875" style="1"/>
    <col min="9216" max="9216" width="3.8203125" style="1" customWidth="1"/>
    <col min="9217" max="9217" width="32.234375" style="1" customWidth="1"/>
    <col min="9218" max="9221" width="13.87890625" style="1" customWidth="1"/>
    <col min="9222" max="9225" width="7.5859375" style="1" customWidth="1"/>
    <col min="9226" max="9471" width="24.46875" style="1"/>
    <col min="9472" max="9472" width="3.8203125" style="1" customWidth="1"/>
    <col min="9473" max="9473" width="32.234375" style="1" customWidth="1"/>
    <col min="9474" max="9477" width="13.87890625" style="1" customWidth="1"/>
    <col min="9478" max="9481" width="7.5859375" style="1" customWidth="1"/>
    <col min="9482" max="9727" width="24.46875" style="1"/>
    <col min="9728" max="9728" width="3.8203125" style="1" customWidth="1"/>
    <col min="9729" max="9729" width="32.234375" style="1" customWidth="1"/>
    <col min="9730" max="9733" width="13.87890625" style="1" customWidth="1"/>
    <col min="9734" max="9737" width="7.5859375" style="1" customWidth="1"/>
    <col min="9738" max="9983" width="24.46875" style="1"/>
    <col min="9984" max="9984" width="3.8203125" style="1" customWidth="1"/>
    <col min="9985" max="9985" width="32.234375" style="1" customWidth="1"/>
    <col min="9986" max="9989" width="13.87890625" style="1" customWidth="1"/>
    <col min="9990" max="9993" width="7.5859375" style="1" customWidth="1"/>
    <col min="9994" max="10239" width="24.46875" style="1"/>
    <col min="10240" max="10240" width="3.8203125" style="1" customWidth="1"/>
    <col min="10241" max="10241" width="32.234375" style="1" customWidth="1"/>
    <col min="10242" max="10245" width="13.87890625" style="1" customWidth="1"/>
    <col min="10246" max="10249" width="7.5859375" style="1" customWidth="1"/>
    <col min="10250" max="10495" width="24.46875" style="1"/>
    <col min="10496" max="10496" width="3.8203125" style="1" customWidth="1"/>
    <col min="10497" max="10497" width="32.234375" style="1" customWidth="1"/>
    <col min="10498" max="10501" width="13.87890625" style="1" customWidth="1"/>
    <col min="10502" max="10505" width="7.5859375" style="1" customWidth="1"/>
    <col min="10506" max="10751" width="24.46875" style="1"/>
    <col min="10752" max="10752" width="3.8203125" style="1" customWidth="1"/>
    <col min="10753" max="10753" width="32.234375" style="1" customWidth="1"/>
    <col min="10754" max="10757" width="13.87890625" style="1" customWidth="1"/>
    <col min="10758" max="10761" width="7.5859375" style="1" customWidth="1"/>
    <col min="10762" max="11007" width="24.46875" style="1"/>
    <col min="11008" max="11008" width="3.8203125" style="1" customWidth="1"/>
    <col min="11009" max="11009" width="32.234375" style="1" customWidth="1"/>
    <col min="11010" max="11013" width="13.87890625" style="1" customWidth="1"/>
    <col min="11014" max="11017" width="7.5859375" style="1" customWidth="1"/>
    <col min="11018" max="11263" width="24.46875" style="1"/>
    <col min="11264" max="11264" width="3.8203125" style="1" customWidth="1"/>
    <col min="11265" max="11265" width="32.234375" style="1" customWidth="1"/>
    <col min="11266" max="11269" width="13.87890625" style="1" customWidth="1"/>
    <col min="11270" max="11273" width="7.5859375" style="1" customWidth="1"/>
    <col min="11274" max="11519" width="24.46875" style="1"/>
    <col min="11520" max="11520" width="3.8203125" style="1" customWidth="1"/>
    <col min="11521" max="11521" width="32.234375" style="1" customWidth="1"/>
    <col min="11522" max="11525" width="13.87890625" style="1" customWidth="1"/>
    <col min="11526" max="11529" width="7.5859375" style="1" customWidth="1"/>
    <col min="11530" max="11775" width="24.46875" style="1"/>
    <col min="11776" max="11776" width="3.8203125" style="1" customWidth="1"/>
    <col min="11777" max="11777" width="32.234375" style="1" customWidth="1"/>
    <col min="11778" max="11781" width="13.87890625" style="1" customWidth="1"/>
    <col min="11782" max="11785" width="7.5859375" style="1" customWidth="1"/>
    <col min="11786" max="12031" width="24.46875" style="1"/>
    <col min="12032" max="12032" width="3.8203125" style="1" customWidth="1"/>
    <col min="12033" max="12033" width="32.234375" style="1" customWidth="1"/>
    <col min="12034" max="12037" width="13.87890625" style="1" customWidth="1"/>
    <col min="12038" max="12041" width="7.5859375" style="1" customWidth="1"/>
    <col min="12042" max="12287" width="24.46875" style="1"/>
    <col min="12288" max="12288" width="3.8203125" style="1" customWidth="1"/>
    <col min="12289" max="12289" width="32.234375" style="1" customWidth="1"/>
    <col min="12290" max="12293" width="13.87890625" style="1" customWidth="1"/>
    <col min="12294" max="12297" width="7.5859375" style="1" customWidth="1"/>
    <col min="12298" max="12543" width="24.46875" style="1"/>
    <col min="12544" max="12544" width="3.8203125" style="1" customWidth="1"/>
    <col min="12545" max="12545" width="32.234375" style="1" customWidth="1"/>
    <col min="12546" max="12549" width="13.87890625" style="1" customWidth="1"/>
    <col min="12550" max="12553" width="7.5859375" style="1" customWidth="1"/>
    <col min="12554" max="12799" width="24.46875" style="1"/>
    <col min="12800" max="12800" width="3.8203125" style="1" customWidth="1"/>
    <col min="12801" max="12801" width="32.234375" style="1" customWidth="1"/>
    <col min="12802" max="12805" width="13.87890625" style="1" customWidth="1"/>
    <col min="12806" max="12809" width="7.5859375" style="1" customWidth="1"/>
    <col min="12810" max="13055" width="24.46875" style="1"/>
    <col min="13056" max="13056" width="3.8203125" style="1" customWidth="1"/>
    <col min="13057" max="13057" width="32.234375" style="1" customWidth="1"/>
    <col min="13058" max="13061" width="13.87890625" style="1" customWidth="1"/>
    <col min="13062" max="13065" width="7.5859375" style="1" customWidth="1"/>
    <col min="13066" max="13311" width="24.46875" style="1"/>
    <col min="13312" max="13312" width="3.8203125" style="1" customWidth="1"/>
    <col min="13313" max="13313" width="32.234375" style="1" customWidth="1"/>
    <col min="13314" max="13317" width="13.87890625" style="1" customWidth="1"/>
    <col min="13318" max="13321" width="7.5859375" style="1" customWidth="1"/>
    <col min="13322" max="13567" width="24.46875" style="1"/>
    <col min="13568" max="13568" width="3.8203125" style="1" customWidth="1"/>
    <col min="13569" max="13569" width="32.234375" style="1" customWidth="1"/>
    <col min="13570" max="13573" width="13.87890625" style="1" customWidth="1"/>
    <col min="13574" max="13577" width="7.5859375" style="1" customWidth="1"/>
    <col min="13578" max="13823" width="24.46875" style="1"/>
    <col min="13824" max="13824" width="3.8203125" style="1" customWidth="1"/>
    <col min="13825" max="13825" width="32.234375" style="1" customWidth="1"/>
    <col min="13826" max="13829" width="13.87890625" style="1" customWidth="1"/>
    <col min="13830" max="13833" width="7.5859375" style="1" customWidth="1"/>
    <col min="13834" max="14079" width="24.46875" style="1"/>
    <col min="14080" max="14080" width="3.8203125" style="1" customWidth="1"/>
    <col min="14081" max="14081" width="32.234375" style="1" customWidth="1"/>
    <col min="14082" max="14085" width="13.87890625" style="1" customWidth="1"/>
    <col min="14086" max="14089" width="7.5859375" style="1" customWidth="1"/>
    <col min="14090" max="14335" width="24.46875" style="1"/>
    <col min="14336" max="14336" width="3.8203125" style="1" customWidth="1"/>
    <col min="14337" max="14337" width="32.234375" style="1" customWidth="1"/>
    <col min="14338" max="14341" width="13.87890625" style="1" customWidth="1"/>
    <col min="14342" max="14345" width="7.5859375" style="1" customWidth="1"/>
    <col min="14346" max="14591" width="24.46875" style="1"/>
    <col min="14592" max="14592" width="3.8203125" style="1" customWidth="1"/>
    <col min="14593" max="14593" width="32.234375" style="1" customWidth="1"/>
    <col min="14594" max="14597" width="13.87890625" style="1" customWidth="1"/>
    <col min="14598" max="14601" width="7.5859375" style="1" customWidth="1"/>
    <col min="14602" max="14847" width="24.46875" style="1"/>
    <col min="14848" max="14848" width="3.8203125" style="1" customWidth="1"/>
    <col min="14849" max="14849" width="32.234375" style="1" customWidth="1"/>
    <col min="14850" max="14853" width="13.87890625" style="1" customWidth="1"/>
    <col min="14854" max="14857" width="7.5859375" style="1" customWidth="1"/>
    <col min="14858" max="15103" width="24.46875" style="1"/>
    <col min="15104" max="15104" width="3.8203125" style="1" customWidth="1"/>
    <col min="15105" max="15105" width="32.234375" style="1" customWidth="1"/>
    <col min="15106" max="15109" width="13.87890625" style="1" customWidth="1"/>
    <col min="15110" max="15113" width="7.5859375" style="1" customWidth="1"/>
    <col min="15114" max="15359" width="24.46875" style="1"/>
    <col min="15360" max="15360" width="3.8203125" style="1" customWidth="1"/>
    <col min="15361" max="15361" width="32.234375" style="1" customWidth="1"/>
    <col min="15362" max="15365" width="13.87890625" style="1" customWidth="1"/>
    <col min="15366" max="15369" width="7.5859375" style="1" customWidth="1"/>
    <col min="15370" max="15615" width="24.46875" style="1"/>
    <col min="15616" max="15616" width="3.8203125" style="1" customWidth="1"/>
    <col min="15617" max="15617" width="32.234375" style="1" customWidth="1"/>
    <col min="15618" max="15621" width="13.87890625" style="1" customWidth="1"/>
    <col min="15622" max="15625" width="7.5859375" style="1" customWidth="1"/>
    <col min="15626" max="15871" width="24.46875" style="1"/>
    <col min="15872" max="15872" width="3.8203125" style="1" customWidth="1"/>
    <col min="15873" max="15873" width="32.234375" style="1" customWidth="1"/>
    <col min="15874" max="15877" width="13.87890625" style="1" customWidth="1"/>
    <col min="15878" max="15881" width="7.5859375" style="1" customWidth="1"/>
    <col min="15882" max="16127" width="24.46875" style="1"/>
    <col min="16128" max="16128" width="3.8203125" style="1" customWidth="1"/>
    <col min="16129" max="16129" width="32.234375" style="1" customWidth="1"/>
    <col min="16130" max="16133" width="13.87890625" style="1" customWidth="1"/>
    <col min="16134" max="16137" width="7.5859375" style="1" customWidth="1"/>
    <col min="16138" max="16384" width="24.46875" style="1"/>
  </cols>
  <sheetData>
    <row r="1" spans="2:12" ht="19.350000000000001" customHeight="1">
      <c r="B1" s="2" t="s">
        <v>509</v>
      </c>
      <c r="C1" s="2"/>
    </row>
    <row r="2" spans="2:12" ht="10.7" customHeight="1">
      <c r="B2" s="219" t="s">
        <v>273</v>
      </c>
      <c r="C2" s="2"/>
    </row>
    <row r="3" spans="2:12" ht="10.7" customHeight="1">
      <c r="B3" s="219"/>
      <c r="C3" s="2"/>
    </row>
    <row r="4" spans="2:12" ht="19.7" customHeight="1">
      <c r="B4" s="391" t="s">
        <v>89</v>
      </c>
      <c r="C4" s="305"/>
      <c r="D4" s="306"/>
      <c r="E4" s="306"/>
      <c r="F4" s="306"/>
      <c r="G4" s="306"/>
      <c r="H4" s="307"/>
      <c r="I4" s="308"/>
      <c r="J4" s="308"/>
      <c r="K4" s="309"/>
      <c r="L4" s="309"/>
    </row>
    <row r="5" spans="2:12" ht="19.7" customHeight="1">
      <c r="B5" s="300"/>
      <c r="C5" s="301" t="s">
        <v>272</v>
      </c>
      <c r="D5" s="301" t="s">
        <v>272</v>
      </c>
      <c r="E5" s="301" t="s">
        <v>272</v>
      </c>
      <c r="F5" s="301" t="s">
        <v>272</v>
      </c>
      <c r="G5" s="301" t="s">
        <v>272</v>
      </c>
      <c r="H5" s="301" t="s">
        <v>272</v>
      </c>
      <c r="I5" s="301" t="s">
        <v>272</v>
      </c>
      <c r="J5" s="301" t="s">
        <v>272</v>
      </c>
      <c r="K5" s="301" t="s">
        <v>272</v>
      </c>
      <c r="L5" s="301" t="s">
        <v>272</v>
      </c>
    </row>
    <row r="6" spans="2:12" s="6" customFormat="1" ht="15" customHeight="1" thickBot="1">
      <c r="B6" s="302" t="s">
        <v>0</v>
      </c>
      <c r="C6" s="303">
        <v>2020</v>
      </c>
      <c r="D6" s="303">
        <f>+C6-1</f>
        <v>2019</v>
      </c>
      <c r="E6" s="303">
        <f t="shared" ref="E6:L6" si="0">+D6-1</f>
        <v>2018</v>
      </c>
      <c r="F6" s="303">
        <f t="shared" si="0"/>
        <v>2017</v>
      </c>
      <c r="G6" s="303">
        <f t="shared" si="0"/>
        <v>2016</v>
      </c>
      <c r="H6" s="303">
        <f t="shared" si="0"/>
        <v>2015</v>
      </c>
      <c r="I6" s="303">
        <f t="shared" si="0"/>
        <v>2014</v>
      </c>
      <c r="J6" s="303">
        <f t="shared" si="0"/>
        <v>2013</v>
      </c>
      <c r="K6" s="303">
        <f t="shared" si="0"/>
        <v>2012</v>
      </c>
      <c r="L6" s="303">
        <f t="shared" si="0"/>
        <v>2011</v>
      </c>
    </row>
    <row r="7" spans="2:12" ht="11.45" customHeight="1">
      <c r="B7" s="7" t="s">
        <v>1</v>
      </c>
      <c r="C7" s="8">
        <f>'Revenue Yahoo Input'!C2/1000</f>
        <v>1042316</v>
      </c>
      <c r="D7" s="8">
        <f>+'Revenue Yahoo Input'!D2/1000</f>
        <v>1218219</v>
      </c>
      <c r="E7" s="8">
        <f>+'Revenue Yahoo Input'!E2/1000</f>
        <v>1275059</v>
      </c>
      <c r="F7" s="8">
        <f>+'Revenue Yahoo Input'!F2/1000</f>
        <v>1282725</v>
      </c>
      <c r="G7" s="8">
        <f>+'Revenue Yahoo Input'!G2/1000</f>
        <v>1270593</v>
      </c>
      <c r="H7" s="8">
        <f>+'Revenue Yahoo Input'!H2/1000</f>
        <v>1284753</v>
      </c>
      <c r="I7" s="8">
        <f>+'Revenue Yahoo Input'!I2/1000</f>
        <v>1213475</v>
      </c>
      <c r="J7" s="8">
        <f>+'Revenue Yahoo Input'!J2/1000</f>
        <v>1132818</v>
      </c>
      <c r="K7" s="8">
        <f>+'Revenue Yahoo Input'!K2/1000</f>
        <v>1011462</v>
      </c>
      <c r="L7" s="8">
        <f>+'Revenue Yahoo Input'!L2/1000</f>
        <v>942728</v>
      </c>
    </row>
    <row r="8" spans="2:12" ht="11.45" customHeight="1">
      <c r="B8" s="9" t="s">
        <v>2</v>
      </c>
      <c r="C8" s="10">
        <f>+'Revenue Yahoo Input'!C4/1000</f>
        <v>593760</v>
      </c>
      <c r="D8" s="10">
        <f>+'Revenue Yahoo Input'!D4/1000</f>
        <v>601191</v>
      </c>
      <c r="E8" s="10">
        <f>+'Revenue Yahoo Input'!E4/1000</f>
        <v>596246</v>
      </c>
      <c r="F8" s="10">
        <f>+'Revenue Yahoo Input'!F4/1000</f>
        <v>585545</v>
      </c>
      <c r="G8" s="10">
        <f>+'Revenue Yahoo Input'!G4/1000</f>
        <v>580772</v>
      </c>
      <c r="H8" s="10">
        <f>+'Revenue Yahoo Input'!H4/1000</f>
        <v>604087</v>
      </c>
      <c r="I8" s="10">
        <f>+'Revenue Yahoo Input'!I4/1000</f>
        <v>592101</v>
      </c>
      <c r="J8" s="10">
        <f>+'Revenue Yahoo Input'!J4/1000</f>
        <v>540551</v>
      </c>
      <c r="K8" s="10">
        <f>+'Revenue Yahoo Input'!K4/1000</f>
        <v>493635</v>
      </c>
      <c r="L8" s="10">
        <f>+'Revenue Yahoo Input'!L4/1000</f>
        <v>464379</v>
      </c>
    </row>
    <row r="9" spans="2:12" ht="11.45" customHeight="1" thickBot="1">
      <c r="B9" s="9" t="s">
        <v>3</v>
      </c>
      <c r="C9" s="11">
        <f>+C7-C8</f>
        <v>448556</v>
      </c>
      <c r="D9" s="11">
        <f t="shared" ref="D9:G9" si="1">+D7-D8</f>
        <v>617028</v>
      </c>
      <c r="E9" s="11">
        <f t="shared" si="1"/>
        <v>678813</v>
      </c>
      <c r="F9" s="11">
        <f t="shared" si="1"/>
        <v>697180</v>
      </c>
      <c r="G9" s="11">
        <f t="shared" si="1"/>
        <v>689821</v>
      </c>
      <c r="H9" s="11">
        <f t="shared" ref="H9" si="2">+H7-H8</f>
        <v>680666</v>
      </c>
      <c r="I9" s="11">
        <f t="shared" ref="I9" si="3">+I7-I8</f>
        <v>621374</v>
      </c>
      <c r="J9" s="11">
        <f t="shared" ref="J9" si="4">+J7-J8</f>
        <v>592267</v>
      </c>
      <c r="K9" s="11">
        <f t="shared" ref="K9:L9" si="5">+K7-K8</f>
        <v>517827</v>
      </c>
      <c r="L9" s="11">
        <f t="shared" si="5"/>
        <v>478349</v>
      </c>
    </row>
    <row r="10" spans="2:12" ht="11.45" customHeight="1" thickTop="1">
      <c r="B10" s="7" t="s">
        <v>4</v>
      </c>
      <c r="C10" s="12">
        <f>'Revenue Yahoo Input'!C6/1000</f>
        <v>298178</v>
      </c>
      <c r="D10" s="12">
        <f>'Revenue Yahoo Input'!D6/1000</f>
        <v>292523</v>
      </c>
      <c r="E10" s="12">
        <f>'Revenue Yahoo Input'!E6/1000</f>
        <v>299754</v>
      </c>
      <c r="F10" s="12">
        <f>'Revenue Yahoo Input'!F6/1000</f>
        <v>320909</v>
      </c>
      <c r="G10" s="12">
        <f>'Revenue Yahoo Input'!G6/1000</f>
        <v>319329</v>
      </c>
      <c r="H10" s="12">
        <f>'Revenue Yahoo Input'!H6/1000</f>
        <v>302477</v>
      </c>
      <c r="I10" s="12">
        <f>'Revenue Yahoo Input'!I6/1000</f>
        <v>271200</v>
      </c>
      <c r="J10" s="12">
        <f>'Revenue Yahoo Input'!J6/1000</f>
        <v>275972</v>
      </c>
      <c r="K10" s="12">
        <f>'Revenue Yahoo Input'!K6/1000</f>
        <v>224697</v>
      </c>
      <c r="L10" s="12">
        <f>'Revenue Yahoo Input'!L6/1000</f>
        <v>201656</v>
      </c>
    </row>
    <row r="11" spans="2:12" ht="11.45" customHeight="1">
      <c r="B11" s="7" t="s">
        <v>5</v>
      </c>
      <c r="C11" s="10">
        <f>+C9-C10</f>
        <v>150378</v>
      </c>
      <c r="D11" s="10">
        <f t="shared" ref="D11:G11" si="6">+D9-D10</f>
        <v>324505</v>
      </c>
      <c r="E11" s="10">
        <f t="shared" si="6"/>
        <v>379059</v>
      </c>
      <c r="F11" s="10">
        <f t="shared" si="6"/>
        <v>376271</v>
      </c>
      <c r="G11" s="10">
        <f t="shared" si="6"/>
        <v>370492</v>
      </c>
      <c r="H11" s="10">
        <f t="shared" ref="H11" si="7">+H9-H10</f>
        <v>378189</v>
      </c>
      <c r="I11" s="10">
        <f t="shared" ref="I11" si="8">+I9-I10</f>
        <v>350174</v>
      </c>
      <c r="J11" s="10">
        <f t="shared" ref="J11" si="9">+J9-J10</f>
        <v>316295</v>
      </c>
      <c r="K11" s="10">
        <f t="shared" ref="K11:L11" si="10">+K9-K10</f>
        <v>293130</v>
      </c>
      <c r="L11" s="10">
        <f t="shared" si="10"/>
        <v>276693</v>
      </c>
    </row>
    <row r="12" spans="2:12" ht="11.45" customHeight="1">
      <c r="B12" s="9" t="s">
        <v>6</v>
      </c>
      <c r="C12" s="13">
        <f>'Revenue Yahoo Input'!C18/1000</f>
        <v>122296</v>
      </c>
      <c r="D12" s="13">
        <f>'Revenue Yahoo Input'!D18/1000</f>
        <v>117067</v>
      </c>
      <c r="E12" s="13">
        <f>'Revenue Yahoo Input'!E18/1000</f>
        <v>116348</v>
      </c>
      <c r="F12" s="13">
        <f>'Revenue Yahoo Input'!F18/1000</f>
        <v>118510</v>
      </c>
      <c r="G12" s="13">
        <f>'Revenue Yahoo Input'!G18/1000</f>
        <v>127633</v>
      </c>
      <c r="H12" s="13">
        <f>'Revenue Yahoo Input'!H18/1000</f>
        <v>123411</v>
      </c>
      <c r="I12" s="13">
        <f>'Revenue Yahoo Input'!I18/1000</f>
        <v>123736</v>
      </c>
      <c r="J12" s="13">
        <f>'Revenue Yahoo Input'!J18/1000</f>
        <v>194980</v>
      </c>
      <c r="K12" s="13">
        <f>'Revenue Yahoo Input'!K18/1000</f>
        <v>257656</v>
      </c>
      <c r="L12" s="13">
        <f>'Revenue Yahoo Input'!L18/1000</f>
        <v>201976</v>
      </c>
    </row>
    <row r="13" spans="2:12" ht="11.45" customHeight="1">
      <c r="B13" s="9" t="s">
        <v>7</v>
      </c>
      <c r="C13" s="10">
        <f>+C11-C12</f>
        <v>28082</v>
      </c>
      <c r="D13" s="10">
        <f t="shared" ref="D13:G13" si="11">+D11-D12</f>
        <v>207438</v>
      </c>
      <c r="E13" s="10">
        <f t="shared" si="11"/>
        <v>262711</v>
      </c>
      <c r="F13" s="10">
        <f t="shared" si="11"/>
        <v>257761</v>
      </c>
      <c r="G13" s="10">
        <f t="shared" si="11"/>
        <v>242859</v>
      </c>
      <c r="H13" s="10">
        <f t="shared" ref="H13" si="12">+H11-H12</f>
        <v>254778</v>
      </c>
      <c r="I13" s="10">
        <f t="shared" ref="I13" si="13">+I11-I12</f>
        <v>226438</v>
      </c>
      <c r="J13" s="10">
        <f t="shared" ref="J13" si="14">+J11-J12</f>
        <v>121315</v>
      </c>
      <c r="K13" s="10">
        <f t="shared" ref="K13:L13" si="15">+K11-K12</f>
        <v>35474</v>
      </c>
      <c r="L13" s="10">
        <f t="shared" si="15"/>
        <v>74717</v>
      </c>
    </row>
    <row r="14" spans="2:12" ht="11.45" customHeight="1">
      <c r="B14" s="9" t="s">
        <v>8</v>
      </c>
      <c r="C14" s="13">
        <f>-(+C15-C13)</f>
        <v>-43674</v>
      </c>
      <c r="D14" s="13">
        <f t="shared" ref="D14:G14" si="16">-(+D15-D13)</f>
        <v>12985</v>
      </c>
      <c r="E14" s="13">
        <f t="shared" si="16"/>
        <v>8879</v>
      </c>
      <c r="F14" s="13">
        <f t="shared" si="16"/>
        <v>26059</v>
      </c>
      <c r="G14" s="13">
        <f t="shared" si="16"/>
        <v>45156</v>
      </c>
      <c r="H14" s="13">
        <f t="shared" ref="H14" si="17">-(+H15-H13)</f>
        <v>-104780</v>
      </c>
      <c r="I14" s="13">
        <f t="shared" ref="I14" si="18">-(+I15-I13)</f>
        <v>30827</v>
      </c>
      <c r="J14" s="13">
        <f t="shared" ref="J14" si="19">-(+J15-J13)</f>
        <v>43649</v>
      </c>
      <c r="K14" s="13">
        <f t="shared" ref="K14:L14" si="20">-(+K15-K13)</f>
        <v>8551</v>
      </c>
      <c r="L14" s="13">
        <f t="shared" si="20"/>
        <v>21032</v>
      </c>
    </row>
    <row r="15" spans="2:12" ht="11.45" customHeight="1">
      <c r="B15" s="9" t="s">
        <v>9</v>
      </c>
      <c r="C15" s="14">
        <f>+'Revenue Yahoo Input'!C28/1000</f>
        <v>71756</v>
      </c>
      <c r="D15" s="14">
        <f>+'Revenue Yahoo Input'!D28/1000</f>
        <v>194453</v>
      </c>
      <c r="E15" s="14">
        <f>+'Revenue Yahoo Input'!E28/1000</f>
        <v>253832</v>
      </c>
      <c r="F15" s="14">
        <f>+'Revenue Yahoo Input'!F28/1000</f>
        <v>231702</v>
      </c>
      <c r="G15" s="14">
        <f>+'Revenue Yahoo Input'!G28/1000</f>
        <v>197703</v>
      </c>
      <c r="H15" s="14">
        <f>+'Revenue Yahoo Input'!H28/1000</f>
        <v>359558</v>
      </c>
      <c r="I15" s="14">
        <f>+'Revenue Yahoo Input'!I28/1000</f>
        <v>195611</v>
      </c>
      <c r="J15" s="14">
        <f>+'Revenue Yahoo Input'!J28/1000</f>
        <v>77666</v>
      </c>
      <c r="K15" s="14">
        <f>+'Revenue Yahoo Input'!K28/1000</f>
        <v>26923</v>
      </c>
      <c r="L15" s="14">
        <f>+'Revenue Yahoo Input'!L28/1000</f>
        <v>53685</v>
      </c>
    </row>
    <row r="16" spans="2:12" ht="11.45" customHeight="1">
      <c r="B16" s="9" t="s">
        <v>10</v>
      </c>
      <c r="C16" s="10">
        <f>+C15-C17</f>
        <v>48489</v>
      </c>
      <c r="D16" s="10">
        <f t="shared" ref="D16:K16" si="21">+D15-D17</f>
        <v>124785</v>
      </c>
      <c r="E16" s="10">
        <f t="shared" si="21"/>
        <v>140968</v>
      </c>
      <c r="F16" s="10">
        <f t="shared" si="21"/>
        <v>152855</v>
      </c>
      <c r="G16" s="10">
        <f t="shared" si="21"/>
        <v>127771</v>
      </c>
      <c r="H16" s="10">
        <f t="shared" si="21"/>
        <v>246518</v>
      </c>
      <c r="I16" s="10">
        <f t="shared" si="21"/>
        <v>156015</v>
      </c>
      <c r="J16" s="10">
        <f t="shared" si="21"/>
        <v>-8565</v>
      </c>
      <c r="K16" s="10">
        <f t="shared" si="21"/>
        <v>6191</v>
      </c>
      <c r="L16" s="10">
        <f t="shared" ref="L16" si="22">+L15-L17</f>
        <v>8112</v>
      </c>
    </row>
    <row r="17" spans="2:12" ht="11.45" customHeight="1" thickBot="1">
      <c r="B17" s="7" t="s">
        <v>11</v>
      </c>
      <c r="C17" s="11">
        <f>+'Revenue Yahoo Input'!C30/1000</f>
        <v>23267</v>
      </c>
      <c r="D17" s="11">
        <f>+'Revenue Yahoo Input'!D30/1000</f>
        <v>69668</v>
      </c>
      <c r="E17" s="11">
        <f>+'Revenue Yahoo Input'!E30/1000</f>
        <v>112864</v>
      </c>
      <c r="F17" s="11">
        <f>+'Revenue Yahoo Input'!F30/1000</f>
        <v>78847</v>
      </c>
      <c r="G17" s="11">
        <f>+'Revenue Yahoo Input'!G30/1000</f>
        <v>69932</v>
      </c>
      <c r="H17" s="11">
        <f>+'Revenue Yahoo Input'!H30/1000</f>
        <v>113040</v>
      </c>
      <c r="I17" s="11">
        <f>+'Revenue Yahoo Input'!I30/1000</f>
        <v>39596</v>
      </c>
      <c r="J17" s="11">
        <f>+'Revenue Yahoo Input'!J30/1000</f>
        <v>86231</v>
      </c>
      <c r="K17" s="11">
        <f>+'Revenue Yahoo Input'!K30/1000</f>
        <v>20732</v>
      </c>
      <c r="L17" s="11">
        <f>+'Revenue Yahoo Input'!L30/1000</f>
        <v>45573</v>
      </c>
    </row>
    <row r="18" spans="2:12" ht="11.45" customHeight="1" thickTop="1">
      <c r="L18" s="228"/>
    </row>
    <row r="19" spans="2:12" ht="15" customHeight="1">
      <c r="B19" s="305" t="s">
        <v>279</v>
      </c>
      <c r="C19" s="305"/>
      <c r="D19" s="306"/>
      <c r="E19" s="306"/>
      <c r="F19" s="306"/>
      <c r="G19" s="306"/>
      <c r="H19" s="307"/>
      <c r="I19" s="308"/>
      <c r="J19" s="308"/>
      <c r="K19" s="309"/>
      <c r="L19" s="309"/>
    </row>
    <row r="20" spans="2:12" ht="19.7" customHeight="1">
      <c r="B20" s="300"/>
      <c r="C20" s="301" t="s">
        <v>272</v>
      </c>
      <c r="D20" s="301" t="s">
        <v>272</v>
      </c>
      <c r="E20" s="301" t="s">
        <v>272</v>
      </c>
      <c r="F20" s="301" t="s">
        <v>272</v>
      </c>
      <c r="G20" s="301" t="s">
        <v>272</v>
      </c>
      <c r="H20" s="301" t="s">
        <v>272</v>
      </c>
      <c r="I20" s="301" t="s">
        <v>272</v>
      </c>
      <c r="J20" s="301" t="s">
        <v>272</v>
      </c>
      <c r="K20" s="301" t="s">
        <v>272</v>
      </c>
      <c r="L20" s="301" t="s">
        <v>272</v>
      </c>
    </row>
    <row r="21" spans="2:12" s="6" customFormat="1" ht="20.350000000000001" customHeight="1" thickBot="1">
      <c r="B21" s="302" t="s">
        <v>0</v>
      </c>
      <c r="C21" s="303">
        <f>+C6</f>
        <v>2020</v>
      </c>
      <c r="D21" s="303">
        <f t="shared" ref="D21:L21" si="23">+D6</f>
        <v>2019</v>
      </c>
      <c r="E21" s="303">
        <f t="shared" si="23"/>
        <v>2018</v>
      </c>
      <c r="F21" s="303">
        <f t="shared" si="23"/>
        <v>2017</v>
      </c>
      <c r="G21" s="303">
        <f t="shared" si="23"/>
        <v>2016</v>
      </c>
      <c r="H21" s="303">
        <f t="shared" si="23"/>
        <v>2015</v>
      </c>
      <c r="I21" s="303">
        <f t="shared" si="23"/>
        <v>2014</v>
      </c>
      <c r="J21" s="303">
        <f t="shared" si="23"/>
        <v>2013</v>
      </c>
      <c r="K21" s="303">
        <f t="shared" si="23"/>
        <v>2012</v>
      </c>
      <c r="L21" s="303">
        <f t="shared" si="23"/>
        <v>2011</v>
      </c>
    </row>
    <row r="22" spans="2:12" ht="11.45" customHeight="1">
      <c r="B22" s="225" t="s">
        <v>12</v>
      </c>
      <c r="C22" s="226"/>
      <c r="D22" s="226"/>
      <c r="E22" s="226"/>
      <c r="F22" s="226"/>
      <c r="G22" s="226"/>
      <c r="H22" s="226"/>
      <c r="I22" s="226"/>
      <c r="J22" s="226"/>
      <c r="K22" s="226"/>
      <c r="L22" s="226"/>
    </row>
    <row r="23" spans="2:12" ht="11.45" customHeight="1">
      <c r="B23" s="16" t="s">
        <v>13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spans="2:12" ht="11.45" customHeight="1">
      <c r="B24" s="9" t="s">
        <v>14</v>
      </c>
      <c r="C24" s="14">
        <f>+'Balance Sheet Yahoo Input'!B5/1000</f>
        <v>396770</v>
      </c>
      <c r="D24" s="14">
        <f>+'Balance Sheet Yahoo Input'!C5/1000</f>
        <v>346812</v>
      </c>
      <c r="E24" s="14">
        <f>+'Balance Sheet Yahoo Input'!D5/1000</f>
        <v>287458</v>
      </c>
      <c r="F24" s="14">
        <f>+'Balance Sheet Yahoo Input'!E5/1000</f>
        <v>113343</v>
      </c>
      <c r="G24" s="14">
        <f>+'Balance Sheet Yahoo Input'!F5/1000</f>
        <v>84158</v>
      </c>
      <c r="H24" s="14">
        <f>+'Balance Sheet Yahoo Input'!G5/1000</f>
        <v>373239</v>
      </c>
      <c r="I24" s="14">
        <f>+'Balance Sheet Yahoo Input'!H5/1000</f>
        <v>121324</v>
      </c>
      <c r="J24" s="14">
        <f>+'Balance Sheet Yahoo Input'!I5/1000</f>
        <v>60457</v>
      </c>
      <c r="K24" s="14">
        <f>+'Balance Sheet Yahoo Input'!J5/1000</f>
        <v>103582</v>
      </c>
      <c r="L24" s="14">
        <f>+'Balance Sheet Yahoo Input'!K5/1000</f>
        <v>98584</v>
      </c>
    </row>
    <row r="25" spans="2:12" ht="11.45" customHeight="1">
      <c r="B25" s="9" t="s">
        <v>15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1</v>
      </c>
    </row>
    <row r="26" spans="2:12" ht="11.45" customHeight="1">
      <c r="B26" s="9" t="s">
        <v>16</v>
      </c>
      <c r="C26" s="14">
        <f>+C24+C25</f>
        <v>396770</v>
      </c>
      <c r="D26" s="14">
        <f t="shared" ref="D26:G26" si="24">+D24+D25</f>
        <v>346812</v>
      </c>
      <c r="E26" s="14">
        <f t="shared" si="24"/>
        <v>287458</v>
      </c>
      <c r="F26" s="14">
        <f t="shared" si="24"/>
        <v>113343</v>
      </c>
      <c r="G26" s="14">
        <f t="shared" si="24"/>
        <v>84158</v>
      </c>
      <c r="H26" s="14">
        <f t="shared" ref="H26" si="25">+H24+H25</f>
        <v>373239</v>
      </c>
      <c r="I26" s="14">
        <f t="shared" ref="I26" si="26">+I24+I25</f>
        <v>121324</v>
      </c>
      <c r="J26" s="14">
        <f t="shared" ref="J26" si="27">+J24+J25</f>
        <v>60457</v>
      </c>
      <c r="K26" s="14">
        <f t="shared" ref="K26:L26" si="28">+K24+K25</f>
        <v>103582</v>
      </c>
      <c r="L26" s="14">
        <f t="shared" si="28"/>
        <v>98585</v>
      </c>
    </row>
    <row r="27" spans="2:12" ht="11.45" customHeight="1">
      <c r="B27" s="9" t="s">
        <v>17</v>
      </c>
      <c r="C27" s="14">
        <f>+'Balance Sheet Yahoo Input'!B7/1000</f>
        <v>13709</v>
      </c>
      <c r="D27" s="14">
        <f>+'Balance Sheet Yahoo Input'!C7/1000</f>
        <v>14020</v>
      </c>
      <c r="E27" s="14">
        <f>+'Balance Sheet Yahoo Input'!D7/1000</f>
        <v>19769</v>
      </c>
      <c r="F27" s="14">
        <f>+'Balance Sheet Yahoo Input'!E7/1000</f>
        <v>21578</v>
      </c>
      <c r="G27" s="14">
        <f>+'Balance Sheet Yahoo Input'!F7/1000</f>
        <v>20837</v>
      </c>
      <c r="H27" s="14">
        <f>+'Balance Sheet Yahoo Input'!G7/1000</f>
        <v>18164</v>
      </c>
      <c r="I27" s="14">
        <f>+'Balance Sheet Yahoo Input'!H7/1000</f>
        <v>26552</v>
      </c>
      <c r="J27" s="14">
        <f>+'Balance Sheet Yahoo Input'!I7/1000</f>
        <v>21566</v>
      </c>
      <c r="K27" s="14">
        <f>+'Balance Sheet Yahoo Input'!J7/1000</f>
        <v>18549</v>
      </c>
      <c r="L27" s="14">
        <f>+'Balance Sheet Yahoo Input'!K7/1000</f>
        <v>14945</v>
      </c>
    </row>
    <row r="28" spans="2:12" ht="11.45" customHeight="1">
      <c r="B28" s="9" t="s">
        <v>18</v>
      </c>
      <c r="C28" s="17">
        <f>+'Balance Sheet Yahoo Input'!B11/1000</f>
        <v>0</v>
      </c>
      <c r="D28" s="17">
        <f>+'Balance Sheet Yahoo Input'!C11/1000</f>
        <v>0</v>
      </c>
      <c r="E28" s="17">
        <f>+'Balance Sheet Yahoo Input'!D11/1000</f>
        <v>0</v>
      </c>
      <c r="F28" s="17">
        <f>+'Balance Sheet Yahoo Input'!E11/1000</f>
        <v>0</v>
      </c>
      <c r="G28" s="17">
        <f>+'Balance Sheet Yahoo Input'!F11/1000</f>
        <v>0</v>
      </c>
      <c r="H28" s="17">
        <f>+'Balance Sheet Yahoo Input'!G11/1000</f>
        <v>0</v>
      </c>
      <c r="I28" s="17">
        <f>+'Balance Sheet Yahoo Input'!H11/1000</f>
        <v>0</v>
      </c>
      <c r="J28" s="17">
        <f>+'Balance Sheet Yahoo Input'!I11/1000</f>
        <v>0</v>
      </c>
      <c r="K28" s="17">
        <f>+'Balance Sheet Yahoo Input'!J11/1000</f>
        <v>0</v>
      </c>
      <c r="L28" s="17">
        <f>+'Balance Sheet Yahoo Input'!K11/1000</f>
        <v>0</v>
      </c>
    </row>
    <row r="29" spans="2:12" ht="11.45" customHeight="1">
      <c r="B29" s="9" t="s">
        <v>19</v>
      </c>
      <c r="C29" s="14">
        <f>SUM(C26:C28)</f>
        <v>410479</v>
      </c>
      <c r="D29" s="14">
        <f t="shared" ref="D29:G29" si="29">SUM(D26:D28)</f>
        <v>360832</v>
      </c>
      <c r="E29" s="14">
        <f t="shared" si="29"/>
        <v>307227</v>
      </c>
      <c r="F29" s="14">
        <f t="shared" si="29"/>
        <v>134921</v>
      </c>
      <c r="G29" s="14">
        <f t="shared" si="29"/>
        <v>104995</v>
      </c>
      <c r="H29" s="14">
        <f t="shared" ref="H29" si="30">SUM(H26:H28)</f>
        <v>391403</v>
      </c>
      <c r="I29" s="14">
        <f t="shared" ref="I29" si="31">SUM(I26:I28)</f>
        <v>147876</v>
      </c>
      <c r="J29" s="14">
        <f t="shared" ref="J29" si="32">SUM(J26:J28)</f>
        <v>82023</v>
      </c>
      <c r="K29" s="14">
        <f t="shared" ref="K29:L29" si="33">SUM(K26:K28)</f>
        <v>122131</v>
      </c>
      <c r="L29" s="14">
        <f t="shared" si="33"/>
        <v>113530</v>
      </c>
    </row>
    <row r="30" spans="2:12" ht="11.45" customHeight="1">
      <c r="B30" s="19"/>
      <c r="C30" s="14"/>
      <c r="D30" s="14"/>
      <c r="E30" s="14"/>
      <c r="F30" s="14"/>
      <c r="G30" s="14"/>
      <c r="H30" s="14"/>
      <c r="I30" s="14"/>
      <c r="J30" s="14"/>
      <c r="K30" s="14"/>
      <c r="L30" s="14"/>
    </row>
    <row r="31" spans="2:12" ht="11.45" customHeight="1">
      <c r="B31" s="16" t="s">
        <v>20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</row>
    <row r="32" spans="2:12" ht="11.45" customHeight="1">
      <c r="B32" s="9" t="s">
        <v>21</v>
      </c>
      <c r="C32" s="14">
        <f>+'Balance Sheet Yahoo Input'!B19/1000</f>
        <v>4987941</v>
      </c>
      <c r="D32" s="14">
        <f>+'Balance Sheet Yahoo Input'!C19/1000</f>
        <v>4867499</v>
      </c>
      <c r="E32" s="14">
        <f>+'Balance Sheet Yahoo Input'!D19/1000</f>
        <v>4671737</v>
      </c>
      <c r="F32" s="14">
        <f>+'Balance Sheet Yahoo Input'!E19/1000</f>
        <v>4895933</v>
      </c>
      <c r="G32" s="14">
        <f>+'Balance Sheet Yahoo Input'!F19/1000</f>
        <v>4878973</v>
      </c>
      <c r="H32" s="14">
        <f>+'Balance Sheet Yahoo Input'!G19/1000</f>
        <v>4703270</v>
      </c>
      <c r="I32" s="14">
        <f>+'Balance Sheet Yahoo Input'!H19/1000</f>
        <v>4709962</v>
      </c>
      <c r="J32" s="14">
        <f>+'Balance Sheet Yahoo Input'!I19/1000</f>
        <v>4566688</v>
      </c>
      <c r="K32" s="14">
        <f>+'Balance Sheet Yahoo Input'!J19/1000</f>
        <v>4385964</v>
      </c>
      <c r="L32" s="14">
        <f>+'Balance Sheet Yahoo Input'!K19/1000</f>
        <v>3996335</v>
      </c>
    </row>
    <row r="33" spans="2:12" ht="11.45" customHeight="1">
      <c r="B33" s="9" t="s">
        <v>22</v>
      </c>
      <c r="C33" s="14">
        <f>+C34-C32</f>
        <v>-1541986</v>
      </c>
      <c r="D33" s="14">
        <f t="shared" ref="D33:K33" si="34">+D34-D32</f>
        <v>-1373950</v>
      </c>
      <c r="E33" s="14">
        <f t="shared" si="34"/>
        <v>-1218105</v>
      </c>
      <c r="F33" s="14">
        <f t="shared" si="34"/>
        <v>-1142799</v>
      </c>
      <c r="G33" s="14">
        <f t="shared" si="34"/>
        <v>-973669</v>
      </c>
      <c r="H33" s="14">
        <f t="shared" si="34"/>
        <v>-781929</v>
      </c>
      <c r="I33" s="14">
        <f t="shared" si="34"/>
        <v>-622514</v>
      </c>
      <c r="J33" s="14">
        <f t="shared" si="34"/>
        <v>-439371</v>
      </c>
      <c r="K33" s="14">
        <f t="shared" si="34"/>
        <v>-275342</v>
      </c>
      <c r="L33" s="14">
        <f t="shared" ref="L33" si="35">+L34-L32</f>
        <v>-152203</v>
      </c>
    </row>
    <row r="34" spans="2:12" ht="11.45" customHeight="1">
      <c r="B34" s="9" t="s">
        <v>23</v>
      </c>
      <c r="C34" s="20">
        <f>+'Balance Sheet Yahoo Input'!B18/1000</f>
        <v>3445955</v>
      </c>
      <c r="D34" s="20">
        <f>+'Balance Sheet Yahoo Input'!C18/1000</f>
        <v>3493549</v>
      </c>
      <c r="E34" s="20">
        <f>+'Balance Sheet Yahoo Input'!D18/1000</f>
        <v>3453632</v>
      </c>
      <c r="F34" s="20">
        <f>+'Balance Sheet Yahoo Input'!E18/1000</f>
        <v>3753134</v>
      </c>
      <c r="G34" s="20">
        <f>+'Balance Sheet Yahoo Input'!F18/1000</f>
        <v>3905304</v>
      </c>
      <c r="H34" s="20">
        <f>+'Balance Sheet Yahoo Input'!G18/1000</f>
        <v>3921341</v>
      </c>
      <c r="I34" s="20">
        <f>+'Balance Sheet Yahoo Input'!H18/1000</f>
        <v>4087448</v>
      </c>
      <c r="J34" s="20">
        <f>+'Balance Sheet Yahoo Input'!I18/1000</f>
        <v>4127317</v>
      </c>
      <c r="K34" s="20">
        <f>+'Balance Sheet Yahoo Input'!J18/1000</f>
        <v>4110622</v>
      </c>
      <c r="L34" s="20">
        <f>+'Balance Sheet Yahoo Input'!K18/1000</f>
        <v>3844132</v>
      </c>
    </row>
    <row r="35" spans="2:12" ht="11.45" customHeight="1">
      <c r="B35" s="9" t="s">
        <v>24</v>
      </c>
      <c r="C35" s="14">
        <f>+'Balance Sheet Yahoo Input'!B32/1000</f>
        <v>140416</v>
      </c>
      <c r="D35" s="14">
        <f>+'Balance Sheet Yahoo Input'!C32/1000</f>
        <v>65825</v>
      </c>
      <c r="E35" s="14">
        <f>+'Balance Sheet Yahoo Input'!D32/1000</f>
        <v>66258</v>
      </c>
      <c r="F35" s="14">
        <f>+'Balance Sheet Yahoo Input'!E32/1000</f>
        <v>66285</v>
      </c>
      <c r="G35" s="14">
        <f>+'Balance Sheet Yahoo Input'!F32/1000</f>
        <v>50101</v>
      </c>
      <c r="H35" s="14">
        <f>+'Balance Sheet Yahoo Input'!G32/1000</f>
        <v>48486</v>
      </c>
      <c r="I35" s="14">
        <f>+'Balance Sheet Yahoo Input'!H32/1000</f>
        <v>48054</v>
      </c>
      <c r="J35" s="14">
        <f>+'Balance Sheet Yahoo Input'!I32/1000</f>
        <v>53094</v>
      </c>
      <c r="K35" s="14">
        <f>+'Balance Sheet Yahoo Input'!J32/1000</f>
        <v>41739</v>
      </c>
      <c r="L35" s="14">
        <f>+'Balance Sheet Yahoo Input'!K32/1000</f>
        <v>27151</v>
      </c>
    </row>
    <row r="36" spans="2:12" ht="11.45" customHeight="1">
      <c r="B36" s="9" t="s">
        <v>25</v>
      </c>
      <c r="C36" s="14">
        <f>+'Balance Sheet Yahoo Input'!B28/1000</f>
        <v>45055</v>
      </c>
      <c r="D36" s="14">
        <f>+'Balance Sheet Yahoo Input'!C28/1000</f>
        <v>45192</v>
      </c>
      <c r="E36" s="14">
        <f>+'Balance Sheet Yahoo Input'!D28/1000</f>
        <v>45192</v>
      </c>
      <c r="F36" s="14">
        <f>+'Balance Sheet Yahoo Input'!E28/1000</f>
        <v>48866</v>
      </c>
      <c r="G36" s="14">
        <f>+'Balance Sheet Yahoo Input'!F28/1000</f>
        <v>53531</v>
      </c>
      <c r="H36" s="14">
        <f>+'Balance Sheet Yahoo Input'!G28/1000</f>
        <v>53531</v>
      </c>
      <c r="I36" s="14">
        <f>+'Balance Sheet Yahoo Input'!H28/1000</f>
        <v>55633</v>
      </c>
      <c r="J36" s="14">
        <f>+'Balance Sheet Yahoo Input'!I28/1000</f>
        <v>55633</v>
      </c>
      <c r="K36" s="14">
        <f>+'Balance Sheet Yahoo Input'!J28/1000</f>
        <v>55633</v>
      </c>
      <c r="L36" s="14">
        <f>+'Balance Sheet Yahoo Input'!K28/1000</f>
        <v>55633</v>
      </c>
    </row>
    <row r="37" spans="2:12" ht="11.45" customHeight="1">
      <c r="B37" s="9" t="s">
        <v>26</v>
      </c>
      <c r="C37" s="14">
        <f>+'Balance Sheet Yahoo Input'!B29/1000</f>
        <v>34093</v>
      </c>
      <c r="D37" s="14">
        <f>+'Balance Sheet Yahoo Input'!C29/1000</f>
        <v>34183</v>
      </c>
      <c r="E37" s="14">
        <f>+'Balance Sheet Yahoo Input'!D29/1000</f>
        <v>28714</v>
      </c>
      <c r="F37" s="14">
        <f>+'Balance Sheet Yahoo Input'!E29/1000</f>
        <v>27043</v>
      </c>
      <c r="G37" s="14">
        <f>+'Balance Sheet Yahoo Input'!F29/1000</f>
        <v>28383</v>
      </c>
      <c r="H37" s="14">
        <f>+'Balance Sheet Yahoo Input'!G29/1000</f>
        <v>29723</v>
      </c>
      <c r="I37" s="14">
        <f>+'Balance Sheet Yahoo Input'!H29/1000</f>
        <v>31656</v>
      </c>
      <c r="J37" s="14">
        <f>+'Balance Sheet Yahoo Input'!I29/1000</f>
        <v>33030</v>
      </c>
      <c r="K37" s="14">
        <f>+'Balance Sheet Yahoo Input'!J29/1000</f>
        <v>34404</v>
      </c>
      <c r="L37" s="14">
        <f>+'Balance Sheet Yahoo Input'!K29/1000</f>
        <v>35778</v>
      </c>
    </row>
    <row r="38" spans="2:12" ht="11.45" customHeight="1">
      <c r="B38" s="9" t="s">
        <v>27</v>
      </c>
      <c r="C38" s="17">
        <f>+C40-C37-C36-C35-C34-C29</f>
        <v>13151</v>
      </c>
      <c r="D38" s="17">
        <f t="shared" ref="D38:G38" si="36">+D40-D37-D36-D35-D34-D29</f>
        <v>31015</v>
      </c>
      <c r="E38" s="17">
        <f t="shared" si="36"/>
        <v>23187</v>
      </c>
      <c r="F38" s="17">
        <f t="shared" si="36"/>
        <v>45756</v>
      </c>
      <c r="G38" s="17">
        <f t="shared" si="36"/>
        <v>37990</v>
      </c>
      <c r="H38" s="17">
        <f t="shared" ref="H38" si="37">+H40-H37-H36-H35-H34-H29</f>
        <v>84416</v>
      </c>
      <c r="I38" s="17">
        <f t="shared" ref="I38" si="38">+I40-I37-I36-I35-I34-I29</f>
        <v>110453</v>
      </c>
      <c r="J38" s="17">
        <f t="shared" ref="J38" si="39">+J40-J37-J36-J35-J34-J29</f>
        <v>98590</v>
      </c>
      <c r="K38" s="17">
        <f t="shared" ref="K38:L38" si="40">+K40-K37-K36-K35-K34-K29</f>
        <v>127205</v>
      </c>
      <c r="L38" s="17">
        <f t="shared" si="40"/>
        <v>281080</v>
      </c>
    </row>
    <row r="39" spans="2:12" ht="11.45" customHeight="1">
      <c r="B39" s="9" t="s">
        <v>28</v>
      </c>
      <c r="C39" s="14">
        <f>SUM(C34:C38)</f>
        <v>3678670</v>
      </c>
      <c r="D39" s="14">
        <f t="shared" ref="D39:G39" si="41">SUM(D34:D38)</f>
        <v>3669764</v>
      </c>
      <c r="E39" s="14">
        <f t="shared" si="41"/>
        <v>3616983</v>
      </c>
      <c r="F39" s="14">
        <f t="shared" si="41"/>
        <v>3941084</v>
      </c>
      <c r="G39" s="14">
        <f t="shared" si="41"/>
        <v>4075309</v>
      </c>
      <c r="H39" s="14">
        <f t="shared" ref="H39" si="42">SUM(H34:H38)</f>
        <v>4137497</v>
      </c>
      <c r="I39" s="14">
        <f t="shared" ref="I39" si="43">SUM(I34:I38)</f>
        <v>4333244</v>
      </c>
      <c r="J39" s="14">
        <f t="shared" ref="J39" si="44">SUM(J34:J38)</f>
        <v>4367664</v>
      </c>
      <c r="K39" s="14">
        <f t="shared" ref="K39:L39" si="45">SUM(K34:K38)</f>
        <v>4369603</v>
      </c>
      <c r="L39" s="14">
        <f t="shared" si="45"/>
        <v>4243774</v>
      </c>
    </row>
    <row r="40" spans="2:12" ht="11.45" customHeight="1" thickBot="1">
      <c r="B40" s="7" t="s">
        <v>29</v>
      </c>
      <c r="C40" s="21">
        <f>+'Balance Sheet Yahoo Input'!B2/1000</f>
        <v>4089149</v>
      </c>
      <c r="D40" s="21">
        <f>+'Balance Sheet Yahoo Input'!C2/1000</f>
        <v>4030596</v>
      </c>
      <c r="E40" s="21">
        <f>+'Balance Sheet Yahoo Input'!D2/1000</f>
        <v>3924210</v>
      </c>
      <c r="F40" s="21">
        <f>+'Balance Sheet Yahoo Input'!E2/1000</f>
        <v>4076005</v>
      </c>
      <c r="G40" s="21">
        <f>+'Balance Sheet Yahoo Input'!F2/1000</f>
        <v>4180304</v>
      </c>
      <c r="H40" s="21">
        <f>+'Balance Sheet Yahoo Input'!G2/1000</f>
        <v>4528900</v>
      </c>
      <c r="I40" s="21">
        <f>+'Balance Sheet Yahoo Input'!H2/1000</f>
        <v>4481120</v>
      </c>
      <c r="J40" s="21">
        <f>+'Balance Sheet Yahoo Input'!I2/1000</f>
        <v>4449687</v>
      </c>
      <c r="K40" s="21">
        <f>+'Balance Sheet Yahoo Input'!J2/1000</f>
        <v>4491734</v>
      </c>
      <c r="L40" s="21">
        <f>+'Balance Sheet Yahoo Input'!K2/1000</f>
        <v>4357304</v>
      </c>
    </row>
    <row r="41" spans="2:12" ht="11.45" customHeight="1" thickTop="1">
      <c r="B41" s="19"/>
      <c r="C41" s="14"/>
      <c r="D41" s="14"/>
      <c r="E41" s="14"/>
      <c r="F41" s="14"/>
      <c r="G41" s="14"/>
      <c r="H41" s="14"/>
      <c r="I41" s="14"/>
      <c r="J41" s="14"/>
      <c r="K41" s="14"/>
      <c r="L41" s="14"/>
    </row>
    <row r="42" spans="2:12" ht="11.45" customHeight="1">
      <c r="B42" s="16" t="s">
        <v>30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</row>
    <row r="43" spans="2:12" ht="11.45" customHeight="1">
      <c r="B43" s="9" t="s">
        <v>31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</row>
    <row r="44" spans="2:12" ht="11.45" customHeight="1">
      <c r="B44" s="9" t="s">
        <v>32</v>
      </c>
      <c r="C44" s="14">
        <f>+'Balance Sheet Yahoo Input'!B35/1000</f>
        <v>253198</v>
      </c>
      <c r="D44" s="14">
        <f>+'Balance Sheet Yahoo Input'!C35/1000</f>
        <v>211181</v>
      </c>
      <c r="E44" s="14">
        <f>+'Balance Sheet Yahoo Input'!D35/1000</f>
        <v>210934</v>
      </c>
      <c r="F44" s="14">
        <f>+'Balance Sheet Yahoo Input'!E35/1000</f>
        <v>188257</v>
      </c>
      <c r="G44" s="14">
        <f>+'Balance Sheet Yahoo Input'!F35/1000</f>
        <v>193303</v>
      </c>
      <c r="H44" s="14">
        <f>+'Balance Sheet Yahoo Input'!G35/1000</f>
        <v>243969</v>
      </c>
      <c r="I44" s="14">
        <f>+'Balance Sheet Yahoo Input'!H35/1000</f>
        <v>172440</v>
      </c>
      <c r="J44" s="14">
        <f>+'Balance Sheet Yahoo Input'!I35/1000</f>
        <v>175122</v>
      </c>
      <c r="K44" s="14">
        <f>+'Balance Sheet Yahoo Input'!J35/1000</f>
        <v>124362</v>
      </c>
      <c r="L44" s="14">
        <f>+'Balance Sheet Yahoo Input'!K35/1000</f>
        <v>119253</v>
      </c>
    </row>
    <row r="45" spans="2:12" ht="11.45" customHeight="1">
      <c r="B45" s="9" t="s">
        <v>33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</row>
    <row r="46" spans="2:12" ht="11.45" customHeight="1">
      <c r="B46" s="9" t="s">
        <v>539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</row>
    <row r="47" spans="2:12" ht="11.45" customHeight="1">
      <c r="B47" s="9" t="s">
        <v>35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2:12" ht="11.45" customHeight="1">
      <c r="B48" s="9" t="s">
        <v>36</v>
      </c>
      <c r="C48" s="20">
        <f>+'Balance Sheet Yahoo Input'!B34/1000</f>
        <v>253198</v>
      </c>
      <c r="D48" s="20">
        <f>+'Balance Sheet Yahoo Input'!C34/1000</f>
        <v>211181</v>
      </c>
      <c r="E48" s="20">
        <f>+'Balance Sheet Yahoo Input'!D34/1000</f>
        <v>210934</v>
      </c>
      <c r="F48" s="20">
        <f>+'Balance Sheet Yahoo Input'!E34/1000</f>
        <v>188257</v>
      </c>
      <c r="G48" s="20">
        <f>+'Balance Sheet Yahoo Input'!F34/1000</f>
        <v>193303</v>
      </c>
      <c r="H48" s="20">
        <f>+'Balance Sheet Yahoo Input'!G34/1000</f>
        <v>243969</v>
      </c>
      <c r="I48" s="20">
        <f>+'Balance Sheet Yahoo Input'!H34/1000</f>
        <v>172440</v>
      </c>
      <c r="J48" s="20">
        <f>+'Balance Sheet Yahoo Input'!I34/1000</f>
        <v>175122</v>
      </c>
      <c r="K48" s="20">
        <f>+'Balance Sheet Yahoo Input'!J34/1000</f>
        <v>124362</v>
      </c>
      <c r="L48" s="20">
        <f>+'Balance Sheet Yahoo Input'!K34/1000</f>
        <v>119253</v>
      </c>
    </row>
    <row r="49" spans="2:12" ht="11.45" customHeight="1">
      <c r="B49" s="22"/>
      <c r="C49" s="14"/>
      <c r="D49" s="14"/>
      <c r="E49" s="14"/>
      <c r="F49" s="14"/>
      <c r="G49" s="14"/>
      <c r="H49" s="14"/>
      <c r="I49" s="14"/>
      <c r="J49" s="14"/>
      <c r="K49" s="14"/>
      <c r="L49" s="14"/>
    </row>
    <row r="50" spans="2:12" ht="11.45" customHeight="1">
      <c r="B50" s="16" t="s">
        <v>37</v>
      </c>
      <c r="C50" s="14"/>
      <c r="D50" s="14"/>
      <c r="E50" s="14"/>
      <c r="F50" s="14"/>
      <c r="G50" s="14"/>
      <c r="H50" s="14"/>
      <c r="I50" s="14"/>
      <c r="J50" s="14"/>
      <c r="K50" s="14"/>
      <c r="L50" s="14"/>
    </row>
    <row r="51" spans="2:12" ht="11.45" customHeight="1">
      <c r="B51" s="9" t="s">
        <v>38</v>
      </c>
      <c r="C51" s="14">
        <f>+'Balance Sheet Yahoo Input'!B47/1000</f>
        <v>2683622</v>
      </c>
      <c r="D51" s="14">
        <f>+'Balance Sheet Yahoo Input'!C47/1000</f>
        <v>2632636</v>
      </c>
      <c r="E51" s="14">
        <f>+'Balance Sheet Yahoo Input'!D47/1000</f>
        <v>2395507</v>
      </c>
      <c r="F51" s="14">
        <f>+'Balance Sheet Yahoo Input'!E47/1000</f>
        <v>2534768</v>
      </c>
      <c r="G51" s="14">
        <f>+'Balance Sheet Yahoo Input'!F47/1000</f>
        <v>2585274</v>
      </c>
      <c r="H51" s="14">
        <f>+'Balance Sheet Yahoo Input'!G47/1000</f>
        <v>2762388</v>
      </c>
      <c r="I51" s="14">
        <f>+'Balance Sheet Yahoo Input'!H47/1000</f>
        <v>2891369</v>
      </c>
      <c r="J51" s="14">
        <f>+'Balance Sheet Yahoo Input'!I47/1000</f>
        <v>2926045</v>
      </c>
      <c r="K51" s="14">
        <f>+'Balance Sheet Yahoo Input'!J47/1000</f>
        <v>3605708</v>
      </c>
      <c r="L51" s="14">
        <f>+'Balance Sheet Yahoo Input'!K47/1000</f>
        <v>2680219</v>
      </c>
    </row>
    <row r="52" spans="2:12" ht="11.45" customHeight="1">
      <c r="B52" s="9" t="s">
        <v>39</v>
      </c>
      <c r="C52" s="14">
        <f>+C55-C51-C53</f>
        <v>268084</v>
      </c>
      <c r="D52" s="14">
        <f t="shared" ref="D52:K52" si="46">+D55-D51-D53</f>
        <v>221690</v>
      </c>
      <c r="E52" s="14">
        <f t="shared" si="46"/>
        <v>218064</v>
      </c>
      <c r="F52" s="14">
        <f t="shared" si="46"/>
        <v>195390</v>
      </c>
      <c r="G52" s="14">
        <f t="shared" si="46"/>
        <v>217791</v>
      </c>
      <c r="H52" s="14">
        <f t="shared" si="46"/>
        <v>278155</v>
      </c>
      <c r="I52" s="14">
        <f t="shared" si="46"/>
        <v>200434</v>
      </c>
      <c r="J52" s="14">
        <f t="shared" si="46"/>
        <v>182434</v>
      </c>
      <c r="K52" s="14">
        <f t="shared" si="46"/>
        <v>133211</v>
      </c>
      <c r="L52" s="14">
        <f t="shared" ref="L52" si="47">+L55-L51-L53</f>
        <v>125715</v>
      </c>
    </row>
    <row r="53" spans="2:12" ht="11.45" customHeight="1">
      <c r="B53" s="9" t="s">
        <v>34</v>
      </c>
      <c r="C53" s="17"/>
      <c r="D53" s="17"/>
      <c r="E53" s="17"/>
      <c r="F53" s="17"/>
      <c r="G53" s="17"/>
      <c r="H53" s="17"/>
      <c r="I53" s="17"/>
      <c r="J53" s="17"/>
      <c r="K53" s="17"/>
      <c r="L53" s="17"/>
    </row>
    <row r="54" spans="2:12" ht="11.45" customHeight="1">
      <c r="B54" s="9" t="s">
        <v>40</v>
      </c>
      <c r="C54" s="14">
        <f>+'Balance Sheet Yahoo Input'!B45/1000</f>
        <v>2698508</v>
      </c>
      <c r="D54" s="14">
        <f>+'Balance Sheet Yahoo Input'!C45/1000</f>
        <v>2643145</v>
      </c>
      <c r="E54" s="14">
        <f>+'Balance Sheet Yahoo Input'!D45/1000</f>
        <v>2402637</v>
      </c>
      <c r="F54" s="14">
        <f>+'Balance Sheet Yahoo Input'!E45/1000</f>
        <v>2541901</v>
      </c>
      <c r="G54" s="14">
        <f>+'Balance Sheet Yahoo Input'!F45/1000</f>
        <v>2609762</v>
      </c>
      <c r="H54" s="14">
        <f>+'Balance Sheet Yahoo Input'!G45/1000</f>
        <v>2796574</v>
      </c>
      <c r="I54" s="14">
        <f>+'Balance Sheet Yahoo Input'!H45/1000</f>
        <v>2919363</v>
      </c>
      <c r="J54" s="14">
        <f>+'Balance Sheet Yahoo Input'!I45/1000</f>
        <v>2933357</v>
      </c>
      <c r="K54" s="14">
        <f>+'Balance Sheet Yahoo Input'!J45/1000</f>
        <v>3614557</v>
      </c>
      <c r="L54" s="14">
        <f>+'Balance Sheet Yahoo Input'!K45/1000</f>
        <v>2686681</v>
      </c>
    </row>
    <row r="55" spans="2:12" ht="11.45" customHeight="1">
      <c r="B55" s="9" t="s">
        <v>41</v>
      </c>
      <c r="C55" s="20">
        <f>+C54+C48</f>
        <v>2951706</v>
      </c>
      <c r="D55" s="20">
        <f t="shared" ref="D55:K55" si="48">+D54+D48</f>
        <v>2854326</v>
      </c>
      <c r="E55" s="20">
        <f t="shared" si="48"/>
        <v>2613571</v>
      </c>
      <c r="F55" s="20">
        <f t="shared" si="48"/>
        <v>2730158</v>
      </c>
      <c r="G55" s="20">
        <f t="shared" si="48"/>
        <v>2803065</v>
      </c>
      <c r="H55" s="20">
        <f t="shared" si="48"/>
        <v>3040543</v>
      </c>
      <c r="I55" s="20">
        <f t="shared" si="48"/>
        <v>3091803</v>
      </c>
      <c r="J55" s="20">
        <f t="shared" si="48"/>
        <v>3108479</v>
      </c>
      <c r="K55" s="20">
        <f t="shared" si="48"/>
        <v>3738919</v>
      </c>
      <c r="L55" s="20">
        <f t="shared" ref="L55" si="49">+L54+L48</f>
        <v>2805934</v>
      </c>
    </row>
    <row r="56" spans="2:12" ht="11.45" customHeight="1">
      <c r="B56" s="19"/>
      <c r="C56" s="14"/>
      <c r="D56" s="14"/>
      <c r="E56" s="14"/>
      <c r="F56" s="14"/>
      <c r="G56" s="14"/>
      <c r="H56" s="14"/>
      <c r="I56" s="14"/>
      <c r="J56" s="14"/>
      <c r="K56" s="14"/>
      <c r="L56" s="14"/>
    </row>
    <row r="57" spans="2:12" ht="11.45" customHeight="1">
      <c r="B57" s="16" t="s">
        <v>42</v>
      </c>
      <c r="C57" s="14"/>
      <c r="D57" s="14"/>
      <c r="E57" s="14"/>
      <c r="F57" s="14"/>
      <c r="G57" s="14"/>
      <c r="H57" s="14"/>
      <c r="I57" s="14"/>
      <c r="J57" s="14"/>
      <c r="K57" s="14"/>
      <c r="L57" s="14"/>
    </row>
    <row r="58" spans="2:12" ht="11.45" customHeight="1">
      <c r="B58" s="9" t="s">
        <v>43</v>
      </c>
      <c r="C58" s="14">
        <f>+'Balance Sheet Yahoo Input'!B54/1000</f>
        <v>1776</v>
      </c>
      <c r="D58" s="14">
        <f>+'Balance Sheet Yahoo Input'!C54/1000</f>
        <v>1795</v>
      </c>
      <c r="E58" s="14">
        <f>+'Balance Sheet Yahoo Input'!D54/1000</f>
        <v>1882</v>
      </c>
      <c r="F58" s="14">
        <f>+'Balance Sheet Yahoo Input'!E54/1000</f>
        <v>1921</v>
      </c>
      <c r="G58" s="14">
        <f>+'Balance Sheet Yahoo Input'!F54/1000</f>
        <v>1957</v>
      </c>
      <c r="H58" s="14">
        <f>+'Balance Sheet Yahoo Input'!G54/1000</f>
        <v>2049</v>
      </c>
      <c r="I58" s="14">
        <f>+'Balance Sheet Yahoo Input'!H54/1000</f>
        <v>2048</v>
      </c>
      <c r="J58" s="14">
        <f>+'Balance Sheet Yahoo Input'!I54/1000</f>
        <v>2048</v>
      </c>
      <c r="K58" s="14">
        <f>+'Balance Sheet Yahoo Input'!J54/1000</f>
        <v>744524</v>
      </c>
      <c r="L58" s="14">
        <f>+'Balance Sheet Yahoo Input'!K54/1000</f>
        <v>0</v>
      </c>
    </row>
    <row r="59" spans="2:12" ht="11.45" customHeight="1">
      <c r="B59" s="9" t="s">
        <v>540</v>
      </c>
      <c r="C59" s="14">
        <f>+C61-C58-C60</f>
        <v>1180331</v>
      </c>
      <c r="D59" s="14">
        <f t="shared" ref="D59:K59" si="50">+D61-D58-D60</f>
        <v>1222758</v>
      </c>
      <c r="E59" s="14">
        <f t="shared" si="50"/>
        <v>1276325</v>
      </c>
      <c r="F59" s="14">
        <f t="shared" si="50"/>
        <v>1337009</v>
      </c>
      <c r="G59" s="14">
        <f t="shared" si="50"/>
        <v>1351603</v>
      </c>
      <c r="H59" s="14">
        <f t="shared" si="50"/>
        <v>1384124</v>
      </c>
      <c r="I59" s="14">
        <f t="shared" si="50"/>
        <v>1373436</v>
      </c>
      <c r="J59" s="14">
        <f t="shared" si="50"/>
        <v>1364923</v>
      </c>
      <c r="K59" s="14">
        <f t="shared" si="50"/>
        <v>3281</v>
      </c>
      <c r="L59" s="14">
        <f t="shared" ref="L59" si="51">+L61-L58-L60</f>
        <v>1554396</v>
      </c>
    </row>
    <row r="60" spans="2:12" ht="11.45" customHeight="1">
      <c r="B60" s="9" t="s">
        <v>44</v>
      </c>
      <c r="C60" s="14">
        <f>+'Balance Sheet Yahoo Input'!B59/1000</f>
        <v>-44664</v>
      </c>
      <c r="D60" s="14">
        <f>+'Balance Sheet Yahoo Input'!C59/1000</f>
        <v>-48283</v>
      </c>
      <c r="E60" s="14">
        <f>+'Balance Sheet Yahoo Input'!D59/1000</f>
        <v>32432</v>
      </c>
      <c r="F60" s="14">
        <f>+'Balance Sheet Yahoo Input'!E59/1000</f>
        <v>6917</v>
      </c>
      <c r="G60" s="14">
        <f>+'Balance Sheet Yahoo Input'!F59/1000</f>
        <v>23679</v>
      </c>
      <c r="H60" s="14">
        <f>+'Balance Sheet Yahoo Input'!G59/1000</f>
        <v>102184</v>
      </c>
      <c r="I60" s="14">
        <f>+'Balance Sheet Yahoo Input'!H59/1000</f>
        <v>13833</v>
      </c>
      <c r="J60" s="14">
        <f>+'Balance Sheet Yahoo Input'!I59/1000</f>
        <v>-25763</v>
      </c>
      <c r="K60" s="14">
        <f>+'Balance Sheet Yahoo Input'!J59/1000</f>
        <v>5010</v>
      </c>
      <c r="L60" s="14">
        <f>+'Balance Sheet Yahoo Input'!K59/1000</f>
        <v>-3026</v>
      </c>
    </row>
    <row r="61" spans="2:12" ht="11.45" customHeight="1">
      <c r="B61" s="9" t="s">
        <v>45</v>
      </c>
      <c r="C61" s="20">
        <f>+'Balance Sheet Yahoo Input'!B52/1000</f>
        <v>1137443</v>
      </c>
      <c r="D61" s="20">
        <f>+'Balance Sheet Yahoo Input'!C52/1000</f>
        <v>1176270</v>
      </c>
      <c r="E61" s="20">
        <f>+'Balance Sheet Yahoo Input'!D52/1000</f>
        <v>1310639</v>
      </c>
      <c r="F61" s="20">
        <f>+'Balance Sheet Yahoo Input'!E52/1000</f>
        <v>1345847</v>
      </c>
      <c r="G61" s="20">
        <f>+'Balance Sheet Yahoo Input'!F52/1000</f>
        <v>1377239</v>
      </c>
      <c r="H61" s="20">
        <f>+'Balance Sheet Yahoo Input'!G52/1000</f>
        <v>1488357</v>
      </c>
      <c r="I61" s="20">
        <f>+'Balance Sheet Yahoo Input'!H52/1000</f>
        <v>1389317</v>
      </c>
      <c r="J61" s="20">
        <f>+'Balance Sheet Yahoo Input'!I52/1000</f>
        <v>1341208</v>
      </c>
      <c r="K61" s="20">
        <f>+'Balance Sheet Yahoo Input'!J52/1000</f>
        <v>752815</v>
      </c>
      <c r="L61" s="20">
        <f>+'Balance Sheet Yahoo Input'!K52/1000</f>
        <v>1551370</v>
      </c>
    </row>
    <row r="62" spans="2:12" ht="11.45" customHeight="1">
      <c r="B62" s="22"/>
      <c r="C62" s="14"/>
      <c r="D62" s="14"/>
      <c r="E62" s="14"/>
      <c r="F62" s="14"/>
      <c r="G62" s="14"/>
      <c r="H62" s="14"/>
      <c r="I62" s="14"/>
      <c r="J62" s="14"/>
      <c r="K62" s="14"/>
      <c r="L62" s="14"/>
    </row>
    <row r="63" spans="2:12" ht="11.45" customHeight="1" thickBot="1">
      <c r="B63" s="23" t="s">
        <v>46</v>
      </c>
      <c r="C63" s="21">
        <f>+C61+C55</f>
        <v>4089149</v>
      </c>
      <c r="D63" s="21">
        <f t="shared" ref="D63:G63" si="52">+D61+D55</f>
        <v>4030596</v>
      </c>
      <c r="E63" s="21">
        <f t="shared" si="52"/>
        <v>3924210</v>
      </c>
      <c r="F63" s="21">
        <f t="shared" si="52"/>
        <v>4076005</v>
      </c>
      <c r="G63" s="21">
        <f t="shared" si="52"/>
        <v>4180304</v>
      </c>
      <c r="H63" s="21">
        <f t="shared" ref="H63:K63" si="53">+H61+H55</f>
        <v>4528900</v>
      </c>
      <c r="I63" s="21">
        <f t="shared" si="53"/>
        <v>4481120</v>
      </c>
      <c r="J63" s="21">
        <f t="shared" si="53"/>
        <v>4449687</v>
      </c>
      <c r="K63" s="21">
        <f t="shared" si="53"/>
        <v>4491734</v>
      </c>
      <c r="L63" s="21">
        <f t="shared" ref="L63" si="54">+L61+L55</f>
        <v>4357304</v>
      </c>
    </row>
    <row r="64" spans="2:12" ht="11.45" customHeight="1" thickTop="1">
      <c r="B64" s="24" t="s">
        <v>47</v>
      </c>
      <c r="C64" s="25">
        <f>+C40-C63</f>
        <v>0</v>
      </c>
      <c r="D64" s="25">
        <f t="shared" ref="D64:G64" si="55">+D40-D63</f>
        <v>0</v>
      </c>
      <c r="E64" s="25">
        <f t="shared" si="55"/>
        <v>0</v>
      </c>
      <c r="F64" s="25">
        <f t="shared" si="55"/>
        <v>0</v>
      </c>
      <c r="G64" s="25">
        <f t="shared" si="55"/>
        <v>0</v>
      </c>
      <c r="H64" s="25">
        <f t="shared" ref="H64" si="56">+H40-H63</f>
        <v>0</v>
      </c>
      <c r="I64" s="25">
        <f t="shared" ref="I64" si="57">+I40-I63</f>
        <v>0</v>
      </c>
      <c r="J64" s="25">
        <f t="shared" ref="J64" si="58">+J40-J63</f>
        <v>0</v>
      </c>
      <c r="K64" s="25">
        <f t="shared" ref="K64:L64" si="59">+K40-K63</f>
        <v>0</v>
      </c>
      <c r="L64" s="25">
        <f t="shared" si="59"/>
        <v>0</v>
      </c>
    </row>
    <row r="65" spans="2:12" ht="17" customHeight="1">
      <c r="L65" s="228"/>
    </row>
    <row r="66" spans="2:12" ht="17" customHeight="1">
      <c r="B66" s="305" t="s">
        <v>491</v>
      </c>
      <c r="C66" s="305"/>
      <c r="D66" s="306"/>
      <c r="E66" s="306"/>
      <c r="F66" s="306"/>
      <c r="G66" s="306"/>
      <c r="H66" s="307"/>
      <c r="I66" s="308"/>
      <c r="J66" s="308"/>
      <c r="K66" s="309"/>
      <c r="L66" s="309"/>
    </row>
    <row r="67" spans="2:12" ht="19.7" customHeight="1">
      <c r="B67" s="300"/>
      <c r="C67" s="301" t="s">
        <v>272</v>
      </c>
      <c r="D67" s="304" t="str">
        <f t="shared" ref="D67:K67" si="60">+D5</f>
        <v>Dec 31</v>
      </c>
      <c r="E67" s="304" t="str">
        <f t="shared" si="60"/>
        <v>Dec 31</v>
      </c>
      <c r="F67" s="304" t="str">
        <f t="shared" si="60"/>
        <v>Dec 31</v>
      </c>
      <c r="G67" s="304" t="str">
        <f t="shared" si="60"/>
        <v>Dec 31</v>
      </c>
      <c r="H67" s="304" t="str">
        <f t="shared" si="60"/>
        <v>Dec 31</v>
      </c>
      <c r="I67" s="304" t="str">
        <f t="shared" si="60"/>
        <v>Dec 31</v>
      </c>
      <c r="J67" s="304" t="str">
        <f t="shared" si="60"/>
        <v>Dec 31</v>
      </c>
      <c r="K67" s="304" t="str">
        <f t="shared" si="60"/>
        <v>Dec 31</v>
      </c>
      <c r="L67" s="304" t="str">
        <f t="shared" ref="L67" si="61">+L5</f>
        <v>Dec 31</v>
      </c>
    </row>
    <row r="68" spans="2:12" ht="17" customHeight="1" thickBot="1">
      <c r="B68" s="302" t="s">
        <v>0</v>
      </c>
      <c r="C68" s="303">
        <f>+C21</f>
        <v>2020</v>
      </c>
      <c r="D68" s="303">
        <f t="shared" ref="D68:L68" si="62">+D21</f>
        <v>2019</v>
      </c>
      <c r="E68" s="303">
        <f t="shared" si="62"/>
        <v>2018</v>
      </c>
      <c r="F68" s="303">
        <f t="shared" si="62"/>
        <v>2017</v>
      </c>
      <c r="G68" s="303">
        <f t="shared" si="62"/>
        <v>2016</v>
      </c>
      <c r="H68" s="303">
        <f t="shared" si="62"/>
        <v>2015</v>
      </c>
      <c r="I68" s="303">
        <f t="shared" si="62"/>
        <v>2014</v>
      </c>
      <c r="J68" s="303">
        <f t="shared" si="62"/>
        <v>2013</v>
      </c>
      <c r="K68" s="303">
        <f t="shared" si="62"/>
        <v>2012</v>
      </c>
      <c r="L68" s="303">
        <f t="shared" si="62"/>
        <v>2011</v>
      </c>
    </row>
    <row r="69" spans="2:12" ht="11.45" hidden="1" customHeight="1">
      <c r="B69" s="26" t="s">
        <v>11</v>
      </c>
      <c r="C69" s="14">
        <f>+C17</f>
        <v>23267</v>
      </c>
      <c r="D69" s="14">
        <f t="shared" ref="D69:K69" si="63">+D17</f>
        <v>69668</v>
      </c>
      <c r="E69" s="14">
        <f t="shared" si="63"/>
        <v>112864</v>
      </c>
      <c r="F69" s="14">
        <f t="shared" si="63"/>
        <v>78847</v>
      </c>
      <c r="G69" s="14">
        <f t="shared" si="63"/>
        <v>69932</v>
      </c>
      <c r="H69" s="14">
        <f t="shared" si="63"/>
        <v>113040</v>
      </c>
      <c r="I69" s="14">
        <f t="shared" si="63"/>
        <v>39596</v>
      </c>
      <c r="J69" s="14">
        <f t="shared" si="63"/>
        <v>86231</v>
      </c>
      <c r="K69" s="14">
        <f t="shared" si="63"/>
        <v>20732</v>
      </c>
      <c r="L69" s="14">
        <f t="shared" ref="L69" si="64">+L17</f>
        <v>45573</v>
      </c>
    </row>
    <row r="70" spans="2:12" ht="11.45" hidden="1" customHeight="1">
      <c r="B70" s="26" t="s">
        <v>48</v>
      </c>
      <c r="C70" s="14">
        <f>(D33-C33)</f>
        <v>168036</v>
      </c>
      <c r="D70" s="14">
        <f t="shared" ref="D70:K70" si="65">(E33-D33)</f>
        <v>155845</v>
      </c>
      <c r="E70" s="14">
        <f t="shared" si="65"/>
        <v>75306</v>
      </c>
      <c r="F70" s="14">
        <f t="shared" si="65"/>
        <v>169130</v>
      </c>
      <c r="G70" s="14">
        <f t="shared" si="65"/>
        <v>191740</v>
      </c>
      <c r="H70" s="14">
        <f t="shared" si="65"/>
        <v>159415</v>
      </c>
      <c r="I70" s="14">
        <f t="shared" si="65"/>
        <v>183143</v>
      </c>
      <c r="J70" s="14">
        <f t="shared" si="65"/>
        <v>164029</v>
      </c>
      <c r="K70" s="14">
        <f t="shared" si="65"/>
        <v>123139</v>
      </c>
      <c r="L70" s="14" t="e">
        <f>(#REF!-L33)</f>
        <v>#REF!</v>
      </c>
    </row>
    <row r="71" spans="2:12" ht="11.45" hidden="1" customHeight="1">
      <c r="B71" s="26" t="s">
        <v>49</v>
      </c>
      <c r="C71" s="14">
        <f>+C37-D37</f>
        <v>-90</v>
      </c>
      <c r="D71" s="14">
        <f t="shared" ref="D71:K71" si="66">+D37-E37</f>
        <v>5469</v>
      </c>
      <c r="E71" s="14">
        <f t="shared" si="66"/>
        <v>1671</v>
      </c>
      <c r="F71" s="14">
        <f t="shared" si="66"/>
        <v>-1340</v>
      </c>
      <c r="G71" s="14">
        <f t="shared" si="66"/>
        <v>-1340</v>
      </c>
      <c r="H71" s="14">
        <f t="shared" si="66"/>
        <v>-1933</v>
      </c>
      <c r="I71" s="14">
        <f t="shared" si="66"/>
        <v>-1374</v>
      </c>
      <c r="J71" s="14">
        <f t="shared" si="66"/>
        <v>-1374</v>
      </c>
      <c r="K71" s="14">
        <f t="shared" si="66"/>
        <v>-1374</v>
      </c>
      <c r="L71" s="14" t="e">
        <f>+L37-#REF!</f>
        <v>#REF!</v>
      </c>
    </row>
    <row r="72" spans="2:12" ht="11.45" hidden="1" customHeight="1">
      <c r="B72" s="26" t="s">
        <v>50</v>
      </c>
      <c r="C72" s="14">
        <f>+C52-D52</f>
        <v>46394</v>
      </c>
      <c r="D72" s="14">
        <f t="shared" ref="D72:K72" si="67">+D52-E52</f>
        <v>3626</v>
      </c>
      <c r="E72" s="14">
        <f t="shared" si="67"/>
        <v>22674</v>
      </c>
      <c r="F72" s="14">
        <f t="shared" si="67"/>
        <v>-22401</v>
      </c>
      <c r="G72" s="14">
        <f t="shared" si="67"/>
        <v>-60364</v>
      </c>
      <c r="H72" s="14">
        <f t="shared" si="67"/>
        <v>77721</v>
      </c>
      <c r="I72" s="14">
        <f t="shared" si="67"/>
        <v>18000</v>
      </c>
      <c r="J72" s="14">
        <f t="shared" si="67"/>
        <v>49223</v>
      </c>
      <c r="K72" s="14">
        <f t="shared" si="67"/>
        <v>7496</v>
      </c>
      <c r="L72" s="14" t="e">
        <f>+L52-#REF!</f>
        <v>#REF!</v>
      </c>
    </row>
    <row r="73" spans="2:12" ht="11.45" hidden="1" customHeight="1">
      <c r="B73" s="26" t="s">
        <v>51</v>
      </c>
      <c r="C73" s="14">
        <f>+C46-D46</f>
        <v>0</v>
      </c>
      <c r="D73" s="14">
        <f t="shared" ref="D73:K73" si="68">+D46-E46</f>
        <v>0</v>
      </c>
      <c r="E73" s="14">
        <f t="shared" si="68"/>
        <v>0</v>
      </c>
      <c r="F73" s="14">
        <f t="shared" si="68"/>
        <v>0</v>
      </c>
      <c r="G73" s="14">
        <f t="shared" si="68"/>
        <v>0</v>
      </c>
      <c r="H73" s="14">
        <f t="shared" si="68"/>
        <v>0</v>
      </c>
      <c r="I73" s="14">
        <f t="shared" si="68"/>
        <v>0</v>
      </c>
      <c r="J73" s="14">
        <f t="shared" si="68"/>
        <v>0</v>
      </c>
      <c r="K73" s="14">
        <f t="shared" si="68"/>
        <v>0</v>
      </c>
      <c r="L73" s="14" t="e">
        <f>+L46-#REF!</f>
        <v>#REF!</v>
      </c>
    </row>
    <row r="74" spans="2:12" ht="11.45" hidden="1" customHeight="1">
      <c r="B74" s="26" t="s">
        <v>52</v>
      </c>
      <c r="C74" s="20">
        <f>SUM(C69:C73)</f>
        <v>237607</v>
      </c>
      <c r="D74" s="20">
        <f t="shared" ref="D74:K74" si="69">SUM(D69:D73)</f>
        <v>234608</v>
      </c>
      <c r="E74" s="20">
        <f t="shared" si="69"/>
        <v>212515</v>
      </c>
      <c r="F74" s="20">
        <f t="shared" si="69"/>
        <v>224236</v>
      </c>
      <c r="G74" s="20">
        <f t="shared" si="69"/>
        <v>199968</v>
      </c>
      <c r="H74" s="20">
        <f t="shared" si="69"/>
        <v>348243</v>
      </c>
      <c r="I74" s="20">
        <f t="shared" si="69"/>
        <v>239365</v>
      </c>
      <c r="J74" s="20">
        <f t="shared" si="69"/>
        <v>298109</v>
      </c>
      <c r="K74" s="20">
        <f t="shared" si="69"/>
        <v>149993</v>
      </c>
      <c r="L74" s="20" t="e">
        <f t="shared" ref="L74" si="70">SUM(L69:L73)</f>
        <v>#REF!</v>
      </c>
    </row>
    <row r="75" spans="2:12" ht="11.45" hidden="1" customHeight="1">
      <c r="B75" s="22"/>
      <c r="C75" s="14"/>
      <c r="D75" s="14"/>
      <c r="E75" s="14"/>
      <c r="F75" s="14"/>
      <c r="G75" s="14"/>
      <c r="H75" s="14"/>
      <c r="I75" s="14"/>
      <c r="J75" s="14"/>
      <c r="K75" s="14"/>
      <c r="L75" s="14"/>
    </row>
    <row r="76" spans="2:12" ht="11.45" hidden="1" customHeight="1">
      <c r="B76" s="28" t="s">
        <v>53</v>
      </c>
      <c r="C76" s="14"/>
      <c r="D76" s="14"/>
      <c r="E76" s="14"/>
      <c r="F76" s="14"/>
      <c r="G76" s="14"/>
      <c r="H76" s="14"/>
      <c r="I76" s="14"/>
      <c r="J76" s="14"/>
      <c r="K76" s="14"/>
      <c r="L76" s="14"/>
    </row>
    <row r="77" spans="2:12" ht="11.45" hidden="1" customHeight="1">
      <c r="B77" s="26" t="s">
        <v>17</v>
      </c>
      <c r="C77" s="14">
        <f t="shared" ref="C77:K77" si="71">+D27-C27</f>
        <v>311</v>
      </c>
      <c r="D77" s="14">
        <f t="shared" si="71"/>
        <v>5749</v>
      </c>
      <c r="E77" s="14">
        <f t="shared" si="71"/>
        <v>1809</v>
      </c>
      <c r="F77" s="14">
        <f t="shared" si="71"/>
        <v>-741</v>
      </c>
      <c r="G77" s="14">
        <f t="shared" si="71"/>
        <v>-2673</v>
      </c>
      <c r="H77" s="14">
        <f t="shared" si="71"/>
        <v>8388</v>
      </c>
      <c r="I77" s="14">
        <f t="shared" si="71"/>
        <v>-4986</v>
      </c>
      <c r="J77" s="14">
        <f t="shared" si="71"/>
        <v>-3017</v>
      </c>
      <c r="K77" s="14">
        <f t="shared" si="71"/>
        <v>-3604</v>
      </c>
      <c r="L77" s="14" t="e">
        <f>+#REF!-L27</f>
        <v>#REF!</v>
      </c>
    </row>
    <row r="78" spans="2:12" ht="11.45" hidden="1" customHeight="1">
      <c r="B78" s="26" t="s">
        <v>18</v>
      </c>
      <c r="C78" s="14">
        <f t="shared" ref="C78:K78" si="72">+D28-C28</f>
        <v>0</v>
      </c>
      <c r="D78" s="14">
        <f t="shared" si="72"/>
        <v>0</v>
      </c>
      <c r="E78" s="14">
        <f t="shared" si="72"/>
        <v>0</v>
      </c>
      <c r="F78" s="14">
        <f t="shared" si="72"/>
        <v>0</v>
      </c>
      <c r="G78" s="14">
        <f t="shared" si="72"/>
        <v>0</v>
      </c>
      <c r="H78" s="14">
        <f t="shared" si="72"/>
        <v>0</v>
      </c>
      <c r="I78" s="14">
        <f t="shared" si="72"/>
        <v>0</v>
      </c>
      <c r="J78" s="14">
        <f t="shared" si="72"/>
        <v>0</v>
      </c>
      <c r="K78" s="14">
        <f t="shared" si="72"/>
        <v>0</v>
      </c>
      <c r="L78" s="14" t="e">
        <f>+#REF!-L28</f>
        <v>#REF!</v>
      </c>
    </row>
    <row r="79" spans="2:12" ht="11.45" hidden="1" customHeight="1">
      <c r="B79" s="26" t="s">
        <v>32</v>
      </c>
      <c r="C79" s="14">
        <f t="shared" ref="C79:K79" si="73">+C44-D44</f>
        <v>42017</v>
      </c>
      <c r="D79" s="14">
        <f t="shared" si="73"/>
        <v>247</v>
      </c>
      <c r="E79" s="14">
        <f t="shared" si="73"/>
        <v>22677</v>
      </c>
      <c r="F79" s="14">
        <f t="shared" si="73"/>
        <v>-5046</v>
      </c>
      <c r="G79" s="14">
        <f t="shared" si="73"/>
        <v>-50666</v>
      </c>
      <c r="H79" s="14">
        <f t="shared" si="73"/>
        <v>71529</v>
      </c>
      <c r="I79" s="14">
        <f t="shared" si="73"/>
        <v>-2682</v>
      </c>
      <c r="J79" s="14">
        <f t="shared" si="73"/>
        <v>50760</v>
      </c>
      <c r="K79" s="14">
        <f t="shared" si="73"/>
        <v>5109</v>
      </c>
      <c r="L79" s="14" t="e">
        <f>+L44-#REF!</f>
        <v>#REF!</v>
      </c>
    </row>
    <row r="80" spans="2:12" ht="11.45" hidden="1" customHeight="1">
      <c r="B80" s="26" t="s">
        <v>33</v>
      </c>
      <c r="C80" s="14">
        <f t="shared" ref="C80:K80" si="74">+C45-D45</f>
        <v>0</v>
      </c>
      <c r="D80" s="14">
        <f t="shared" si="74"/>
        <v>0</v>
      </c>
      <c r="E80" s="14">
        <f t="shared" si="74"/>
        <v>0</v>
      </c>
      <c r="F80" s="14">
        <f t="shared" si="74"/>
        <v>0</v>
      </c>
      <c r="G80" s="14">
        <f t="shared" si="74"/>
        <v>0</v>
      </c>
      <c r="H80" s="14">
        <f t="shared" si="74"/>
        <v>0</v>
      </c>
      <c r="I80" s="14">
        <f t="shared" si="74"/>
        <v>0</v>
      </c>
      <c r="J80" s="14">
        <f t="shared" si="74"/>
        <v>0</v>
      </c>
      <c r="K80" s="14">
        <f t="shared" si="74"/>
        <v>0</v>
      </c>
      <c r="L80" s="14" t="e">
        <f>+L45-#REF!</f>
        <v>#REF!</v>
      </c>
    </row>
    <row r="81" spans="2:12" ht="11.45" customHeight="1">
      <c r="B81" s="23" t="s">
        <v>54</v>
      </c>
      <c r="C81" s="29">
        <f>+'Cash Flow Yahoo Input'!B20/1000</f>
        <v>-83335</v>
      </c>
      <c r="D81" s="29">
        <f>+'Cash Flow Yahoo Input'!C20/1000</f>
        <v>-83335</v>
      </c>
      <c r="E81" s="29">
        <f>+'Cash Flow Yahoo Input'!D20/1000</f>
        <v>15484</v>
      </c>
      <c r="F81" s="29">
        <f>+'Cash Flow Yahoo Input'!E20/1000</f>
        <v>6080</v>
      </c>
      <c r="G81" s="29">
        <f>+'Cash Flow Yahoo Input'!F20/1000</f>
        <v>2533</v>
      </c>
      <c r="H81" s="29">
        <f>+'Cash Flow Yahoo Input'!G20/1000</f>
        <v>-2253</v>
      </c>
      <c r="I81" s="29">
        <f>+'Cash Flow Yahoo Input'!H20/1000</f>
        <v>20141</v>
      </c>
      <c r="J81" s="29">
        <f>+'Cash Flow Yahoo Input'!I20/1000</f>
        <v>-3363</v>
      </c>
      <c r="K81" s="29">
        <f>+'Cash Flow Yahoo Input'!J20/1000</f>
        <v>21112</v>
      </c>
      <c r="L81" s="29">
        <f>+'Cash Flow Yahoo Input'!K20/1000</f>
        <v>-10072</v>
      </c>
    </row>
    <row r="82" spans="2:12" ht="13.7" customHeight="1">
      <c r="B82" s="22" t="s">
        <v>490</v>
      </c>
      <c r="C82" s="14">
        <f>+'Cash Flow Yahoo Input'!C9/1000</f>
        <v>206013</v>
      </c>
      <c r="D82" s="14">
        <f>+'Cash Flow Yahoo Input'!D9/1000</f>
        <v>197400</v>
      </c>
      <c r="E82" s="14">
        <f>+'Cash Flow Yahoo Input'!E9/1000</f>
        <v>209329</v>
      </c>
      <c r="F82" s="14">
        <f>+'Cash Flow Yahoo Input'!F9/1000</f>
        <v>229216</v>
      </c>
      <c r="G82" s="14">
        <f>+'Cash Flow Yahoo Input'!G9/1000</f>
        <v>221309</v>
      </c>
      <c r="H82" s="14">
        <f>+'Cash Flow Yahoo Input'!H9/1000</f>
        <v>203897</v>
      </c>
      <c r="I82" s="14">
        <f>+'Cash Flow Yahoo Input'!I9/1000</f>
        <v>187207</v>
      </c>
      <c r="J82" s="14">
        <f>+'Cash Flow Yahoo Input'!J9/1000</f>
        <v>168053</v>
      </c>
      <c r="K82" s="14">
        <f>+'Cash Flow Yahoo Input'!K9/1000</f>
        <v>129938</v>
      </c>
      <c r="L82" s="14">
        <f>+'Cash Flow Yahoo Input'!L9/1000</f>
        <v>120438</v>
      </c>
    </row>
    <row r="83" spans="2:12" ht="11.45" customHeight="1">
      <c r="B83" s="23" t="s">
        <v>55</v>
      </c>
      <c r="C83" s="30">
        <f>+'Cash Flow Yahoo Input'!C3/1000</f>
        <v>218751</v>
      </c>
      <c r="D83" s="30">
        <f>+'Cash Flow Yahoo Input'!D3/1000</f>
        <v>399950</v>
      </c>
      <c r="E83" s="30">
        <f>+'Cash Flow Yahoo Input'!E3/1000</f>
        <v>449850</v>
      </c>
      <c r="F83" s="30">
        <f>+'Cash Flow Yahoo Input'!F3/1000</f>
        <v>444169</v>
      </c>
      <c r="G83" s="30">
        <f>+'Cash Flow Yahoo Input'!G3/1000</f>
        <v>418405</v>
      </c>
      <c r="H83" s="30">
        <f>+'Cash Flow Yahoo Input'!H3/1000</f>
        <v>428889</v>
      </c>
      <c r="I83" s="30">
        <f>+'Cash Flow Yahoo Input'!I3/1000</f>
        <v>370485</v>
      </c>
      <c r="J83" s="30">
        <f>+'Cash Flow Yahoo Input'!J3/1000</f>
        <v>311313</v>
      </c>
      <c r="K83" s="30">
        <f>+'Cash Flow Yahoo Input'!K3/1000</f>
        <v>201110</v>
      </c>
      <c r="L83" s="30">
        <f>+'Cash Flow Yahoo Input'!L3/1000</f>
        <v>180605</v>
      </c>
    </row>
    <row r="84" spans="2:12" ht="11.45" customHeight="1">
      <c r="B84" s="22"/>
      <c r="C84" s="14"/>
      <c r="D84" s="14"/>
      <c r="E84" s="14"/>
      <c r="F84" s="14"/>
      <c r="G84" s="14"/>
      <c r="H84" s="14"/>
      <c r="I84" s="14"/>
      <c r="J84" s="14"/>
      <c r="K84" s="14"/>
      <c r="L84" s="14"/>
    </row>
    <row r="85" spans="2:12" ht="11.45" customHeight="1">
      <c r="B85" s="28" t="s">
        <v>56</v>
      </c>
      <c r="C85" s="14"/>
      <c r="D85" s="14"/>
      <c r="E85" s="14"/>
      <c r="F85" s="14"/>
      <c r="G85" s="14"/>
      <c r="H85" s="14"/>
      <c r="I85" s="14"/>
      <c r="J85" s="14"/>
      <c r="K85" s="14"/>
      <c r="L85" s="14"/>
    </row>
    <row r="86" spans="2:12" ht="11.45" customHeight="1">
      <c r="B86" s="26" t="s">
        <v>57</v>
      </c>
      <c r="C86" s="63">
        <f>+'Cash Flow Yahoo Input'!B38/1000</f>
        <v>-190422</v>
      </c>
      <c r="D86" s="63">
        <f>+'Cash Flow Yahoo Input'!C38/1000</f>
        <v>-190422</v>
      </c>
      <c r="E86" s="63">
        <f>+'Cash Flow Yahoo Input'!D38/1000</f>
        <v>-252170</v>
      </c>
      <c r="F86" s="63">
        <f>+'Cash Flow Yahoo Input'!E38/1000</f>
        <v>-206228</v>
      </c>
      <c r="G86" s="63">
        <f>+'Cash Flow Yahoo Input'!F38/1000</f>
        <v>-166378</v>
      </c>
      <c r="H86" s="63">
        <f>+'Cash Flow Yahoo Input'!G38/1000</f>
        <v>-225323</v>
      </c>
      <c r="I86" s="63">
        <f>+'Cash Flow Yahoo Input'!H38/1000</f>
        <v>-204717</v>
      </c>
      <c r="J86" s="63">
        <f>+'Cash Flow Yahoo Input'!I38/1000</f>
        <v>-173239</v>
      </c>
      <c r="K86" s="63">
        <f>+'Cash Flow Yahoo Input'!J38/1000</f>
        <v>-188908</v>
      </c>
      <c r="L86" s="63">
        <f>+'Cash Flow Yahoo Input'!K38/1000</f>
        <v>-399763</v>
      </c>
    </row>
    <row r="87" spans="2:12" ht="11.45" hidden="1" customHeight="1">
      <c r="B87" s="26" t="s">
        <v>58</v>
      </c>
      <c r="C87" s="14">
        <f>+D35-C35</f>
        <v>-74591</v>
      </c>
      <c r="D87" s="14">
        <f>+E35-D35</f>
        <v>433</v>
      </c>
      <c r="E87" s="14">
        <f>+F35-E35</f>
        <v>27</v>
      </c>
      <c r="F87" s="14">
        <f>+G35-F35</f>
        <v>-16184</v>
      </c>
      <c r="G87" s="14"/>
      <c r="L87" s="228"/>
    </row>
    <row r="88" spans="2:12" ht="11.45" hidden="1" customHeight="1">
      <c r="B88" s="26" t="s">
        <v>59</v>
      </c>
      <c r="C88" s="14">
        <f>SUM(D36:D38)-SUM(C36:C38)-C71</f>
        <v>18181</v>
      </c>
      <c r="D88" s="14">
        <f>SUM(E36:E38)-SUM(D36:D38)-D71</f>
        <v>-18766</v>
      </c>
      <c r="E88" s="14">
        <f>SUM(F36:F38)-SUM(E36:E38)-E71</f>
        <v>22901</v>
      </c>
      <c r="F88" s="14">
        <f>SUM(G36:G38)-SUM(F36:F38)-F71</f>
        <v>-421</v>
      </c>
      <c r="G88" s="14"/>
      <c r="L88" s="228"/>
    </row>
    <row r="89" spans="2:12" ht="11.45" hidden="1" customHeight="1">
      <c r="B89" s="23" t="s">
        <v>60</v>
      </c>
      <c r="C89" s="29">
        <f>SUM(C86:C88)</f>
        <v>-246832</v>
      </c>
      <c r="D89" s="29">
        <f>SUM(D86:D88)</f>
        <v>-208755</v>
      </c>
      <c r="E89" s="29">
        <f>SUM(E86:E88)</f>
        <v>-229242</v>
      </c>
      <c r="F89" s="29">
        <f>SUM(F86:F88)</f>
        <v>-222833</v>
      </c>
      <c r="G89" s="14"/>
      <c r="L89" s="228"/>
    </row>
    <row r="90" spans="2:12" ht="11.45" customHeight="1">
      <c r="B90" s="22"/>
      <c r="C90" s="14"/>
      <c r="D90" s="14"/>
      <c r="E90" s="14"/>
      <c r="F90" s="14"/>
      <c r="G90" s="14"/>
      <c r="L90" s="228"/>
    </row>
    <row r="91" spans="2:12" ht="11.45" customHeight="1">
      <c r="B91" s="22"/>
      <c r="C91" s="14"/>
      <c r="D91" s="14"/>
      <c r="E91" s="14"/>
      <c r="F91" s="14"/>
      <c r="G91" s="14"/>
      <c r="L91" s="228"/>
    </row>
    <row r="92" spans="2:12" ht="11.45" customHeight="1">
      <c r="B92" s="28" t="s">
        <v>61</v>
      </c>
      <c r="C92" s="14"/>
      <c r="D92" s="14"/>
      <c r="E92" s="14"/>
      <c r="F92" s="14"/>
      <c r="G92" s="14"/>
      <c r="L92" s="228"/>
    </row>
    <row r="93" spans="2:12" ht="11.45" customHeight="1">
      <c r="B93" s="26" t="s">
        <v>62</v>
      </c>
      <c r="C93" s="14">
        <f>+C47-D47</f>
        <v>0</v>
      </c>
      <c r="D93" s="14">
        <f>+D47-E47</f>
        <v>0</v>
      </c>
      <c r="E93" s="14">
        <f>+E47-F47</f>
        <v>0</v>
      </c>
      <c r="F93" s="14">
        <f>+F47-G47</f>
        <v>0</v>
      </c>
      <c r="G93" s="14">
        <f t="shared" ref="G93:K93" si="75">+G47-H47</f>
        <v>0</v>
      </c>
      <c r="H93" s="14">
        <f t="shared" si="75"/>
        <v>0</v>
      </c>
      <c r="I93" s="14">
        <f t="shared" si="75"/>
        <v>0</v>
      </c>
      <c r="J93" s="14">
        <f t="shared" si="75"/>
        <v>0</v>
      </c>
      <c r="K93" s="14">
        <f t="shared" si="75"/>
        <v>0</v>
      </c>
      <c r="L93" s="14" t="e">
        <f>+L47-#REF!</f>
        <v>#REF!</v>
      </c>
    </row>
    <row r="94" spans="2:12" ht="11.45" customHeight="1">
      <c r="B94" s="26" t="s">
        <v>63</v>
      </c>
      <c r="C94" s="14">
        <f>+C51-D51</f>
        <v>50986</v>
      </c>
      <c r="D94" s="14">
        <f>+D51-E51</f>
        <v>237129</v>
      </c>
      <c r="E94" s="14">
        <f>+E51-F51</f>
        <v>-139261</v>
      </c>
      <c r="F94" s="14">
        <f>+F51-G51</f>
        <v>-50506</v>
      </c>
      <c r="G94" s="14">
        <f t="shared" ref="G94:K94" si="76">+G51-H51</f>
        <v>-177114</v>
      </c>
      <c r="H94" s="14">
        <f t="shared" si="76"/>
        <v>-128981</v>
      </c>
      <c r="I94" s="14">
        <f t="shared" si="76"/>
        <v>-34676</v>
      </c>
      <c r="J94" s="14">
        <f t="shared" si="76"/>
        <v>-679663</v>
      </c>
      <c r="K94" s="14">
        <f t="shared" si="76"/>
        <v>925489</v>
      </c>
      <c r="L94" s="14" t="e">
        <f>+L51-#REF!</f>
        <v>#REF!</v>
      </c>
    </row>
    <row r="95" spans="2:12" ht="11.45" customHeight="1">
      <c r="B95" s="26" t="s">
        <v>64</v>
      </c>
      <c r="C95" s="14">
        <f>+C53-D53</f>
        <v>0</v>
      </c>
      <c r="D95" s="14">
        <f>+D53-E53</f>
        <v>0</v>
      </c>
      <c r="E95" s="14">
        <f>+E53-F53</f>
        <v>0</v>
      </c>
      <c r="F95" s="14">
        <f>+F53-G53</f>
        <v>0</v>
      </c>
      <c r="G95" s="14">
        <f t="shared" ref="G95:K95" si="77">+G53-H53</f>
        <v>0</v>
      </c>
      <c r="H95" s="14">
        <f t="shared" si="77"/>
        <v>0</v>
      </c>
      <c r="I95" s="14">
        <f t="shared" si="77"/>
        <v>0</v>
      </c>
      <c r="J95" s="14">
        <f t="shared" si="77"/>
        <v>0</v>
      </c>
      <c r="K95" s="14">
        <f t="shared" si="77"/>
        <v>0</v>
      </c>
      <c r="L95" s="14" t="e">
        <f>+L53-#REF!</f>
        <v>#REF!</v>
      </c>
    </row>
    <row r="96" spans="2:12" ht="11.45" customHeight="1">
      <c r="B96" s="26" t="s">
        <v>65</v>
      </c>
      <c r="C96" s="17">
        <v>0</v>
      </c>
      <c r="D96" s="17">
        <v>0</v>
      </c>
      <c r="E96" s="17">
        <v>0</v>
      </c>
      <c r="F96" s="17">
        <v>0</v>
      </c>
      <c r="G96" s="17">
        <v>1</v>
      </c>
      <c r="H96" s="17">
        <v>2</v>
      </c>
      <c r="I96" s="17">
        <v>3</v>
      </c>
      <c r="J96" s="17">
        <v>4</v>
      </c>
      <c r="K96" s="17">
        <v>5</v>
      </c>
      <c r="L96" s="17">
        <v>6</v>
      </c>
    </row>
    <row r="97" spans="2:12" ht="11.45" customHeight="1">
      <c r="B97" s="23" t="s">
        <v>66</v>
      </c>
      <c r="C97" s="30">
        <f>SUM(C93:C96)</f>
        <v>50986</v>
      </c>
      <c r="D97" s="30">
        <f>SUM(D93:D96)</f>
        <v>237129</v>
      </c>
      <c r="E97" s="30">
        <f>SUM(E93:E96)</f>
        <v>-139261</v>
      </c>
      <c r="F97" s="30">
        <f>SUM(F93:F96)</f>
        <v>-50506</v>
      </c>
      <c r="G97" s="30">
        <f t="shared" ref="G97:K97" si="78">SUM(G93:G96)</f>
        <v>-177113</v>
      </c>
      <c r="H97" s="30">
        <f t="shared" si="78"/>
        <v>-128979</v>
      </c>
      <c r="I97" s="30">
        <f t="shared" si="78"/>
        <v>-34673</v>
      </c>
      <c r="J97" s="30">
        <f t="shared" si="78"/>
        <v>-679659</v>
      </c>
      <c r="K97" s="30">
        <f t="shared" si="78"/>
        <v>925494</v>
      </c>
      <c r="L97" s="30" t="e">
        <f t="shared" ref="L97" si="79">SUM(L93:L96)</f>
        <v>#REF!</v>
      </c>
    </row>
    <row r="98" spans="2:12" ht="11.45" customHeight="1">
      <c r="B98" s="22"/>
      <c r="C98" s="14"/>
      <c r="D98" s="14"/>
      <c r="E98" s="14"/>
      <c r="F98" s="14"/>
      <c r="G98" s="14"/>
      <c r="H98" s="14"/>
      <c r="I98" s="14"/>
      <c r="J98" s="14"/>
      <c r="K98" s="14"/>
      <c r="L98" s="14"/>
    </row>
    <row r="99" spans="2:12" ht="11.45" hidden="1" customHeight="1">
      <c r="B99" s="23" t="s">
        <v>67</v>
      </c>
      <c r="C99" s="29" t="e">
        <f>+#REF!+C97</f>
        <v>#REF!</v>
      </c>
      <c r="D99" s="29" t="e">
        <f>+#REF!+D97</f>
        <v>#REF!</v>
      </c>
      <c r="E99" s="29" t="e">
        <f>+#REF!+E97</f>
        <v>#REF!</v>
      </c>
      <c r="F99" s="29" t="e">
        <f>+#REF!+F97</f>
        <v>#REF!</v>
      </c>
      <c r="G99" s="29" t="e">
        <f>+#REF!+G97</f>
        <v>#REF!</v>
      </c>
      <c r="H99" s="29" t="e">
        <f>+#REF!+H97</f>
        <v>#REF!</v>
      </c>
      <c r="I99" s="29" t="e">
        <f>+#REF!+I97</f>
        <v>#REF!</v>
      </c>
      <c r="J99" s="29" t="e">
        <f>+#REF!+J97</f>
        <v>#REF!</v>
      </c>
      <c r="K99" s="29" t="e">
        <f>+#REF!+K97</f>
        <v>#REF!</v>
      </c>
      <c r="L99" s="29" t="e">
        <f>+#REF!+L97</f>
        <v>#REF!</v>
      </c>
    </row>
    <row r="100" spans="2:12" ht="11.45" hidden="1" customHeight="1">
      <c r="B100" s="26" t="s">
        <v>68</v>
      </c>
      <c r="C100" s="14">
        <f>+C108-C104</f>
        <v>49958</v>
      </c>
      <c r="D100" s="14">
        <f t="shared" ref="D100:F101" si="80">+D108-D104</f>
        <v>59354</v>
      </c>
      <c r="E100" s="14">
        <f t="shared" si="80"/>
        <v>174115</v>
      </c>
      <c r="F100" s="14">
        <f t="shared" si="80"/>
        <v>29185</v>
      </c>
      <c r="G100" s="14">
        <f t="shared" ref="G100:K100" si="81">+G108-G104</f>
        <v>-289081</v>
      </c>
      <c r="H100" s="14">
        <f t="shared" si="81"/>
        <v>251915</v>
      </c>
      <c r="I100" s="14">
        <f t="shared" si="81"/>
        <v>60867</v>
      </c>
      <c r="J100" s="14">
        <f t="shared" si="81"/>
        <v>-43125</v>
      </c>
      <c r="K100" s="14">
        <f t="shared" si="81"/>
        <v>4998</v>
      </c>
      <c r="L100" s="14" t="e">
        <f t="shared" ref="L100" si="82">+L108-L104</f>
        <v>#REF!</v>
      </c>
    </row>
    <row r="101" spans="2:12" ht="11.45" hidden="1" customHeight="1">
      <c r="B101" s="26" t="s">
        <v>69</v>
      </c>
      <c r="C101" s="14">
        <f>+C109-C105</f>
        <v>0</v>
      </c>
      <c r="D101" s="14">
        <f t="shared" si="80"/>
        <v>0</v>
      </c>
      <c r="E101" s="14">
        <f t="shared" si="80"/>
        <v>0</v>
      </c>
      <c r="F101" s="14">
        <f t="shared" si="80"/>
        <v>0</v>
      </c>
      <c r="G101" s="14">
        <f t="shared" ref="G101:K101" si="83">+G109-G105</f>
        <v>0</v>
      </c>
      <c r="H101" s="14">
        <f t="shared" si="83"/>
        <v>0</v>
      </c>
      <c r="I101" s="14">
        <f t="shared" si="83"/>
        <v>0</v>
      </c>
      <c r="J101" s="14">
        <f t="shared" si="83"/>
        <v>0</v>
      </c>
      <c r="K101" s="14">
        <f t="shared" si="83"/>
        <v>-1</v>
      </c>
      <c r="L101" s="14" t="e">
        <f t="shared" ref="L101" si="84">+L109-L105</f>
        <v>#REF!</v>
      </c>
    </row>
    <row r="102" spans="2:12" ht="11.45" hidden="1" customHeight="1">
      <c r="B102" s="22"/>
      <c r="C102" s="14"/>
      <c r="D102" s="14"/>
      <c r="E102" s="14"/>
      <c r="F102" s="14"/>
      <c r="G102" s="14"/>
      <c r="H102" s="14"/>
      <c r="I102" s="14"/>
      <c r="J102" s="14"/>
      <c r="K102" s="14"/>
      <c r="L102" s="14"/>
    </row>
    <row r="103" spans="2:12" ht="11.45" hidden="1" customHeight="1">
      <c r="B103" s="23" t="s">
        <v>70</v>
      </c>
      <c r="C103" s="31">
        <f>+D26</f>
        <v>346812</v>
      </c>
      <c r="D103" s="31">
        <f>+E26</f>
        <v>287458</v>
      </c>
      <c r="E103" s="31">
        <f>+F26</f>
        <v>113343</v>
      </c>
      <c r="F103" s="31">
        <f>+G26</f>
        <v>84158</v>
      </c>
      <c r="G103" s="31">
        <f t="shared" ref="G103:K103" si="85">+H26</f>
        <v>373239</v>
      </c>
      <c r="H103" s="31">
        <f t="shared" si="85"/>
        <v>121324</v>
      </c>
      <c r="I103" s="31">
        <f t="shared" si="85"/>
        <v>60457</v>
      </c>
      <c r="J103" s="31">
        <f t="shared" si="85"/>
        <v>103582</v>
      </c>
      <c r="K103" s="31">
        <f t="shared" si="85"/>
        <v>98585</v>
      </c>
      <c r="L103" s="31" t="e">
        <f>+#REF!</f>
        <v>#REF!</v>
      </c>
    </row>
    <row r="104" spans="2:12" ht="11.45" hidden="1" customHeight="1">
      <c r="B104" s="26" t="s">
        <v>68</v>
      </c>
      <c r="C104" s="14">
        <f t="shared" ref="C104:K104" si="86">+D24</f>
        <v>346812</v>
      </c>
      <c r="D104" s="14">
        <f t="shared" si="86"/>
        <v>287458</v>
      </c>
      <c r="E104" s="14">
        <f t="shared" si="86"/>
        <v>113343</v>
      </c>
      <c r="F104" s="14">
        <f t="shared" si="86"/>
        <v>84158</v>
      </c>
      <c r="G104" s="14">
        <f t="shared" si="86"/>
        <v>373239</v>
      </c>
      <c r="H104" s="14">
        <f t="shared" si="86"/>
        <v>121324</v>
      </c>
      <c r="I104" s="14">
        <f t="shared" si="86"/>
        <v>60457</v>
      </c>
      <c r="J104" s="14">
        <f t="shared" si="86"/>
        <v>103582</v>
      </c>
      <c r="K104" s="14">
        <f t="shared" si="86"/>
        <v>98584</v>
      </c>
      <c r="L104" s="14" t="e">
        <f>+#REF!</f>
        <v>#REF!</v>
      </c>
    </row>
    <row r="105" spans="2:12" ht="11.45" hidden="1" customHeight="1">
      <c r="B105" s="26" t="s">
        <v>69</v>
      </c>
      <c r="C105" s="14">
        <f t="shared" ref="C105:K105" si="87">+D25</f>
        <v>0</v>
      </c>
      <c r="D105" s="14">
        <f t="shared" si="87"/>
        <v>0</v>
      </c>
      <c r="E105" s="14">
        <f t="shared" si="87"/>
        <v>0</v>
      </c>
      <c r="F105" s="14">
        <f t="shared" si="87"/>
        <v>0</v>
      </c>
      <c r="G105" s="14">
        <f t="shared" si="87"/>
        <v>0</v>
      </c>
      <c r="H105" s="14">
        <f t="shared" si="87"/>
        <v>0</v>
      </c>
      <c r="I105" s="14">
        <f t="shared" si="87"/>
        <v>0</v>
      </c>
      <c r="J105" s="14">
        <f t="shared" si="87"/>
        <v>0</v>
      </c>
      <c r="K105" s="14">
        <f t="shared" si="87"/>
        <v>1</v>
      </c>
      <c r="L105" s="14" t="e">
        <f>+#REF!</f>
        <v>#REF!</v>
      </c>
    </row>
    <row r="106" spans="2:12" ht="11.45" hidden="1" customHeight="1">
      <c r="B106" s="22"/>
      <c r="C106" s="14"/>
      <c r="D106" s="14"/>
      <c r="E106" s="14"/>
      <c r="F106" s="14"/>
      <c r="G106" s="14"/>
      <c r="H106" s="14"/>
      <c r="I106" s="14"/>
      <c r="J106" s="14"/>
      <c r="K106" s="14"/>
      <c r="L106" s="14"/>
    </row>
    <row r="107" spans="2:12" ht="11.45" hidden="1" customHeight="1" thickBot="1">
      <c r="B107" s="23" t="s">
        <v>71</v>
      </c>
      <c r="C107" s="21" t="e">
        <f>+C99+C103</f>
        <v>#REF!</v>
      </c>
      <c r="D107" s="21" t="e">
        <f>+D99+D103</f>
        <v>#REF!</v>
      </c>
      <c r="E107" s="21" t="e">
        <f>+E99+E103</f>
        <v>#REF!</v>
      </c>
      <c r="F107" s="21" t="e">
        <f>+F99+F103</f>
        <v>#REF!</v>
      </c>
      <c r="G107" s="21" t="e">
        <f t="shared" ref="G107:K107" si="88">+G99+G103</f>
        <v>#REF!</v>
      </c>
      <c r="H107" s="21" t="e">
        <f t="shared" si="88"/>
        <v>#REF!</v>
      </c>
      <c r="I107" s="21" t="e">
        <f t="shared" si="88"/>
        <v>#REF!</v>
      </c>
      <c r="J107" s="21" t="e">
        <f t="shared" si="88"/>
        <v>#REF!</v>
      </c>
      <c r="K107" s="21" t="e">
        <f t="shared" si="88"/>
        <v>#REF!</v>
      </c>
      <c r="L107" s="21" t="e">
        <f t="shared" ref="L107" si="89">+L99+L103</f>
        <v>#REF!</v>
      </c>
    </row>
    <row r="108" spans="2:12" ht="11.45" hidden="1" customHeight="1" thickTop="1">
      <c r="B108" s="26" t="s">
        <v>68</v>
      </c>
      <c r="C108" s="14">
        <f t="shared" ref="C108:F109" si="90">+C24</f>
        <v>396770</v>
      </c>
      <c r="D108" s="14">
        <f t="shared" si="90"/>
        <v>346812</v>
      </c>
      <c r="E108" s="14">
        <f t="shared" si="90"/>
        <v>287458</v>
      </c>
      <c r="F108" s="14">
        <f t="shared" si="90"/>
        <v>113343</v>
      </c>
      <c r="G108" s="14">
        <f t="shared" ref="G108:K108" si="91">+G24</f>
        <v>84158</v>
      </c>
      <c r="H108" s="14">
        <f t="shared" si="91"/>
        <v>373239</v>
      </c>
      <c r="I108" s="14">
        <f t="shared" si="91"/>
        <v>121324</v>
      </c>
      <c r="J108" s="14">
        <f t="shared" si="91"/>
        <v>60457</v>
      </c>
      <c r="K108" s="14">
        <f t="shared" si="91"/>
        <v>103582</v>
      </c>
      <c r="L108" s="14">
        <f t="shared" ref="L108" si="92">+L24</f>
        <v>98584</v>
      </c>
    </row>
    <row r="109" spans="2:12" ht="11.45" hidden="1" customHeight="1">
      <c r="B109" s="26" t="s">
        <v>69</v>
      </c>
      <c r="C109" s="14">
        <f t="shared" si="90"/>
        <v>0</v>
      </c>
      <c r="D109" s="14">
        <f t="shared" si="90"/>
        <v>0</v>
      </c>
      <c r="E109" s="14">
        <f t="shared" si="90"/>
        <v>0</v>
      </c>
      <c r="F109" s="14">
        <f t="shared" si="90"/>
        <v>0</v>
      </c>
      <c r="G109" s="14">
        <f t="shared" ref="G109:K109" si="93">+G25</f>
        <v>0</v>
      </c>
      <c r="H109" s="14">
        <f t="shared" si="93"/>
        <v>0</v>
      </c>
      <c r="I109" s="14">
        <f t="shared" si="93"/>
        <v>0</v>
      </c>
      <c r="J109" s="14">
        <f t="shared" si="93"/>
        <v>0</v>
      </c>
      <c r="K109" s="14">
        <f t="shared" si="93"/>
        <v>0</v>
      </c>
      <c r="L109" s="14">
        <f t="shared" ref="L109" si="94">+L25</f>
        <v>1</v>
      </c>
    </row>
    <row r="110" spans="2:12" ht="11.45" customHeight="1">
      <c r="B110" s="26"/>
      <c r="C110" s="14"/>
      <c r="D110" s="14"/>
      <c r="E110" s="14"/>
      <c r="F110" s="14"/>
      <c r="G110" s="14"/>
      <c r="H110" s="14"/>
      <c r="I110" s="14"/>
      <c r="J110" s="14"/>
      <c r="K110" s="14"/>
      <c r="L110" s="14"/>
    </row>
    <row r="111" spans="2:12" ht="11.45" customHeight="1">
      <c r="B111" s="5" t="s">
        <v>72</v>
      </c>
      <c r="C111" s="5"/>
      <c r="H111" s="3"/>
      <c r="I111" s="3"/>
      <c r="J111" s="3"/>
      <c r="K111" s="3"/>
      <c r="L111" s="3"/>
    </row>
    <row r="112" spans="2:12" ht="19.7" customHeight="1">
      <c r="B112" s="5"/>
      <c r="C112" s="311" t="str">
        <f>+C67</f>
        <v>Dec 31</v>
      </c>
      <c r="D112" s="311" t="s">
        <v>272</v>
      </c>
      <c r="E112" s="311" t="s">
        <v>272</v>
      </c>
      <c r="F112" s="311" t="s">
        <v>272</v>
      </c>
      <c r="G112" s="311" t="s">
        <v>272</v>
      </c>
      <c r="H112" s="311" t="s">
        <v>272</v>
      </c>
      <c r="I112" s="311" t="s">
        <v>272</v>
      </c>
      <c r="J112" s="311" t="s">
        <v>272</v>
      </c>
      <c r="K112" s="311" t="s">
        <v>272</v>
      </c>
      <c r="L112" s="311" t="s">
        <v>272</v>
      </c>
    </row>
    <row r="113" spans="2:12" ht="20" customHeight="1" thickBot="1">
      <c r="B113" s="33"/>
      <c r="C113" s="314">
        <f>+C68</f>
        <v>2020</v>
      </c>
      <c r="D113" s="314">
        <f t="shared" ref="D113:L113" si="95">+D68</f>
        <v>2019</v>
      </c>
      <c r="E113" s="314">
        <f t="shared" si="95"/>
        <v>2018</v>
      </c>
      <c r="F113" s="314">
        <f t="shared" si="95"/>
        <v>2017</v>
      </c>
      <c r="G113" s="314">
        <f t="shared" si="95"/>
        <v>2016</v>
      </c>
      <c r="H113" s="314">
        <f t="shared" si="95"/>
        <v>2015</v>
      </c>
      <c r="I113" s="314">
        <f t="shared" si="95"/>
        <v>2014</v>
      </c>
      <c r="J113" s="314">
        <f t="shared" si="95"/>
        <v>2013</v>
      </c>
      <c r="K113" s="314">
        <f t="shared" si="95"/>
        <v>2012</v>
      </c>
      <c r="L113" s="314">
        <f t="shared" si="95"/>
        <v>2011</v>
      </c>
    </row>
    <row r="114" spans="2:12" ht="11.45" customHeight="1">
      <c r="B114" s="34" t="s">
        <v>73</v>
      </c>
      <c r="C114" s="390">
        <f>+C11+C82</f>
        <v>356391</v>
      </c>
      <c r="D114" s="390">
        <f t="shared" ref="D114:K114" si="96">+D11+D82</f>
        <v>521905</v>
      </c>
      <c r="E114" s="390">
        <f t="shared" si="96"/>
        <v>588388</v>
      </c>
      <c r="F114" s="390">
        <f t="shared" si="96"/>
        <v>605487</v>
      </c>
      <c r="G114" s="390">
        <f t="shared" si="96"/>
        <v>591801</v>
      </c>
      <c r="H114" s="390">
        <f t="shared" si="96"/>
        <v>582086</v>
      </c>
      <c r="I114" s="390">
        <f t="shared" si="96"/>
        <v>537381</v>
      </c>
      <c r="J114" s="390">
        <f t="shared" si="96"/>
        <v>484348</v>
      </c>
      <c r="K114" s="390">
        <f t="shared" si="96"/>
        <v>423068</v>
      </c>
      <c r="L114" s="390">
        <f t="shared" ref="L114" si="97">+L11+L82</f>
        <v>397131</v>
      </c>
    </row>
    <row r="115" spans="2:12" ht="11.45" customHeight="1">
      <c r="B115" s="22"/>
      <c r="C115" s="272" t="s">
        <v>541</v>
      </c>
      <c r="D115" s="1"/>
      <c r="E115" s="1"/>
      <c r="F115" s="1"/>
      <c r="G115" s="1"/>
      <c r="L115" s="228"/>
    </row>
    <row r="116" spans="2:12" ht="11.45" customHeight="1">
      <c r="B116" s="35" t="s">
        <v>74</v>
      </c>
      <c r="C116" s="35"/>
      <c r="D116" s="33"/>
      <c r="E116" s="33"/>
      <c r="F116" s="33"/>
      <c r="G116" s="33"/>
      <c r="L116" s="228"/>
    </row>
    <row r="117" spans="2:12" ht="11.45" customHeight="1">
      <c r="B117" s="26" t="s">
        <v>75</v>
      </c>
      <c r="C117" s="36">
        <f>+C7/D7-1</f>
        <v>-0.14439357783781082</v>
      </c>
      <c r="D117" s="36">
        <f>+D7/E7-1</f>
        <v>-4.4578329316525722E-2</v>
      </c>
      <c r="E117" s="36">
        <f>+E7/F7-1</f>
        <v>-5.976339433627631E-3</v>
      </c>
      <c r="F117" s="36">
        <f>+F7/G7-1</f>
        <v>9.5482975272176418E-3</v>
      </c>
      <c r="G117" s="36">
        <f t="shared" ref="G117:J117" si="98">+G7/H7-1</f>
        <v>-1.1021573796675344E-2</v>
      </c>
      <c r="H117" s="36">
        <f t="shared" si="98"/>
        <v>5.8738746162879441E-2</v>
      </c>
      <c r="I117" s="36">
        <f t="shared" si="98"/>
        <v>7.1200316379153472E-2</v>
      </c>
      <c r="J117" s="36">
        <f t="shared" si="98"/>
        <v>0.11998078029624448</v>
      </c>
      <c r="K117" s="36">
        <f t="shared" ref="K117" si="99">+K7/L7-1</f>
        <v>7.2909683386936708E-2</v>
      </c>
      <c r="L117" s="36" t="e">
        <f>+L7/#REF!-1</f>
        <v>#REF!</v>
      </c>
    </row>
    <row r="118" spans="2:12" ht="11.45" customHeight="1">
      <c r="B118" s="22"/>
      <c r="C118" s="14"/>
      <c r="D118" s="14"/>
      <c r="E118" s="14"/>
      <c r="F118" s="14"/>
      <c r="G118" s="14"/>
      <c r="H118" s="14"/>
      <c r="I118" s="14"/>
      <c r="J118" s="14"/>
      <c r="K118" s="14"/>
      <c r="L118" s="14"/>
    </row>
    <row r="119" spans="2:12" ht="11.45" customHeight="1">
      <c r="B119" s="28" t="s">
        <v>76</v>
      </c>
      <c r="C119" s="14"/>
      <c r="D119" s="14"/>
      <c r="E119" s="14"/>
      <c r="F119" s="14"/>
      <c r="G119" s="14"/>
      <c r="H119" s="14"/>
      <c r="I119" s="14"/>
      <c r="J119" s="14"/>
      <c r="K119" s="14"/>
      <c r="L119" s="14"/>
    </row>
    <row r="120" spans="2:12" ht="11.45" customHeight="1">
      <c r="B120" s="26" t="s">
        <v>77</v>
      </c>
      <c r="C120" s="37">
        <f>+C29/C48</f>
        <v>1.6211778924004139</v>
      </c>
      <c r="D120" s="37">
        <f>+D29/D48</f>
        <v>1.7086385612342019</v>
      </c>
      <c r="E120" s="37">
        <f>+E29/E48</f>
        <v>1.4565077227948078</v>
      </c>
      <c r="F120" s="37">
        <f>+F29/F48</f>
        <v>0.7166851697413642</v>
      </c>
      <c r="G120" s="37">
        <f t="shared" ref="G120:K120" si="100">+G29/G48</f>
        <v>0.54316280657827354</v>
      </c>
      <c r="H120" s="37">
        <f t="shared" si="100"/>
        <v>1.6043144825777045</v>
      </c>
      <c r="I120" s="37">
        <f t="shared" si="100"/>
        <v>0.85755045233124561</v>
      </c>
      <c r="J120" s="37">
        <f t="shared" si="100"/>
        <v>0.46837633192859834</v>
      </c>
      <c r="K120" s="37">
        <f t="shared" si="100"/>
        <v>0.98206043646773133</v>
      </c>
      <c r="L120" s="37">
        <f t="shared" ref="L120" si="101">+L29/L48</f>
        <v>0.95200959305007005</v>
      </c>
    </row>
    <row r="121" spans="2:12" ht="11.45" customHeight="1">
      <c r="B121" s="26" t="s">
        <v>78</v>
      </c>
      <c r="C121" s="37">
        <f>+(C26+C27)/C48</f>
        <v>1.6211778924004139</v>
      </c>
      <c r="D121" s="37">
        <f>+(D26+D27)/D48</f>
        <v>1.7086385612342019</v>
      </c>
      <c r="E121" s="37">
        <f>+(E26+E27)/E48</f>
        <v>1.4565077227948078</v>
      </c>
      <c r="F121" s="37">
        <f>+(F26+F27)/F48</f>
        <v>0.7166851697413642</v>
      </c>
      <c r="G121" s="37">
        <f t="shared" ref="G121:K121" si="102">+(G26+G27)/G48</f>
        <v>0.54316280657827354</v>
      </c>
      <c r="H121" s="37">
        <f t="shared" si="102"/>
        <v>1.6043144825777045</v>
      </c>
      <c r="I121" s="37">
        <f t="shared" si="102"/>
        <v>0.85755045233124561</v>
      </c>
      <c r="J121" s="37">
        <f t="shared" si="102"/>
        <v>0.46837633192859834</v>
      </c>
      <c r="K121" s="37">
        <f t="shared" si="102"/>
        <v>0.98206043646773133</v>
      </c>
      <c r="L121" s="37">
        <f t="shared" ref="L121" si="103">+(L26+L27)/L48</f>
        <v>0.95200959305007005</v>
      </c>
    </row>
    <row r="122" spans="2:12" ht="11.45" customHeight="1">
      <c r="B122" s="26" t="s">
        <v>79</v>
      </c>
      <c r="C122" s="37">
        <f>+C7/((C27+D27)/2)</f>
        <v>75.178765912943135</v>
      </c>
      <c r="D122" s="37">
        <f>+D7/((D27+E27)/2)</f>
        <v>72.107431412589889</v>
      </c>
      <c r="E122" s="37">
        <f>+E7/((E27+F27)/2)</f>
        <v>61.676010351416068</v>
      </c>
      <c r="F122" s="37">
        <f>+F7/((F27+G27)/2)</f>
        <v>60.484498408581871</v>
      </c>
      <c r="G122" s="37">
        <f t="shared" ref="G122:K122" si="104">+G7/((G27+H27)/2)</f>
        <v>65.156944693725805</v>
      </c>
      <c r="H122" s="37">
        <f t="shared" si="104"/>
        <v>57.462787369174343</v>
      </c>
      <c r="I122" s="37">
        <f t="shared" si="104"/>
        <v>50.43746622885407</v>
      </c>
      <c r="J122" s="37">
        <f t="shared" si="104"/>
        <v>56.478524242801946</v>
      </c>
      <c r="K122" s="37">
        <f t="shared" si="104"/>
        <v>60.396608347763781</v>
      </c>
      <c r="L122" s="37" t="e">
        <f>+L7/((L27+#REF!)/2)</f>
        <v>#REF!</v>
      </c>
    </row>
    <row r="123" spans="2:12" ht="11.45" customHeight="1">
      <c r="B123" s="26" t="s">
        <v>80</v>
      </c>
      <c r="C123" s="38">
        <f>365/C122</f>
        <v>4.8550943283994483</v>
      </c>
      <c r="D123" s="38">
        <f>365/D122</f>
        <v>5.061891581070399</v>
      </c>
      <c r="E123" s="38">
        <f>365/E122</f>
        <v>5.9180222248539085</v>
      </c>
      <c r="F123" s="38">
        <f>365/F122</f>
        <v>6.0346040655635464</v>
      </c>
      <c r="G123" s="38">
        <f t="shared" ref="G123:K123" si="105">365/G122</f>
        <v>5.6018587384001011</v>
      </c>
      <c r="H123" s="38">
        <f t="shared" si="105"/>
        <v>6.3519369092736113</v>
      </c>
      <c r="I123" s="38">
        <f t="shared" si="105"/>
        <v>7.2366839036650932</v>
      </c>
      <c r="J123" s="38">
        <f t="shared" si="105"/>
        <v>6.4626334503865577</v>
      </c>
      <c r="K123" s="38">
        <f t="shared" si="105"/>
        <v>6.0433857129580746</v>
      </c>
      <c r="L123" s="38" t="e">
        <f t="shared" ref="L123" si="106">365/L122</f>
        <v>#REF!</v>
      </c>
    </row>
    <row r="124" spans="2:12" ht="11.45" customHeight="1">
      <c r="B124" s="22"/>
      <c r="C124" s="14"/>
      <c r="D124" s="14"/>
      <c r="E124" s="14"/>
      <c r="F124" s="14"/>
      <c r="G124" s="14"/>
      <c r="H124" s="14"/>
      <c r="I124" s="14"/>
      <c r="J124" s="14"/>
      <c r="K124" s="14"/>
      <c r="L124" s="14"/>
    </row>
    <row r="125" spans="2:12" ht="11.45" customHeight="1">
      <c r="B125" s="28" t="s">
        <v>81</v>
      </c>
      <c r="C125" s="14"/>
      <c r="D125" s="14"/>
      <c r="E125" s="14"/>
      <c r="F125" s="14"/>
      <c r="G125" s="14"/>
      <c r="H125" s="14"/>
      <c r="I125" s="14"/>
      <c r="J125" s="14"/>
      <c r="K125" s="14"/>
      <c r="L125" s="14"/>
    </row>
    <row r="126" spans="2:12" ht="11.45" customHeight="1">
      <c r="B126" s="26" t="s">
        <v>82</v>
      </c>
      <c r="C126" s="36">
        <f>+(C47+C51)/(C47+C51+C61)</f>
        <v>0.7023230434446941</v>
      </c>
      <c r="D126" s="36">
        <f>+(D47+D51)/(D47+D51+D61)</f>
        <v>0.69117904196113</v>
      </c>
      <c r="E126" s="36">
        <f>+(E47+E51)/(E47+E51+E61)</f>
        <v>0.64636066684906635</v>
      </c>
      <c r="F126" s="36">
        <f>+(F47+F51)/(F47+F51+F61)</f>
        <v>0.65318718811322429</v>
      </c>
      <c r="G126" s="36">
        <f t="shared" ref="G126:K126" si="107">+(G47+G51)/(G47+G51+G61)</f>
        <v>0.65243293839035987</v>
      </c>
      <c r="H126" s="36">
        <f t="shared" si="107"/>
        <v>0.64985973047077628</v>
      </c>
      <c r="I126" s="36">
        <f t="shared" si="107"/>
        <v>0.67544524405667694</v>
      </c>
      <c r="J126" s="36">
        <f t="shared" si="107"/>
        <v>0.6856975670296559</v>
      </c>
      <c r="K126" s="36">
        <f t="shared" si="107"/>
        <v>0.82727749744580903</v>
      </c>
      <c r="L126" s="36">
        <f t="shared" ref="L126" si="108">+(L47+L51)/(L47+L51+L61)</f>
        <v>0.63338358238477321</v>
      </c>
    </row>
    <row r="127" spans="2:12" ht="11.45" customHeight="1">
      <c r="B127" s="26" t="s">
        <v>83</v>
      </c>
      <c r="C127" s="37">
        <f>+C114/C12</f>
        <v>2.9141672663047031</v>
      </c>
      <c r="D127" s="37">
        <f>+D114/D12</f>
        <v>4.4581735245628575</v>
      </c>
      <c r="E127" s="37">
        <f>+E114/E12</f>
        <v>5.0571389280434556</v>
      </c>
      <c r="F127" s="37">
        <f>+F114/F12</f>
        <v>5.1091637836469497</v>
      </c>
      <c r="G127" s="37">
        <f t="shared" ref="G127:K127" si="109">+G114/G12</f>
        <v>4.6367397146505995</v>
      </c>
      <c r="H127" s="37">
        <f t="shared" si="109"/>
        <v>4.716646004002885</v>
      </c>
      <c r="I127" s="37">
        <f t="shared" si="109"/>
        <v>4.3429640524988686</v>
      </c>
      <c r="J127" s="37">
        <f t="shared" si="109"/>
        <v>2.4840906759667658</v>
      </c>
      <c r="K127" s="37">
        <f t="shared" si="109"/>
        <v>1.6419877666345826</v>
      </c>
      <c r="L127" s="37">
        <f t="shared" ref="L127" si="110">+L114/L12</f>
        <v>1.9662286608309898</v>
      </c>
    </row>
    <row r="128" spans="2:12" ht="11.45" customHeight="1">
      <c r="B128" s="26" t="s">
        <v>84</v>
      </c>
      <c r="C128" s="37">
        <f>+C114/(C51+C47)</f>
        <v>0.13280223518811515</v>
      </c>
      <c r="D128" s="37">
        <f>+D114/(D51+D47)</f>
        <v>0.19824426924193089</v>
      </c>
      <c r="E128" s="37">
        <f>+E114/(E51+E47)</f>
        <v>0.24562149056546276</v>
      </c>
      <c r="F128" s="37">
        <f>+F114/(F51+F47)</f>
        <v>0.2388727489064088</v>
      </c>
      <c r="G128" s="37">
        <f t="shared" ref="G128:K128" si="111">+G114/(G51+G47)</f>
        <v>0.22891229324241841</v>
      </c>
      <c r="H128" s="37">
        <f t="shared" si="111"/>
        <v>0.21071840740692474</v>
      </c>
      <c r="I128" s="37">
        <f t="shared" si="111"/>
        <v>0.18585694181545143</v>
      </c>
      <c r="J128" s="37">
        <f t="shared" si="111"/>
        <v>0.16552992178862594</v>
      </c>
      <c r="K128" s="37">
        <f t="shared" si="111"/>
        <v>0.11733285113492274</v>
      </c>
      <c r="L128" s="37">
        <f t="shared" ref="L128" si="112">+L114/(L51+L47)</f>
        <v>0.14817110094361693</v>
      </c>
    </row>
    <row r="129" spans="2:12" ht="11.45" customHeight="1">
      <c r="B129" s="22"/>
      <c r="C129" s="14"/>
      <c r="D129" s="14"/>
      <c r="E129" s="14"/>
      <c r="F129" s="14"/>
      <c r="G129" s="14"/>
      <c r="H129" s="14"/>
      <c r="I129" s="14"/>
      <c r="J129" s="14"/>
      <c r="K129" s="14"/>
      <c r="L129" s="14"/>
    </row>
    <row r="130" spans="2:12" ht="11.45" customHeight="1">
      <c r="B130" s="28" t="s">
        <v>85</v>
      </c>
      <c r="C130" s="14"/>
      <c r="D130" s="14"/>
      <c r="E130" s="14"/>
      <c r="F130" s="14"/>
      <c r="G130" s="14"/>
      <c r="H130" s="14"/>
      <c r="I130" s="14"/>
      <c r="J130" s="14"/>
      <c r="K130" s="14"/>
      <c r="L130" s="14"/>
    </row>
    <row r="131" spans="2:12" ht="11.45" customHeight="1">
      <c r="B131" s="26" t="s">
        <v>3</v>
      </c>
      <c r="C131" s="36">
        <f>+C9/C7</f>
        <v>0.43034549982922643</v>
      </c>
      <c r="D131" s="36">
        <f>+D9/D7</f>
        <v>0.50650006279659077</v>
      </c>
      <c r="E131" s="36">
        <f>+E9/E7</f>
        <v>0.53237771742327222</v>
      </c>
      <c r="F131" s="36">
        <f>+F9/F7</f>
        <v>0.54351478298154321</v>
      </c>
      <c r="G131" s="36">
        <f t="shared" ref="G131:K131" si="113">+G9/G7</f>
        <v>0.5429126400035259</v>
      </c>
      <c r="H131" s="36">
        <f t="shared" si="113"/>
        <v>0.52980300493557908</v>
      </c>
      <c r="I131" s="36">
        <f t="shared" si="113"/>
        <v>0.51206164115453556</v>
      </c>
      <c r="J131" s="36">
        <f t="shared" si="113"/>
        <v>0.52282626158835754</v>
      </c>
      <c r="K131" s="36">
        <f t="shared" si="113"/>
        <v>0.51195892678123345</v>
      </c>
      <c r="L131" s="36">
        <f t="shared" ref="L131" si="114">+L9/L7</f>
        <v>0.50740934818950956</v>
      </c>
    </row>
    <row r="132" spans="2:12" ht="11.45" customHeight="1">
      <c r="B132" s="26" t="s">
        <v>86</v>
      </c>
      <c r="C132" s="36">
        <f>+C114/C7</f>
        <v>0.3419222193653364</v>
      </c>
      <c r="D132" s="36">
        <f>+D114/D7</f>
        <v>0.42841640132028808</v>
      </c>
      <c r="E132" s="36">
        <f>+E114/E7</f>
        <v>0.4614594305047845</v>
      </c>
      <c r="F132" s="36">
        <f>+F114/F7</f>
        <v>0.47203180728527161</v>
      </c>
      <c r="G132" s="36">
        <f t="shared" ref="G132:K132" si="115">+G114/G7</f>
        <v>0.46576755892720956</v>
      </c>
      <c r="H132" s="36">
        <f t="shared" si="115"/>
        <v>0.45307230261380982</v>
      </c>
      <c r="I132" s="36">
        <f t="shared" si="115"/>
        <v>0.44284472280022252</v>
      </c>
      <c r="J132" s="36">
        <f t="shared" si="115"/>
        <v>0.42756029653483613</v>
      </c>
      <c r="K132" s="36">
        <f t="shared" si="115"/>
        <v>0.41827374631968378</v>
      </c>
      <c r="L132" s="36">
        <f t="shared" ref="L132" si="116">+L114/L7</f>
        <v>0.42125724493173006</v>
      </c>
    </row>
    <row r="133" spans="2:12" ht="11.45" customHeight="1">
      <c r="B133" s="26" t="s">
        <v>87</v>
      </c>
      <c r="C133" s="36">
        <f>+C17/((C40+D40)/2)</f>
        <v>5.7309681523249802E-3</v>
      </c>
      <c r="D133" s="36">
        <f>+D17/((D40+E40)/2)</f>
        <v>1.7515951991789618E-2</v>
      </c>
      <c r="E133" s="36">
        <f>+E17/((E40+F40)/2)</f>
        <v>2.82152417153789E-2</v>
      </c>
      <c r="F133" s="36">
        <f>+F17/((F40+G40)/2)</f>
        <v>1.9099818090626212E-2</v>
      </c>
      <c r="G133" s="36">
        <f t="shared" ref="G133:K133" si="117">+G17/((G40+H40)/2)</f>
        <v>1.6059332173181385E-2</v>
      </c>
      <c r="H133" s="36">
        <f t="shared" si="117"/>
        <v>2.5092064168559004E-2</v>
      </c>
      <c r="I133" s="36">
        <f t="shared" si="117"/>
        <v>8.8672837740195257E-3</v>
      </c>
      <c r="J133" s="36">
        <f t="shared" si="117"/>
        <v>1.9287985656865951E-2</v>
      </c>
      <c r="K133" s="36">
        <f t="shared" si="117"/>
        <v>4.685707079119787E-3</v>
      </c>
      <c r="L133" s="36" t="e">
        <f>+L17/((L40+#REF!)/2)</f>
        <v>#REF!</v>
      </c>
    </row>
    <row r="134" spans="2:12" ht="11.45" customHeight="1">
      <c r="B134" s="26" t="s">
        <v>88</v>
      </c>
      <c r="C134" s="36">
        <f>+C17/(C61+D61)/2</f>
        <v>5.0280652786235808E-3</v>
      </c>
      <c r="D134" s="36">
        <f>+D17/(D61+E61)/2</f>
        <v>1.400694597188719E-2</v>
      </c>
      <c r="E134" s="36">
        <f>+E17/(E61+F61)/2</f>
        <v>2.1243100848263457E-2</v>
      </c>
      <c r="F134" s="36">
        <f>+F17/(F61+G61)/2</f>
        <v>1.4477508238814345E-2</v>
      </c>
      <c r="G134" s="36">
        <f t="shared" ref="G134:K134" si="118">+G17/(G61+H61)/2</f>
        <v>1.2201999165269633E-2</v>
      </c>
      <c r="H134" s="36">
        <f t="shared" si="118"/>
        <v>1.9640862724547674E-2</v>
      </c>
      <c r="I134" s="36">
        <f t="shared" si="118"/>
        <v>7.2506203019565832E-3</v>
      </c>
      <c r="J134" s="36">
        <f t="shared" si="118"/>
        <v>2.0589792948788051E-2</v>
      </c>
      <c r="K134" s="36">
        <f t="shared" si="118"/>
        <v>4.4987707150250522E-3</v>
      </c>
      <c r="L134" s="36" t="e">
        <f>+L17/(L61+#REF!)/2</f>
        <v>#REF!</v>
      </c>
    </row>
    <row r="135" spans="2:12" ht="11.45" customHeight="1">
      <c r="B135" s="32"/>
      <c r="C135" s="32"/>
      <c r="D135" s="14"/>
      <c r="E135" s="14"/>
      <c r="F135" s="14"/>
      <c r="G135" s="14"/>
    </row>
    <row r="136" spans="2:12" ht="11.45" customHeight="1">
      <c r="B136" s="32"/>
      <c r="C136" s="32"/>
      <c r="D136" s="14"/>
      <c r="E136" s="14"/>
      <c r="F136" s="14"/>
      <c r="G136" s="14"/>
    </row>
    <row r="137" spans="2:12" ht="11.45" customHeight="1">
      <c r="B137" s="32"/>
      <c r="C137" s="32"/>
      <c r="D137" s="14"/>
      <c r="E137" s="14"/>
      <c r="F137" s="14"/>
      <c r="G137" s="14"/>
    </row>
    <row r="138" spans="2:12" ht="11.45" customHeight="1">
      <c r="B138" s="32"/>
      <c r="C138" s="32"/>
      <c r="D138" s="14"/>
      <c r="E138" s="14"/>
      <c r="F138" s="14"/>
      <c r="G138" s="14"/>
    </row>
    <row r="139" spans="2:12" ht="11.45" customHeight="1">
      <c r="B139" s="32"/>
      <c r="C139" s="32"/>
      <c r="D139" s="14"/>
      <c r="E139" s="14"/>
      <c r="F139" s="14"/>
      <c r="G139" s="14"/>
    </row>
    <row r="140" spans="2:12" ht="11.45" customHeight="1">
      <c r="B140" s="32"/>
      <c r="C140" s="32"/>
      <c r="D140" s="14"/>
      <c r="E140" s="14"/>
      <c r="F140" s="14"/>
      <c r="G140" s="14"/>
    </row>
    <row r="141" spans="2:12" ht="11.45" customHeight="1">
      <c r="B141" s="32"/>
      <c r="C141" s="32"/>
      <c r="D141" s="14"/>
      <c r="E141" s="14"/>
      <c r="F141" s="14"/>
      <c r="G141" s="14"/>
    </row>
    <row r="142" spans="2:12" ht="11.45" customHeight="1">
      <c r="B142" s="32"/>
      <c r="C142" s="32"/>
      <c r="D142" s="14"/>
      <c r="E142" s="14"/>
      <c r="F142" s="14"/>
      <c r="G142" s="14"/>
    </row>
    <row r="143" spans="2:12" ht="11.45" customHeight="1">
      <c r="B143" s="32"/>
      <c r="C143" s="32"/>
      <c r="D143" s="14"/>
      <c r="E143" s="14"/>
      <c r="F143" s="14"/>
      <c r="G143" s="14"/>
    </row>
    <row r="144" spans="2:12" ht="11.45" customHeight="1">
      <c r="B144" s="32"/>
      <c r="C144" s="32"/>
      <c r="D144" s="14"/>
      <c r="E144" s="14"/>
      <c r="F144" s="14"/>
      <c r="G144" s="14"/>
    </row>
    <row r="145" spans="2:9" ht="11.45" customHeight="1">
      <c r="B145" s="32"/>
      <c r="C145" s="32"/>
      <c r="D145" s="14"/>
      <c r="E145" s="14"/>
      <c r="F145" s="14"/>
      <c r="G145" s="14"/>
    </row>
    <row r="146" spans="2:9" ht="11.45" customHeight="1">
      <c r="B146" s="32"/>
      <c r="C146" s="32"/>
      <c r="D146" s="14"/>
      <c r="E146" s="14"/>
      <c r="F146" s="14"/>
      <c r="G146" s="14"/>
      <c r="H146" s="27"/>
      <c r="I146" s="18"/>
    </row>
    <row r="147" spans="2:9" ht="11.45" customHeight="1">
      <c r="B147" s="32"/>
      <c r="C147" s="32"/>
      <c r="D147" s="14"/>
      <c r="E147" s="14"/>
      <c r="F147" s="14"/>
      <c r="G147" s="14"/>
      <c r="H147" s="27"/>
      <c r="I147" s="18"/>
    </row>
    <row r="148" spans="2:9" ht="11.45" customHeight="1">
      <c r="B148" s="32"/>
      <c r="C148" s="32"/>
      <c r="D148" s="14"/>
      <c r="E148" s="14"/>
      <c r="F148" s="14"/>
      <c r="G148" s="14"/>
      <c r="H148" s="27"/>
      <c r="I148" s="18"/>
    </row>
    <row r="149" spans="2:9" ht="11.45" customHeight="1">
      <c r="B149" s="32"/>
      <c r="C149" s="32"/>
      <c r="D149" s="14"/>
      <c r="E149" s="14"/>
      <c r="F149" s="14"/>
      <c r="G149" s="14"/>
      <c r="H149" s="27"/>
      <c r="I149" s="18"/>
    </row>
    <row r="150" spans="2:9" ht="11.45" customHeight="1">
      <c r="B150" s="32"/>
      <c r="C150" s="32"/>
      <c r="D150" s="14"/>
      <c r="E150" s="14"/>
      <c r="F150" s="14"/>
      <c r="G150" s="14"/>
      <c r="H150" s="27"/>
      <c r="I150" s="18"/>
    </row>
    <row r="151" spans="2:9" ht="11.45" customHeight="1">
      <c r="B151" s="32"/>
      <c r="C151" s="32"/>
      <c r="D151" s="14"/>
      <c r="E151" s="14"/>
      <c r="F151" s="14"/>
      <c r="G151" s="14"/>
      <c r="H151" s="27"/>
      <c r="I151" s="18"/>
    </row>
    <row r="152" spans="2:9" ht="11.45" customHeight="1">
      <c r="B152" s="32"/>
      <c r="C152" s="32"/>
      <c r="D152" s="14"/>
      <c r="E152" s="14"/>
      <c r="F152" s="14"/>
      <c r="G152" s="14"/>
      <c r="H152" s="27"/>
      <c r="I152" s="18"/>
    </row>
    <row r="153" spans="2:9" ht="11.45" customHeight="1">
      <c r="B153" s="32"/>
      <c r="C153" s="32"/>
      <c r="D153" s="14"/>
      <c r="E153" s="14"/>
      <c r="F153" s="14"/>
      <c r="G153" s="14"/>
      <c r="H153" s="27"/>
      <c r="I153" s="18"/>
    </row>
    <row r="154" spans="2:9" ht="11.45" customHeight="1">
      <c r="B154" s="32"/>
      <c r="C154" s="32"/>
      <c r="D154" s="14"/>
      <c r="E154" s="14"/>
      <c r="F154" s="14"/>
      <c r="G154" s="14"/>
      <c r="H154" s="27"/>
      <c r="I154" s="18"/>
    </row>
    <row r="155" spans="2:9" ht="11.45" customHeight="1">
      <c r="B155" s="32"/>
      <c r="C155" s="32"/>
      <c r="D155" s="14"/>
      <c r="E155" s="14"/>
      <c r="F155" s="14"/>
      <c r="G155" s="14"/>
      <c r="H155" s="27"/>
      <c r="I155" s="18"/>
    </row>
    <row r="156" spans="2:9" ht="11.45" customHeight="1">
      <c r="B156" s="32"/>
      <c r="C156" s="32"/>
      <c r="D156" s="14"/>
      <c r="E156" s="14"/>
      <c r="F156" s="14"/>
      <c r="G156" s="14"/>
      <c r="H156" s="27"/>
      <c r="I156" s="18"/>
    </row>
    <row r="157" spans="2:9" ht="11.45" customHeight="1">
      <c r="B157" s="32"/>
      <c r="C157" s="32"/>
      <c r="D157" s="14"/>
      <c r="E157" s="14"/>
      <c r="F157" s="14"/>
      <c r="G157" s="14"/>
      <c r="H157" s="27"/>
      <c r="I157" s="18"/>
    </row>
    <row r="158" spans="2:9" ht="11.45" customHeight="1">
      <c r="B158" s="32"/>
      <c r="C158" s="32"/>
      <c r="D158" s="14"/>
      <c r="E158" s="14"/>
      <c r="F158" s="14"/>
      <c r="G158" s="14"/>
      <c r="H158" s="27"/>
      <c r="I158" s="18"/>
    </row>
    <row r="159" spans="2:9" ht="11.45" customHeight="1">
      <c r="B159" s="32"/>
      <c r="C159" s="32"/>
      <c r="D159" s="14"/>
      <c r="E159" s="14"/>
      <c r="F159" s="14"/>
      <c r="G159" s="14"/>
      <c r="H159" s="27"/>
      <c r="I159" s="18"/>
    </row>
    <row r="160" spans="2:9" ht="11.45" customHeight="1">
      <c r="B160" s="32"/>
      <c r="C160" s="32"/>
      <c r="D160" s="14"/>
      <c r="E160" s="14"/>
      <c r="F160" s="14"/>
      <c r="G160" s="14"/>
      <c r="H160" s="27"/>
      <c r="I160" s="18"/>
    </row>
    <row r="161" spans="2:9" ht="11.45" customHeight="1">
      <c r="B161" s="32"/>
      <c r="C161" s="32"/>
      <c r="D161" s="14"/>
      <c r="E161" s="14"/>
      <c r="F161" s="14"/>
      <c r="G161" s="14"/>
      <c r="H161" s="27"/>
      <c r="I161" s="18"/>
    </row>
    <row r="162" spans="2:9" ht="11.45" customHeight="1">
      <c r="B162" s="32"/>
      <c r="C162" s="32"/>
      <c r="D162" s="14"/>
      <c r="E162" s="14"/>
      <c r="F162" s="14"/>
      <c r="G162" s="14"/>
      <c r="H162" s="27"/>
      <c r="I162" s="18"/>
    </row>
    <row r="163" spans="2:9" ht="11.45" customHeight="1">
      <c r="B163" s="32"/>
      <c r="C163" s="32"/>
      <c r="D163" s="14"/>
      <c r="E163" s="14"/>
      <c r="F163" s="14"/>
      <c r="G163" s="14"/>
      <c r="H163" s="27"/>
      <c r="I163" s="18"/>
    </row>
    <row r="164" spans="2:9" ht="11.45" customHeight="1">
      <c r="B164" s="32"/>
      <c r="C164" s="32"/>
      <c r="D164" s="14"/>
      <c r="E164" s="14"/>
      <c r="F164" s="14"/>
      <c r="G164" s="14"/>
      <c r="H164" s="27"/>
      <c r="I164" s="18"/>
    </row>
    <row r="165" spans="2:9" ht="11.45" customHeight="1">
      <c r="B165" s="32"/>
      <c r="C165" s="32"/>
      <c r="D165" s="14"/>
      <c r="E165" s="14"/>
      <c r="F165" s="14"/>
      <c r="G165" s="14"/>
      <c r="H165" s="27"/>
      <c r="I165" s="18"/>
    </row>
    <row r="166" spans="2:9" ht="11.45" customHeight="1">
      <c r="B166" s="32"/>
      <c r="C166" s="32"/>
      <c r="D166" s="14"/>
      <c r="E166" s="14"/>
      <c r="F166" s="14"/>
      <c r="G166" s="14"/>
      <c r="H166" s="27"/>
      <c r="I166" s="18"/>
    </row>
    <row r="167" spans="2:9" ht="11.45" customHeight="1">
      <c r="B167" s="32"/>
      <c r="C167" s="32"/>
      <c r="D167" s="14"/>
      <c r="E167" s="14"/>
      <c r="F167" s="14"/>
      <c r="G167" s="14"/>
      <c r="H167" s="27"/>
      <c r="I167" s="18"/>
    </row>
    <row r="168" spans="2:9" ht="11.45" customHeight="1">
      <c r="B168" s="32"/>
      <c r="C168" s="32"/>
      <c r="D168" s="14"/>
      <c r="E168" s="14"/>
      <c r="F168" s="14"/>
      <c r="G168" s="14"/>
      <c r="H168" s="27"/>
      <c r="I168" s="18"/>
    </row>
    <row r="169" spans="2:9" ht="11.45" customHeight="1">
      <c r="B169" s="32"/>
      <c r="C169" s="32"/>
      <c r="D169" s="14"/>
      <c r="E169" s="14"/>
      <c r="F169" s="14"/>
      <c r="G169" s="14"/>
      <c r="H169" s="27"/>
      <c r="I169" s="18"/>
    </row>
    <row r="170" spans="2:9" ht="11.45" customHeight="1">
      <c r="B170" s="32"/>
      <c r="C170" s="32"/>
      <c r="D170" s="14"/>
      <c r="E170" s="14"/>
      <c r="F170" s="14"/>
      <c r="G170" s="14"/>
      <c r="H170" s="27"/>
      <c r="I170" s="18"/>
    </row>
    <row r="171" spans="2:9" ht="11.45" customHeight="1">
      <c r="B171" s="32"/>
      <c r="C171" s="32"/>
      <c r="D171" s="14"/>
      <c r="E171" s="14"/>
      <c r="F171" s="14"/>
      <c r="G171" s="14"/>
      <c r="H171" s="27"/>
      <c r="I171" s="18"/>
    </row>
    <row r="172" spans="2:9" ht="11.45" customHeight="1">
      <c r="B172" s="32"/>
      <c r="C172" s="32"/>
      <c r="D172" s="14"/>
      <c r="E172" s="14"/>
      <c r="F172" s="14"/>
      <c r="G172" s="14"/>
      <c r="H172" s="27"/>
      <c r="I172" s="18"/>
    </row>
    <row r="173" spans="2:9" ht="11.45" customHeight="1">
      <c r="B173" s="32"/>
      <c r="C173" s="32"/>
      <c r="D173" s="14"/>
      <c r="E173" s="14"/>
      <c r="F173" s="14"/>
      <c r="G173" s="14"/>
      <c r="H173" s="27"/>
      <c r="I173" s="18"/>
    </row>
    <row r="174" spans="2:9" ht="11.45" customHeight="1">
      <c r="B174" s="32"/>
      <c r="C174" s="32"/>
      <c r="D174" s="14"/>
      <c r="E174" s="14"/>
      <c r="F174" s="14"/>
      <c r="G174" s="14"/>
      <c r="H174" s="27"/>
      <c r="I174" s="18"/>
    </row>
    <row r="175" spans="2:9" ht="11.45" customHeight="1">
      <c r="B175" s="32"/>
      <c r="C175" s="32"/>
      <c r="D175" s="14"/>
      <c r="E175" s="14"/>
      <c r="F175" s="14"/>
      <c r="G175" s="14"/>
      <c r="H175" s="27"/>
      <c r="I175" s="18"/>
    </row>
    <row r="176" spans="2:9" ht="11.45" customHeight="1">
      <c r="B176" s="32"/>
      <c r="C176" s="32"/>
      <c r="D176" s="14"/>
      <c r="E176" s="14"/>
      <c r="F176" s="14"/>
      <c r="G176" s="14"/>
      <c r="H176" s="27"/>
      <c r="I176" s="18"/>
    </row>
    <row r="177" spans="2:9" ht="11.45" customHeight="1">
      <c r="B177" s="32"/>
      <c r="C177" s="32"/>
      <c r="D177" s="14"/>
      <c r="E177" s="14"/>
      <c r="F177" s="14"/>
      <c r="G177" s="14"/>
      <c r="H177" s="27"/>
      <c r="I177" s="18"/>
    </row>
    <row r="178" spans="2:9" ht="11.45" customHeight="1">
      <c r="B178" s="32"/>
      <c r="C178" s="32"/>
      <c r="D178" s="14"/>
      <c r="E178" s="14"/>
      <c r="F178" s="14"/>
      <c r="G178" s="14"/>
      <c r="H178" s="27"/>
      <c r="I178" s="18"/>
    </row>
    <row r="179" spans="2:9" ht="11.45" customHeight="1">
      <c r="B179" s="32"/>
      <c r="C179" s="32"/>
      <c r="D179" s="14"/>
      <c r="E179" s="14"/>
      <c r="F179" s="14"/>
      <c r="G179" s="14"/>
      <c r="H179" s="27"/>
      <c r="I179" s="18"/>
    </row>
    <row r="180" spans="2:9" ht="11.45" customHeight="1">
      <c r="B180" s="32"/>
      <c r="C180" s="32"/>
      <c r="D180" s="14"/>
      <c r="E180" s="14"/>
      <c r="F180" s="14"/>
      <c r="G180" s="14"/>
      <c r="H180" s="27"/>
      <c r="I180" s="18"/>
    </row>
    <row r="181" spans="2:9" ht="11.45" customHeight="1">
      <c r="B181" s="32"/>
      <c r="C181" s="32"/>
      <c r="D181" s="14"/>
      <c r="E181" s="14"/>
      <c r="F181" s="14"/>
      <c r="G181" s="14"/>
      <c r="H181" s="27"/>
      <c r="I181" s="18"/>
    </row>
    <row r="182" spans="2:9" ht="11.45" customHeight="1">
      <c r="B182" s="32"/>
      <c r="C182" s="32"/>
      <c r="D182" s="14"/>
      <c r="E182" s="14"/>
      <c r="F182" s="14"/>
      <c r="G182" s="14"/>
      <c r="H182" s="27"/>
      <c r="I182" s="18"/>
    </row>
    <row r="183" spans="2:9" ht="11.45" customHeight="1">
      <c r="B183" s="32"/>
      <c r="C183" s="32"/>
      <c r="D183" s="14"/>
      <c r="E183" s="14"/>
      <c r="F183" s="14"/>
      <c r="G183" s="14"/>
      <c r="H183" s="27"/>
      <c r="I183" s="18"/>
    </row>
    <row r="184" spans="2:9" ht="11.45" customHeight="1">
      <c r="B184" s="32"/>
      <c r="C184" s="32"/>
      <c r="D184" s="14"/>
      <c r="E184" s="14"/>
      <c r="F184" s="14"/>
      <c r="G184" s="14"/>
      <c r="H184" s="27"/>
      <c r="I184" s="18"/>
    </row>
    <row r="185" spans="2:9" ht="11.45" customHeight="1">
      <c r="B185" s="32"/>
      <c r="C185" s="32"/>
      <c r="D185" s="14"/>
      <c r="E185" s="14"/>
      <c r="F185" s="14"/>
      <c r="G185" s="14"/>
      <c r="H185" s="27"/>
      <c r="I185" s="18"/>
    </row>
    <row r="186" spans="2:9" ht="11.45" customHeight="1">
      <c r="B186" s="32"/>
      <c r="C186" s="32"/>
      <c r="D186" s="14"/>
      <c r="E186" s="14"/>
      <c r="F186" s="14"/>
      <c r="G186" s="14"/>
      <c r="H186" s="27"/>
      <c r="I186" s="18"/>
    </row>
    <row r="187" spans="2:9" ht="11.45" customHeight="1">
      <c r="B187" s="32"/>
      <c r="C187" s="32"/>
      <c r="D187" s="14"/>
      <c r="E187" s="14"/>
      <c r="F187" s="14"/>
      <c r="G187" s="14"/>
      <c r="H187" s="27"/>
      <c r="I187" s="18"/>
    </row>
    <row r="188" spans="2:9" ht="11.45" customHeight="1">
      <c r="B188" s="32"/>
      <c r="C188" s="32"/>
      <c r="D188" s="14"/>
      <c r="E188" s="14"/>
      <c r="F188" s="14"/>
      <c r="G188" s="14"/>
      <c r="H188" s="27"/>
      <c r="I188" s="18"/>
    </row>
    <row r="189" spans="2:9" ht="11.45" customHeight="1">
      <c r="B189" s="32"/>
      <c r="C189" s="32"/>
      <c r="D189" s="14"/>
      <c r="E189" s="14"/>
      <c r="F189" s="14"/>
      <c r="G189" s="14"/>
      <c r="H189" s="27"/>
      <c r="I189" s="18"/>
    </row>
    <row r="190" spans="2:9" ht="11.45" customHeight="1">
      <c r="B190" s="32"/>
      <c r="C190" s="32"/>
      <c r="D190" s="14"/>
      <c r="E190" s="14"/>
      <c r="F190" s="14"/>
      <c r="G190" s="14"/>
      <c r="H190" s="27"/>
      <c r="I190" s="18"/>
    </row>
    <row r="191" spans="2:9" ht="11.45" customHeight="1">
      <c r="B191" s="32"/>
      <c r="C191" s="32"/>
      <c r="D191" s="14"/>
      <c r="E191" s="14"/>
      <c r="F191" s="14"/>
      <c r="G191" s="14"/>
      <c r="H191" s="27"/>
      <c r="I191" s="18"/>
    </row>
    <row r="192" spans="2:9" ht="11.45" customHeight="1">
      <c r="B192" s="32"/>
      <c r="C192" s="32"/>
      <c r="D192" s="14"/>
      <c r="E192" s="14"/>
      <c r="F192" s="14"/>
      <c r="G192" s="14"/>
      <c r="H192" s="27"/>
      <c r="I192" s="18"/>
    </row>
    <row r="193" spans="2:9" ht="11.45" customHeight="1">
      <c r="B193" s="32"/>
      <c r="C193" s="32"/>
      <c r="D193" s="14"/>
      <c r="E193" s="14"/>
      <c r="F193" s="14"/>
      <c r="G193" s="14"/>
      <c r="H193" s="27"/>
      <c r="I193" s="18"/>
    </row>
    <row r="194" spans="2:9" ht="11.45" customHeight="1">
      <c r="B194" s="32"/>
      <c r="C194" s="32"/>
      <c r="D194" s="14"/>
      <c r="E194" s="14"/>
      <c r="F194" s="14"/>
      <c r="G194" s="14"/>
      <c r="H194" s="27"/>
      <c r="I194" s="18"/>
    </row>
    <row r="195" spans="2:9" ht="11.45" customHeight="1">
      <c r="B195" s="32"/>
      <c r="C195" s="32"/>
      <c r="D195" s="14"/>
      <c r="E195" s="14"/>
      <c r="F195" s="14"/>
      <c r="G195" s="14"/>
      <c r="H195" s="27"/>
      <c r="I195" s="18"/>
    </row>
    <row r="196" spans="2:9" ht="17" customHeight="1">
      <c r="B196" s="32"/>
      <c r="C196" s="32"/>
      <c r="D196" s="14"/>
      <c r="E196" s="14"/>
      <c r="F196" s="14"/>
      <c r="G196" s="14"/>
      <c r="H196" s="27"/>
      <c r="I196" s="18"/>
    </row>
    <row r="197" spans="2:9" ht="17" customHeight="1">
      <c r="B197" s="32"/>
      <c r="C197" s="32"/>
      <c r="D197" s="14"/>
      <c r="E197" s="14"/>
      <c r="F197" s="14"/>
      <c r="G197" s="14"/>
      <c r="H197" s="27"/>
      <c r="I197" s="18"/>
    </row>
  </sheetData>
  <phoneticPr fontId="3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BE1DE-7F91-4F27-A935-163C5D6FF376}">
  <dimension ref="B1:X98"/>
  <sheetViews>
    <sheetView showGridLines="0" workbookViewId="0">
      <selection activeCell="B52" sqref="B52"/>
    </sheetView>
  </sheetViews>
  <sheetFormatPr defaultColWidth="24.46875" defaultRowHeight="14.35"/>
  <cols>
    <col min="1" max="1" width="3.8203125" style="1" customWidth="1"/>
    <col min="2" max="2" width="26.703125" style="15" customWidth="1"/>
    <col min="3" max="3" width="10.234375" style="15" bestFit="1" customWidth="1"/>
    <col min="4" max="4" width="9.17578125" style="15" bestFit="1" customWidth="1"/>
    <col min="5" max="5" width="9.703125" style="15" bestFit="1" customWidth="1"/>
    <col min="6" max="7" width="9.17578125" style="15" bestFit="1" customWidth="1"/>
    <col min="8" max="11" width="9.17578125" style="3" bestFit="1" customWidth="1"/>
    <col min="12" max="12" width="9.17578125" style="15" bestFit="1" customWidth="1"/>
    <col min="13" max="13" width="9.17578125" bestFit="1" customWidth="1"/>
    <col min="14" max="14" width="9.17578125" style="4" bestFit="1" customWidth="1"/>
    <col min="15" max="16" width="9.17578125" style="1" bestFit="1" customWidth="1"/>
    <col min="17" max="17" width="9.17578125" style="228" bestFit="1" customWidth="1"/>
    <col min="18" max="18" width="9.17578125" style="1" bestFit="1" customWidth="1"/>
    <col min="19" max="20" width="9.17578125" style="1" customWidth="1"/>
    <col min="21" max="21" width="5.87890625" style="1" customWidth="1"/>
    <col min="22" max="23" width="11.17578125" style="1" customWidth="1"/>
    <col min="24" max="265" width="24.46875" style="1"/>
    <col min="266" max="266" width="3.8203125" style="1" customWidth="1"/>
    <col min="267" max="267" width="32.234375" style="1" customWidth="1"/>
    <col min="268" max="271" width="13.87890625" style="1" customWidth="1"/>
    <col min="272" max="275" width="7.5859375" style="1" customWidth="1"/>
    <col min="276" max="521" width="24.46875" style="1"/>
    <col min="522" max="522" width="3.8203125" style="1" customWidth="1"/>
    <col min="523" max="523" width="32.234375" style="1" customWidth="1"/>
    <col min="524" max="527" width="13.87890625" style="1" customWidth="1"/>
    <col min="528" max="531" width="7.5859375" style="1" customWidth="1"/>
    <col min="532" max="777" width="24.46875" style="1"/>
    <col min="778" max="778" width="3.8203125" style="1" customWidth="1"/>
    <col min="779" max="779" width="32.234375" style="1" customWidth="1"/>
    <col min="780" max="783" width="13.87890625" style="1" customWidth="1"/>
    <col min="784" max="787" width="7.5859375" style="1" customWidth="1"/>
    <col min="788" max="1033" width="24.46875" style="1"/>
    <col min="1034" max="1034" width="3.8203125" style="1" customWidth="1"/>
    <col min="1035" max="1035" width="32.234375" style="1" customWidth="1"/>
    <col min="1036" max="1039" width="13.87890625" style="1" customWidth="1"/>
    <col min="1040" max="1043" width="7.5859375" style="1" customWidth="1"/>
    <col min="1044" max="1289" width="24.46875" style="1"/>
    <col min="1290" max="1290" width="3.8203125" style="1" customWidth="1"/>
    <col min="1291" max="1291" width="32.234375" style="1" customWidth="1"/>
    <col min="1292" max="1295" width="13.87890625" style="1" customWidth="1"/>
    <col min="1296" max="1299" width="7.5859375" style="1" customWidth="1"/>
    <col min="1300" max="1545" width="24.46875" style="1"/>
    <col min="1546" max="1546" width="3.8203125" style="1" customWidth="1"/>
    <col min="1547" max="1547" width="32.234375" style="1" customWidth="1"/>
    <col min="1548" max="1551" width="13.87890625" style="1" customWidth="1"/>
    <col min="1552" max="1555" width="7.5859375" style="1" customWidth="1"/>
    <col min="1556" max="1801" width="24.46875" style="1"/>
    <col min="1802" max="1802" width="3.8203125" style="1" customWidth="1"/>
    <col min="1803" max="1803" width="32.234375" style="1" customWidth="1"/>
    <col min="1804" max="1807" width="13.87890625" style="1" customWidth="1"/>
    <col min="1808" max="1811" width="7.5859375" style="1" customWidth="1"/>
    <col min="1812" max="2057" width="24.46875" style="1"/>
    <col min="2058" max="2058" width="3.8203125" style="1" customWidth="1"/>
    <col min="2059" max="2059" width="32.234375" style="1" customWidth="1"/>
    <col min="2060" max="2063" width="13.87890625" style="1" customWidth="1"/>
    <col min="2064" max="2067" width="7.5859375" style="1" customWidth="1"/>
    <col min="2068" max="2313" width="24.46875" style="1"/>
    <col min="2314" max="2314" width="3.8203125" style="1" customWidth="1"/>
    <col min="2315" max="2315" width="32.234375" style="1" customWidth="1"/>
    <col min="2316" max="2319" width="13.87890625" style="1" customWidth="1"/>
    <col min="2320" max="2323" width="7.5859375" style="1" customWidth="1"/>
    <col min="2324" max="2569" width="24.46875" style="1"/>
    <col min="2570" max="2570" width="3.8203125" style="1" customWidth="1"/>
    <col min="2571" max="2571" width="32.234375" style="1" customWidth="1"/>
    <col min="2572" max="2575" width="13.87890625" style="1" customWidth="1"/>
    <col min="2576" max="2579" width="7.5859375" style="1" customWidth="1"/>
    <col min="2580" max="2825" width="24.46875" style="1"/>
    <col min="2826" max="2826" width="3.8203125" style="1" customWidth="1"/>
    <col min="2827" max="2827" width="32.234375" style="1" customWidth="1"/>
    <col min="2828" max="2831" width="13.87890625" style="1" customWidth="1"/>
    <col min="2832" max="2835" width="7.5859375" style="1" customWidth="1"/>
    <col min="2836" max="3081" width="24.46875" style="1"/>
    <col min="3082" max="3082" width="3.8203125" style="1" customWidth="1"/>
    <col min="3083" max="3083" width="32.234375" style="1" customWidth="1"/>
    <col min="3084" max="3087" width="13.87890625" style="1" customWidth="1"/>
    <col min="3088" max="3091" width="7.5859375" style="1" customWidth="1"/>
    <col min="3092" max="3337" width="24.46875" style="1"/>
    <col min="3338" max="3338" width="3.8203125" style="1" customWidth="1"/>
    <col min="3339" max="3339" width="32.234375" style="1" customWidth="1"/>
    <col min="3340" max="3343" width="13.87890625" style="1" customWidth="1"/>
    <col min="3344" max="3347" width="7.5859375" style="1" customWidth="1"/>
    <col min="3348" max="3593" width="24.46875" style="1"/>
    <col min="3594" max="3594" width="3.8203125" style="1" customWidth="1"/>
    <col min="3595" max="3595" width="32.234375" style="1" customWidth="1"/>
    <col min="3596" max="3599" width="13.87890625" style="1" customWidth="1"/>
    <col min="3600" max="3603" width="7.5859375" style="1" customWidth="1"/>
    <col min="3604" max="3849" width="24.46875" style="1"/>
    <col min="3850" max="3850" width="3.8203125" style="1" customWidth="1"/>
    <col min="3851" max="3851" width="32.234375" style="1" customWidth="1"/>
    <col min="3852" max="3855" width="13.87890625" style="1" customWidth="1"/>
    <col min="3856" max="3859" width="7.5859375" style="1" customWidth="1"/>
    <col min="3860" max="4105" width="24.46875" style="1"/>
    <col min="4106" max="4106" width="3.8203125" style="1" customWidth="1"/>
    <col min="4107" max="4107" width="32.234375" style="1" customWidth="1"/>
    <col min="4108" max="4111" width="13.87890625" style="1" customWidth="1"/>
    <col min="4112" max="4115" width="7.5859375" style="1" customWidth="1"/>
    <col min="4116" max="4361" width="24.46875" style="1"/>
    <col min="4362" max="4362" width="3.8203125" style="1" customWidth="1"/>
    <col min="4363" max="4363" width="32.234375" style="1" customWidth="1"/>
    <col min="4364" max="4367" width="13.87890625" style="1" customWidth="1"/>
    <col min="4368" max="4371" width="7.5859375" style="1" customWidth="1"/>
    <col min="4372" max="4617" width="24.46875" style="1"/>
    <col min="4618" max="4618" width="3.8203125" style="1" customWidth="1"/>
    <col min="4619" max="4619" width="32.234375" style="1" customWidth="1"/>
    <col min="4620" max="4623" width="13.87890625" style="1" customWidth="1"/>
    <col min="4624" max="4627" width="7.5859375" style="1" customWidth="1"/>
    <col min="4628" max="4873" width="24.46875" style="1"/>
    <col min="4874" max="4874" width="3.8203125" style="1" customWidth="1"/>
    <col min="4875" max="4875" width="32.234375" style="1" customWidth="1"/>
    <col min="4876" max="4879" width="13.87890625" style="1" customWidth="1"/>
    <col min="4880" max="4883" width="7.5859375" style="1" customWidth="1"/>
    <col min="4884" max="5129" width="24.46875" style="1"/>
    <col min="5130" max="5130" width="3.8203125" style="1" customWidth="1"/>
    <col min="5131" max="5131" width="32.234375" style="1" customWidth="1"/>
    <col min="5132" max="5135" width="13.87890625" style="1" customWidth="1"/>
    <col min="5136" max="5139" width="7.5859375" style="1" customWidth="1"/>
    <col min="5140" max="5385" width="24.46875" style="1"/>
    <col min="5386" max="5386" width="3.8203125" style="1" customWidth="1"/>
    <col min="5387" max="5387" width="32.234375" style="1" customWidth="1"/>
    <col min="5388" max="5391" width="13.87890625" style="1" customWidth="1"/>
    <col min="5392" max="5395" width="7.5859375" style="1" customWidth="1"/>
    <col min="5396" max="5641" width="24.46875" style="1"/>
    <col min="5642" max="5642" width="3.8203125" style="1" customWidth="1"/>
    <col min="5643" max="5643" width="32.234375" style="1" customWidth="1"/>
    <col min="5644" max="5647" width="13.87890625" style="1" customWidth="1"/>
    <col min="5648" max="5651" width="7.5859375" style="1" customWidth="1"/>
    <col min="5652" max="5897" width="24.46875" style="1"/>
    <col min="5898" max="5898" width="3.8203125" style="1" customWidth="1"/>
    <col min="5899" max="5899" width="32.234375" style="1" customWidth="1"/>
    <col min="5900" max="5903" width="13.87890625" style="1" customWidth="1"/>
    <col min="5904" max="5907" width="7.5859375" style="1" customWidth="1"/>
    <col min="5908" max="6153" width="24.46875" style="1"/>
    <col min="6154" max="6154" width="3.8203125" style="1" customWidth="1"/>
    <col min="6155" max="6155" width="32.234375" style="1" customWidth="1"/>
    <col min="6156" max="6159" width="13.87890625" style="1" customWidth="1"/>
    <col min="6160" max="6163" width="7.5859375" style="1" customWidth="1"/>
    <col min="6164" max="6409" width="24.46875" style="1"/>
    <col min="6410" max="6410" width="3.8203125" style="1" customWidth="1"/>
    <col min="6411" max="6411" width="32.234375" style="1" customWidth="1"/>
    <col min="6412" max="6415" width="13.87890625" style="1" customWidth="1"/>
    <col min="6416" max="6419" width="7.5859375" style="1" customWidth="1"/>
    <col min="6420" max="6665" width="24.46875" style="1"/>
    <col min="6666" max="6666" width="3.8203125" style="1" customWidth="1"/>
    <col min="6667" max="6667" width="32.234375" style="1" customWidth="1"/>
    <col min="6668" max="6671" width="13.87890625" style="1" customWidth="1"/>
    <col min="6672" max="6675" width="7.5859375" style="1" customWidth="1"/>
    <col min="6676" max="6921" width="24.46875" style="1"/>
    <col min="6922" max="6922" width="3.8203125" style="1" customWidth="1"/>
    <col min="6923" max="6923" width="32.234375" style="1" customWidth="1"/>
    <col min="6924" max="6927" width="13.87890625" style="1" customWidth="1"/>
    <col min="6928" max="6931" width="7.5859375" style="1" customWidth="1"/>
    <col min="6932" max="7177" width="24.46875" style="1"/>
    <col min="7178" max="7178" width="3.8203125" style="1" customWidth="1"/>
    <col min="7179" max="7179" width="32.234375" style="1" customWidth="1"/>
    <col min="7180" max="7183" width="13.87890625" style="1" customWidth="1"/>
    <col min="7184" max="7187" width="7.5859375" style="1" customWidth="1"/>
    <col min="7188" max="7433" width="24.46875" style="1"/>
    <col min="7434" max="7434" width="3.8203125" style="1" customWidth="1"/>
    <col min="7435" max="7435" width="32.234375" style="1" customWidth="1"/>
    <col min="7436" max="7439" width="13.87890625" style="1" customWidth="1"/>
    <col min="7440" max="7443" width="7.5859375" style="1" customWidth="1"/>
    <col min="7444" max="7689" width="24.46875" style="1"/>
    <col min="7690" max="7690" width="3.8203125" style="1" customWidth="1"/>
    <col min="7691" max="7691" width="32.234375" style="1" customWidth="1"/>
    <col min="7692" max="7695" width="13.87890625" style="1" customWidth="1"/>
    <col min="7696" max="7699" width="7.5859375" style="1" customWidth="1"/>
    <col min="7700" max="7945" width="24.46875" style="1"/>
    <col min="7946" max="7946" width="3.8203125" style="1" customWidth="1"/>
    <col min="7947" max="7947" width="32.234375" style="1" customWidth="1"/>
    <col min="7948" max="7951" width="13.87890625" style="1" customWidth="1"/>
    <col min="7952" max="7955" width="7.5859375" style="1" customWidth="1"/>
    <col min="7956" max="8201" width="24.46875" style="1"/>
    <col min="8202" max="8202" width="3.8203125" style="1" customWidth="1"/>
    <col min="8203" max="8203" width="32.234375" style="1" customWidth="1"/>
    <col min="8204" max="8207" width="13.87890625" style="1" customWidth="1"/>
    <col min="8208" max="8211" width="7.5859375" style="1" customWidth="1"/>
    <col min="8212" max="8457" width="24.46875" style="1"/>
    <col min="8458" max="8458" width="3.8203125" style="1" customWidth="1"/>
    <col min="8459" max="8459" width="32.234375" style="1" customWidth="1"/>
    <col min="8460" max="8463" width="13.87890625" style="1" customWidth="1"/>
    <col min="8464" max="8467" width="7.5859375" style="1" customWidth="1"/>
    <col min="8468" max="8713" width="24.46875" style="1"/>
    <col min="8714" max="8714" width="3.8203125" style="1" customWidth="1"/>
    <col min="8715" max="8715" width="32.234375" style="1" customWidth="1"/>
    <col min="8716" max="8719" width="13.87890625" style="1" customWidth="1"/>
    <col min="8720" max="8723" width="7.5859375" style="1" customWidth="1"/>
    <col min="8724" max="8969" width="24.46875" style="1"/>
    <col min="8970" max="8970" width="3.8203125" style="1" customWidth="1"/>
    <col min="8971" max="8971" width="32.234375" style="1" customWidth="1"/>
    <col min="8972" max="8975" width="13.87890625" style="1" customWidth="1"/>
    <col min="8976" max="8979" width="7.5859375" style="1" customWidth="1"/>
    <col min="8980" max="9225" width="24.46875" style="1"/>
    <col min="9226" max="9226" width="3.8203125" style="1" customWidth="1"/>
    <col min="9227" max="9227" width="32.234375" style="1" customWidth="1"/>
    <col min="9228" max="9231" width="13.87890625" style="1" customWidth="1"/>
    <col min="9232" max="9235" width="7.5859375" style="1" customWidth="1"/>
    <col min="9236" max="9481" width="24.46875" style="1"/>
    <col min="9482" max="9482" width="3.8203125" style="1" customWidth="1"/>
    <col min="9483" max="9483" width="32.234375" style="1" customWidth="1"/>
    <col min="9484" max="9487" width="13.87890625" style="1" customWidth="1"/>
    <col min="9488" max="9491" width="7.5859375" style="1" customWidth="1"/>
    <col min="9492" max="9737" width="24.46875" style="1"/>
    <col min="9738" max="9738" width="3.8203125" style="1" customWidth="1"/>
    <col min="9739" max="9739" width="32.234375" style="1" customWidth="1"/>
    <col min="9740" max="9743" width="13.87890625" style="1" customWidth="1"/>
    <col min="9744" max="9747" width="7.5859375" style="1" customWidth="1"/>
    <col min="9748" max="9993" width="24.46875" style="1"/>
    <col min="9994" max="9994" width="3.8203125" style="1" customWidth="1"/>
    <col min="9995" max="9995" width="32.234375" style="1" customWidth="1"/>
    <col min="9996" max="9999" width="13.87890625" style="1" customWidth="1"/>
    <col min="10000" max="10003" width="7.5859375" style="1" customWidth="1"/>
    <col min="10004" max="10249" width="24.46875" style="1"/>
    <col min="10250" max="10250" width="3.8203125" style="1" customWidth="1"/>
    <col min="10251" max="10251" width="32.234375" style="1" customWidth="1"/>
    <col min="10252" max="10255" width="13.87890625" style="1" customWidth="1"/>
    <col min="10256" max="10259" width="7.5859375" style="1" customWidth="1"/>
    <col min="10260" max="10505" width="24.46875" style="1"/>
    <col min="10506" max="10506" width="3.8203125" style="1" customWidth="1"/>
    <col min="10507" max="10507" width="32.234375" style="1" customWidth="1"/>
    <col min="10508" max="10511" width="13.87890625" style="1" customWidth="1"/>
    <col min="10512" max="10515" width="7.5859375" style="1" customWidth="1"/>
    <col min="10516" max="10761" width="24.46875" style="1"/>
    <col min="10762" max="10762" width="3.8203125" style="1" customWidth="1"/>
    <col min="10763" max="10763" width="32.234375" style="1" customWidth="1"/>
    <col min="10764" max="10767" width="13.87890625" style="1" customWidth="1"/>
    <col min="10768" max="10771" width="7.5859375" style="1" customWidth="1"/>
    <col min="10772" max="11017" width="24.46875" style="1"/>
    <col min="11018" max="11018" width="3.8203125" style="1" customWidth="1"/>
    <col min="11019" max="11019" width="32.234375" style="1" customWidth="1"/>
    <col min="11020" max="11023" width="13.87890625" style="1" customWidth="1"/>
    <col min="11024" max="11027" width="7.5859375" style="1" customWidth="1"/>
    <col min="11028" max="11273" width="24.46875" style="1"/>
    <col min="11274" max="11274" width="3.8203125" style="1" customWidth="1"/>
    <col min="11275" max="11275" width="32.234375" style="1" customWidth="1"/>
    <col min="11276" max="11279" width="13.87890625" style="1" customWidth="1"/>
    <col min="11280" max="11283" width="7.5859375" style="1" customWidth="1"/>
    <col min="11284" max="11529" width="24.46875" style="1"/>
    <col min="11530" max="11530" width="3.8203125" style="1" customWidth="1"/>
    <col min="11531" max="11531" width="32.234375" style="1" customWidth="1"/>
    <col min="11532" max="11535" width="13.87890625" style="1" customWidth="1"/>
    <col min="11536" max="11539" width="7.5859375" style="1" customWidth="1"/>
    <col min="11540" max="11785" width="24.46875" style="1"/>
    <col min="11786" max="11786" width="3.8203125" style="1" customWidth="1"/>
    <col min="11787" max="11787" width="32.234375" style="1" customWidth="1"/>
    <col min="11788" max="11791" width="13.87890625" style="1" customWidth="1"/>
    <col min="11792" max="11795" width="7.5859375" style="1" customWidth="1"/>
    <col min="11796" max="12041" width="24.46875" style="1"/>
    <col min="12042" max="12042" width="3.8203125" style="1" customWidth="1"/>
    <col min="12043" max="12043" width="32.234375" style="1" customWidth="1"/>
    <col min="12044" max="12047" width="13.87890625" style="1" customWidth="1"/>
    <col min="12048" max="12051" width="7.5859375" style="1" customWidth="1"/>
    <col min="12052" max="12297" width="24.46875" style="1"/>
    <col min="12298" max="12298" width="3.8203125" style="1" customWidth="1"/>
    <col min="12299" max="12299" width="32.234375" style="1" customWidth="1"/>
    <col min="12300" max="12303" width="13.87890625" style="1" customWidth="1"/>
    <col min="12304" max="12307" width="7.5859375" style="1" customWidth="1"/>
    <col min="12308" max="12553" width="24.46875" style="1"/>
    <col min="12554" max="12554" width="3.8203125" style="1" customWidth="1"/>
    <col min="12555" max="12555" width="32.234375" style="1" customWidth="1"/>
    <col min="12556" max="12559" width="13.87890625" style="1" customWidth="1"/>
    <col min="12560" max="12563" width="7.5859375" style="1" customWidth="1"/>
    <col min="12564" max="12809" width="24.46875" style="1"/>
    <col min="12810" max="12810" width="3.8203125" style="1" customWidth="1"/>
    <col min="12811" max="12811" width="32.234375" style="1" customWidth="1"/>
    <col min="12812" max="12815" width="13.87890625" style="1" customWidth="1"/>
    <col min="12816" max="12819" width="7.5859375" style="1" customWidth="1"/>
    <col min="12820" max="13065" width="24.46875" style="1"/>
    <col min="13066" max="13066" width="3.8203125" style="1" customWidth="1"/>
    <col min="13067" max="13067" width="32.234375" style="1" customWidth="1"/>
    <col min="13068" max="13071" width="13.87890625" style="1" customWidth="1"/>
    <col min="13072" max="13075" width="7.5859375" style="1" customWidth="1"/>
    <col min="13076" max="13321" width="24.46875" style="1"/>
    <col min="13322" max="13322" width="3.8203125" style="1" customWidth="1"/>
    <col min="13323" max="13323" width="32.234375" style="1" customWidth="1"/>
    <col min="13324" max="13327" width="13.87890625" style="1" customWidth="1"/>
    <col min="13328" max="13331" width="7.5859375" style="1" customWidth="1"/>
    <col min="13332" max="13577" width="24.46875" style="1"/>
    <col min="13578" max="13578" width="3.8203125" style="1" customWidth="1"/>
    <col min="13579" max="13579" width="32.234375" style="1" customWidth="1"/>
    <col min="13580" max="13583" width="13.87890625" style="1" customWidth="1"/>
    <col min="13584" max="13587" width="7.5859375" style="1" customWidth="1"/>
    <col min="13588" max="13833" width="24.46875" style="1"/>
    <col min="13834" max="13834" width="3.8203125" style="1" customWidth="1"/>
    <col min="13835" max="13835" width="32.234375" style="1" customWidth="1"/>
    <col min="13836" max="13839" width="13.87890625" style="1" customWidth="1"/>
    <col min="13840" max="13843" width="7.5859375" style="1" customWidth="1"/>
    <col min="13844" max="14089" width="24.46875" style="1"/>
    <col min="14090" max="14090" width="3.8203125" style="1" customWidth="1"/>
    <col min="14091" max="14091" width="32.234375" style="1" customWidth="1"/>
    <col min="14092" max="14095" width="13.87890625" style="1" customWidth="1"/>
    <col min="14096" max="14099" width="7.5859375" style="1" customWidth="1"/>
    <col min="14100" max="14345" width="24.46875" style="1"/>
    <col min="14346" max="14346" width="3.8203125" style="1" customWidth="1"/>
    <col min="14347" max="14347" width="32.234375" style="1" customWidth="1"/>
    <col min="14348" max="14351" width="13.87890625" style="1" customWidth="1"/>
    <col min="14352" max="14355" width="7.5859375" style="1" customWidth="1"/>
    <col min="14356" max="14601" width="24.46875" style="1"/>
    <col min="14602" max="14602" width="3.8203125" style="1" customWidth="1"/>
    <col min="14603" max="14603" width="32.234375" style="1" customWidth="1"/>
    <col min="14604" max="14607" width="13.87890625" style="1" customWidth="1"/>
    <col min="14608" max="14611" width="7.5859375" style="1" customWidth="1"/>
    <col min="14612" max="14857" width="24.46875" style="1"/>
    <col min="14858" max="14858" width="3.8203125" style="1" customWidth="1"/>
    <col min="14859" max="14859" width="32.234375" style="1" customWidth="1"/>
    <col min="14860" max="14863" width="13.87890625" style="1" customWidth="1"/>
    <col min="14864" max="14867" width="7.5859375" style="1" customWidth="1"/>
    <col min="14868" max="15113" width="24.46875" style="1"/>
    <col min="15114" max="15114" width="3.8203125" style="1" customWidth="1"/>
    <col min="15115" max="15115" width="32.234375" style="1" customWidth="1"/>
    <col min="15116" max="15119" width="13.87890625" style="1" customWidth="1"/>
    <col min="15120" max="15123" width="7.5859375" style="1" customWidth="1"/>
    <col min="15124" max="15369" width="24.46875" style="1"/>
    <col min="15370" max="15370" width="3.8203125" style="1" customWidth="1"/>
    <col min="15371" max="15371" width="32.234375" style="1" customWidth="1"/>
    <col min="15372" max="15375" width="13.87890625" style="1" customWidth="1"/>
    <col min="15376" max="15379" width="7.5859375" style="1" customWidth="1"/>
    <col min="15380" max="15625" width="24.46875" style="1"/>
    <col min="15626" max="15626" width="3.8203125" style="1" customWidth="1"/>
    <col min="15627" max="15627" width="32.234375" style="1" customWidth="1"/>
    <col min="15628" max="15631" width="13.87890625" style="1" customWidth="1"/>
    <col min="15632" max="15635" width="7.5859375" style="1" customWidth="1"/>
    <col min="15636" max="15881" width="24.46875" style="1"/>
    <col min="15882" max="15882" width="3.8203125" style="1" customWidth="1"/>
    <col min="15883" max="15883" width="32.234375" style="1" customWidth="1"/>
    <col min="15884" max="15887" width="13.87890625" style="1" customWidth="1"/>
    <col min="15888" max="15891" width="7.5859375" style="1" customWidth="1"/>
    <col min="15892" max="16137" width="24.46875" style="1"/>
    <col min="16138" max="16138" width="3.8203125" style="1" customWidth="1"/>
    <col min="16139" max="16139" width="32.234375" style="1" customWidth="1"/>
    <col min="16140" max="16143" width="13.87890625" style="1" customWidth="1"/>
    <col min="16144" max="16147" width="7.5859375" style="1" customWidth="1"/>
    <col min="16148" max="16384" width="24.46875" style="1"/>
  </cols>
  <sheetData>
    <row r="1" spans="2:20" ht="19.350000000000001" customHeight="1">
      <c r="B1" s="2" t="str">
        <f>+'Historical Analysis'!B1</f>
        <v>EXTENDED STAY AMERICA</v>
      </c>
      <c r="C1" s="2"/>
      <c r="D1" s="2"/>
      <c r="E1" s="2"/>
      <c r="F1" s="2"/>
      <c r="G1" s="2"/>
      <c r="L1" s="2"/>
    </row>
    <row r="2" spans="2:20" ht="10.7" customHeight="1">
      <c r="B2" s="219" t="s">
        <v>285</v>
      </c>
      <c r="C2" s="219"/>
      <c r="D2" s="219"/>
      <c r="E2" s="219"/>
      <c r="F2" s="219"/>
      <c r="G2" s="219"/>
      <c r="L2" s="2"/>
    </row>
    <row r="3" spans="2:20" ht="19.7" customHeight="1">
      <c r="B3" s="5"/>
      <c r="C3" s="5"/>
      <c r="D3" s="5"/>
      <c r="E3" s="5"/>
      <c r="F3" s="5"/>
      <c r="G3" s="5"/>
      <c r="L3" s="5"/>
    </row>
    <row r="4" spans="2:20" ht="19.7" customHeight="1">
      <c r="B4" s="305"/>
      <c r="C4" s="305"/>
      <c r="D4" s="531" t="s">
        <v>287</v>
      </c>
      <c r="E4" s="536"/>
      <c r="F4" s="536"/>
      <c r="G4" s="536"/>
      <c r="H4" s="536"/>
      <c r="I4" s="536"/>
      <c r="J4" s="536"/>
      <c r="K4" s="536"/>
      <c r="L4" s="536"/>
      <c r="M4" s="531" t="s">
        <v>288</v>
      </c>
      <c r="N4" s="532"/>
      <c r="O4" s="532"/>
      <c r="P4" s="532"/>
      <c r="Q4" s="532"/>
      <c r="R4" s="533"/>
      <c r="S4" s="389"/>
      <c r="T4" s="389"/>
    </row>
    <row r="5" spans="2:20" ht="30.45" customHeight="1">
      <c r="B5" s="310"/>
      <c r="C5" s="311" t="s">
        <v>272</v>
      </c>
      <c r="D5" s="311" t="s">
        <v>272</v>
      </c>
      <c r="E5" s="311" t="s">
        <v>272</v>
      </c>
      <c r="F5" s="311" t="s">
        <v>272</v>
      </c>
      <c r="G5" s="311" t="s">
        <v>272</v>
      </c>
      <c r="H5" s="311" t="s">
        <v>272</v>
      </c>
      <c r="I5" s="311" t="s">
        <v>272</v>
      </c>
      <c r="J5" s="311" t="s">
        <v>272</v>
      </c>
      <c r="K5" s="311" t="s">
        <v>272</v>
      </c>
      <c r="L5" s="312" t="str">
        <f>+K5</f>
        <v>Dec 31</v>
      </c>
      <c r="M5" s="311" t="s">
        <v>272</v>
      </c>
      <c r="N5" s="311" t="str">
        <f>+M5</f>
        <v>Dec 31</v>
      </c>
      <c r="O5" s="311" t="str">
        <f>+N5</f>
        <v>Dec 31</v>
      </c>
      <c r="P5" s="311" t="str">
        <f>+O5</f>
        <v>Dec 31</v>
      </c>
      <c r="Q5" s="311" t="str">
        <f>+P5</f>
        <v>Dec 31</v>
      </c>
      <c r="R5" s="311" t="str">
        <f>+Q5</f>
        <v>Dec 31</v>
      </c>
      <c r="S5" s="311" t="str">
        <f t="shared" ref="S5:T5" si="0">+R5</f>
        <v>Dec 31</v>
      </c>
      <c r="T5" s="311" t="str">
        <f t="shared" si="0"/>
        <v>Dec 31</v>
      </c>
    </row>
    <row r="6" spans="2:20" s="6" customFormat="1" ht="15" customHeight="1" thickBot="1">
      <c r="B6" s="313" t="s">
        <v>0</v>
      </c>
      <c r="C6" s="314">
        <v>2011</v>
      </c>
      <c r="D6" s="314">
        <v>2012</v>
      </c>
      <c r="E6" s="314">
        <v>2013</v>
      </c>
      <c r="F6" s="314">
        <v>2014</v>
      </c>
      <c r="G6" s="314">
        <v>2015</v>
      </c>
      <c r="H6" s="314">
        <v>2016</v>
      </c>
      <c r="I6" s="314">
        <v>2017</v>
      </c>
      <c r="J6" s="314">
        <v>2018</v>
      </c>
      <c r="K6" s="314">
        <v>2019</v>
      </c>
      <c r="L6" s="314">
        <v>2020</v>
      </c>
      <c r="M6" s="314">
        <f>+L6+1</f>
        <v>2021</v>
      </c>
      <c r="N6" s="314">
        <f t="shared" ref="N6:R6" si="1">+M6+1</f>
        <v>2022</v>
      </c>
      <c r="O6" s="314">
        <f t="shared" si="1"/>
        <v>2023</v>
      </c>
      <c r="P6" s="314">
        <f t="shared" si="1"/>
        <v>2024</v>
      </c>
      <c r="Q6" s="314">
        <f t="shared" si="1"/>
        <v>2025</v>
      </c>
      <c r="R6" s="314">
        <f t="shared" si="1"/>
        <v>2026</v>
      </c>
      <c r="S6" s="314">
        <f t="shared" ref="S6" si="2">+R6+1</f>
        <v>2027</v>
      </c>
      <c r="T6" s="314">
        <f t="shared" ref="T6" si="3">+S6+1</f>
        <v>2028</v>
      </c>
    </row>
    <row r="7" spans="2:20" ht="14.45" customHeight="1">
      <c r="B7" s="7" t="s">
        <v>1</v>
      </c>
      <c r="C7" s="246">
        <f>'Historical Analysis'!L7</f>
        <v>942728</v>
      </c>
      <c r="D7" s="246">
        <f>'Historical Analysis'!K7</f>
        <v>1011462</v>
      </c>
      <c r="E7" s="246">
        <f>'Historical Analysis'!J7</f>
        <v>1132818</v>
      </c>
      <c r="F7" s="246">
        <f>'Historical Analysis'!I7</f>
        <v>1213475</v>
      </c>
      <c r="G7" s="246">
        <f>'Historical Analysis'!H7</f>
        <v>1284753</v>
      </c>
      <c r="H7" s="246">
        <f>'Historical Analysis'!G7</f>
        <v>1270593</v>
      </c>
      <c r="I7" s="246">
        <f>+'Historical Analysis'!F7</f>
        <v>1282725</v>
      </c>
      <c r="J7" s="246">
        <f>+'Historical Analysis'!E7</f>
        <v>1275059</v>
      </c>
      <c r="K7" s="246">
        <f>+'Historical Analysis'!D7</f>
        <v>1218219</v>
      </c>
      <c r="L7" s="246">
        <f>+'Historical Analysis'!C7</f>
        <v>1042316</v>
      </c>
      <c r="M7" s="246">
        <f t="shared" ref="M7:R7" si="4">+L7*(1+M36)</f>
        <v>1146547.6000000001</v>
      </c>
      <c r="N7" s="246">
        <f t="shared" si="4"/>
        <v>1261202.3600000001</v>
      </c>
      <c r="O7" s="246">
        <f t="shared" si="4"/>
        <v>1387322.5960000001</v>
      </c>
      <c r="P7" s="246">
        <f t="shared" si="4"/>
        <v>1526054.8556000004</v>
      </c>
      <c r="Q7" s="246">
        <f t="shared" si="4"/>
        <v>1678660.3411600005</v>
      </c>
      <c r="R7" s="246">
        <f t="shared" si="4"/>
        <v>1846526.3752760007</v>
      </c>
      <c r="S7" s="246">
        <f t="shared" ref="S7" si="5">+R7*(1+S36)</f>
        <v>2031179.0128036009</v>
      </c>
      <c r="T7" s="246">
        <f t="shared" ref="T7" si="6">+S7*(1+T36)</f>
        <v>2234296.9140839609</v>
      </c>
    </row>
    <row r="8" spans="2:20" ht="14.45" customHeight="1">
      <c r="B8" s="259" t="s">
        <v>229</v>
      </c>
      <c r="C8" s="260"/>
      <c r="D8" s="260"/>
      <c r="E8" s="262">
        <f t="shared" ref="E8:H8" si="7">+E7/D7-1</f>
        <v>0.11998078029624448</v>
      </c>
      <c r="F8" s="262">
        <f t="shared" si="7"/>
        <v>7.1200316379153472E-2</v>
      </c>
      <c r="G8" s="262">
        <f t="shared" si="7"/>
        <v>5.8738746162879441E-2</v>
      </c>
      <c r="H8" s="262">
        <f t="shared" si="7"/>
        <v>-1.1021573796675344E-2</v>
      </c>
      <c r="I8" s="262">
        <f>+I7/H7-1</f>
        <v>9.5482975272176418E-3</v>
      </c>
      <c r="J8" s="262">
        <f t="shared" ref="J8:L8" si="8">+J7/I7-1</f>
        <v>-5.976339433627631E-3</v>
      </c>
      <c r="K8" s="262">
        <f t="shared" si="8"/>
        <v>-4.4578329316525722E-2</v>
      </c>
      <c r="L8" s="262">
        <f t="shared" si="8"/>
        <v>-0.14439357783781082</v>
      </c>
      <c r="M8" s="262">
        <f>+M7/L7-1</f>
        <v>0.10000000000000009</v>
      </c>
      <c r="N8" s="262">
        <f t="shared" ref="N8:R8" si="9">+N7/M7-1</f>
        <v>0.10000000000000009</v>
      </c>
      <c r="O8" s="262">
        <f t="shared" si="9"/>
        <v>0.10000000000000009</v>
      </c>
      <c r="P8" s="262">
        <f t="shared" si="9"/>
        <v>0.10000000000000009</v>
      </c>
      <c r="Q8" s="262">
        <f t="shared" si="9"/>
        <v>0.10000000000000009</v>
      </c>
      <c r="R8" s="262">
        <f t="shared" si="9"/>
        <v>0.10000000000000009</v>
      </c>
      <c r="S8" s="262">
        <f t="shared" ref="S8" si="10">+S7/R7-1</f>
        <v>0.10000000000000009</v>
      </c>
      <c r="T8" s="262">
        <f t="shared" ref="T8" si="11">+T7/S7-1</f>
        <v>0.10000000000000009</v>
      </c>
    </row>
    <row r="9" spans="2:20" ht="14.45" customHeight="1">
      <c r="B9" s="7"/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</row>
    <row r="10" spans="2:20" ht="14.45" customHeight="1">
      <c r="B10" s="9" t="s">
        <v>2</v>
      </c>
      <c r="C10" s="247">
        <f>+'Historical Analysis'!L8</f>
        <v>464379</v>
      </c>
      <c r="D10" s="247">
        <f>+'Historical Analysis'!K8</f>
        <v>493635</v>
      </c>
      <c r="E10" s="247">
        <f>+'Historical Analysis'!J8</f>
        <v>540551</v>
      </c>
      <c r="F10" s="247">
        <f>+'Historical Analysis'!I8</f>
        <v>592101</v>
      </c>
      <c r="G10" s="247">
        <f>+'Historical Analysis'!H8</f>
        <v>604087</v>
      </c>
      <c r="H10" s="247">
        <f>+'Historical Analysis'!G8</f>
        <v>580772</v>
      </c>
      <c r="I10" s="247">
        <f>+'Historical Analysis'!F8</f>
        <v>585545</v>
      </c>
      <c r="J10" s="247">
        <f>+'Historical Analysis'!E8</f>
        <v>596246</v>
      </c>
      <c r="K10" s="247">
        <f>+'Historical Analysis'!D8</f>
        <v>601191</v>
      </c>
      <c r="L10" s="247">
        <f>+'Historical Analysis'!C8</f>
        <v>593760</v>
      </c>
      <c r="M10" s="247">
        <f>M7*M38</f>
        <v>515946.42000000004</v>
      </c>
      <c r="N10" s="247">
        <f t="shared" ref="N10:R10" si="12">N7*N38</f>
        <v>567541.06200000003</v>
      </c>
      <c r="O10" s="247">
        <f t="shared" si="12"/>
        <v>624295.16820000007</v>
      </c>
      <c r="P10" s="247">
        <f t="shared" si="12"/>
        <v>686724.68502000021</v>
      </c>
      <c r="Q10" s="247">
        <f t="shared" si="12"/>
        <v>755397.1535220003</v>
      </c>
      <c r="R10" s="247">
        <f t="shared" si="12"/>
        <v>830936.86887420039</v>
      </c>
      <c r="S10" s="247">
        <f t="shared" ref="S10:T10" si="13">S7*S38</f>
        <v>914030.5557616204</v>
      </c>
      <c r="T10" s="247">
        <f t="shared" si="13"/>
        <v>1005433.6113377825</v>
      </c>
    </row>
    <row r="11" spans="2:20" ht="14.45" customHeight="1">
      <c r="B11" s="9" t="s">
        <v>3</v>
      </c>
      <c r="C11" s="248">
        <f t="shared" ref="C11:H11" si="14">+C7-C10</f>
        <v>478349</v>
      </c>
      <c r="D11" s="248">
        <f t="shared" si="14"/>
        <v>517827</v>
      </c>
      <c r="E11" s="248">
        <f t="shared" si="14"/>
        <v>592267</v>
      </c>
      <c r="F11" s="248">
        <f t="shared" si="14"/>
        <v>621374</v>
      </c>
      <c r="G11" s="248">
        <f t="shared" si="14"/>
        <v>680666</v>
      </c>
      <c r="H11" s="248">
        <f t="shared" si="14"/>
        <v>689821</v>
      </c>
      <c r="I11" s="248">
        <f t="shared" ref="I11:L11" si="15">+I7-I10</f>
        <v>697180</v>
      </c>
      <c r="J11" s="248">
        <f t="shared" si="15"/>
        <v>678813</v>
      </c>
      <c r="K11" s="248">
        <f t="shared" si="15"/>
        <v>617028</v>
      </c>
      <c r="L11" s="248">
        <f t="shared" si="15"/>
        <v>448556</v>
      </c>
      <c r="M11" s="248">
        <f>+M7-M10</f>
        <v>630601.18000000005</v>
      </c>
      <c r="N11" s="248">
        <f t="shared" ref="N11:R11" si="16">+N7-N10</f>
        <v>693661.29800000007</v>
      </c>
      <c r="O11" s="248">
        <f t="shared" si="16"/>
        <v>763027.42780000006</v>
      </c>
      <c r="P11" s="248">
        <f t="shared" si="16"/>
        <v>839330.17058000015</v>
      </c>
      <c r="Q11" s="248">
        <f t="shared" si="16"/>
        <v>923263.18763800024</v>
      </c>
      <c r="R11" s="248">
        <f t="shared" si="16"/>
        <v>1015589.5064018003</v>
      </c>
      <c r="S11" s="248">
        <f t="shared" ref="S11:T11" si="17">+S7-S10</f>
        <v>1117148.4570419805</v>
      </c>
      <c r="T11" s="248">
        <f t="shared" si="17"/>
        <v>1228863.3027461786</v>
      </c>
    </row>
    <row r="12" spans="2:20" ht="14.45" customHeight="1">
      <c r="B12" s="259" t="s">
        <v>286</v>
      </c>
      <c r="C12" s="261">
        <f t="shared" ref="C12:H12" si="18">+C11/C7</f>
        <v>0.50740934818950956</v>
      </c>
      <c r="D12" s="261">
        <f t="shared" si="18"/>
        <v>0.51195892678123345</v>
      </c>
      <c r="E12" s="261">
        <f t="shared" si="18"/>
        <v>0.52282626158835754</v>
      </c>
      <c r="F12" s="261">
        <f t="shared" si="18"/>
        <v>0.51206164115453556</v>
      </c>
      <c r="G12" s="261">
        <f t="shared" si="18"/>
        <v>0.52980300493557908</v>
      </c>
      <c r="H12" s="261">
        <f t="shared" si="18"/>
        <v>0.5429126400035259</v>
      </c>
      <c r="I12" s="261">
        <f t="shared" ref="I12:L12" si="19">+I11/I7</f>
        <v>0.54351478298154321</v>
      </c>
      <c r="J12" s="261">
        <f t="shared" si="19"/>
        <v>0.53237771742327222</v>
      </c>
      <c r="K12" s="261">
        <f t="shared" si="19"/>
        <v>0.50650006279659077</v>
      </c>
      <c r="L12" s="261">
        <f t="shared" si="19"/>
        <v>0.43034549982922643</v>
      </c>
      <c r="M12" s="261">
        <f>+M11/M7</f>
        <v>0.55000000000000004</v>
      </c>
      <c r="N12" s="261">
        <f t="shared" ref="N12:R12" si="20">+N11/N7</f>
        <v>0.55000000000000004</v>
      </c>
      <c r="O12" s="261">
        <f t="shared" si="20"/>
        <v>0.55000000000000004</v>
      </c>
      <c r="P12" s="261">
        <f t="shared" si="20"/>
        <v>0.54999999999999993</v>
      </c>
      <c r="Q12" s="261">
        <f t="shared" si="20"/>
        <v>0.54999999999999993</v>
      </c>
      <c r="R12" s="261">
        <f t="shared" si="20"/>
        <v>0.54999999999999993</v>
      </c>
      <c r="S12" s="261">
        <f t="shared" ref="S12:T12" si="21">+S11/S7</f>
        <v>0.55000000000000004</v>
      </c>
      <c r="T12" s="261">
        <f t="shared" si="21"/>
        <v>0.55000000000000004</v>
      </c>
    </row>
    <row r="13" spans="2:20" ht="14.45" customHeight="1">
      <c r="B13" s="9"/>
      <c r="C13" s="254"/>
      <c r="D13" s="254"/>
      <c r="E13" s="254"/>
      <c r="F13" s="254"/>
      <c r="G13" s="254"/>
      <c r="H13" s="254"/>
      <c r="I13" s="254"/>
      <c r="J13" s="254"/>
      <c r="K13" s="254"/>
      <c r="L13" s="254"/>
      <c r="M13" s="254"/>
      <c r="N13" s="254"/>
      <c r="O13" s="254"/>
      <c r="P13" s="254"/>
      <c r="Q13" s="254"/>
      <c r="R13" s="254"/>
      <c r="S13" s="254"/>
      <c r="T13" s="254"/>
    </row>
    <row r="14" spans="2:20" ht="14.45" customHeight="1">
      <c r="B14" s="7" t="s">
        <v>4</v>
      </c>
      <c r="C14" s="249">
        <f>+'Historical Analysis'!L10</f>
        <v>201656</v>
      </c>
      <c r="D14" s="249">
        <f>+'Historical Analysis'!K10</f>
        <v>224697</v>
      </c>
      <c r="E14" s="249">
        <f>+'Historical Analysis'!J10</f>
        <v>275972</v>
      </c>
      <c r="F14" s="249">
        <f>+'Historical Analysis'!I10</f>
        <v>271200</v>
      </c>
      <c r="G14" s="249">
        <f>+'Historical Analysis'!H10</f>
        <v>302477</v>
      </c>
      <c r="H14" s="249">
        <f>+'Historical Analysis'!G10</f>
        <v>319329</v>
      </c>
      <c r="I14" s="249">
        <f>+'Historical Analysis'!F10</f>
        <v>320909</v>
      </c>
      <c r="J14" s="249">
        <f>+'Historical Analysis'!E10</f>
        <v>299754</v>
      </c>
      <c r="K14" s="249">
        <f>+'Historical Analysis'!D10</f>
        <v>292523</v>
      </c>
      <c r="L14" s="249">
        <f>+'Historical Analysis'!C10</f>
        <v>298178</v>
      </c>
      <c r="M14" s="249">
        <f>+M39*M7</f>
        <v>229309.52000000002</v>
      </c>
      <c r="N14" s="249">
        <f t="shared" ref="N14:R14" si="22">+N39*N7</f>
        <v>252240.47200000004</v>
      </c>
      <c r="O14" s="249">
        <f t="shared" si="22"/>
        <v>277464.51920000004</v>
      </c>
      <c r="P14" s="249">
        <f t="shared" si="22"/>
        <v>305210.97112000006</v>
      </c>
      <c r="Q14" s="249">
        <f t="shared" si="22"/>
        <v>335732.06823200011</v>
      </c>
      <c r="R14" s="249">
        <f t="shared" si="22"/>
        <v>369305.27505520015</v>
      </c>
      <c r="S14" s="249">
        <f t="shared" ref="S14:T14" si="23">+S39*S7</f>
        <v>406235.80256072019</v>
      </c>
      <c r="T14" s="249">
        <f t="shared" si="23"/>
        <v>446859.38281679223</v>
      </c>
    </row>
    <row r="15" spans="2:20" ht="14.45" customHeight="1" thickBot="1">
      <c r="B15" s="7" t="s">
        <v>5</v>
      </c>
      <c r="C15" s="257">
        <f t="shared" ref="C15:H15" si="24">+C11-C14</f>
        <v>276693</v>
      </c>
      <c r="D15" s="257">
        <f t="shared" si="24"/>
        <v>293130</v>
      </c>
      <c r="E15" s="257">
        <f t="shared" si="24"/>
        <v>316295</v>
      </c>
      <c r="F15" s="257">
        <f t="shared" si="24"/>
        <v>350174</v>
      </c>
      <c r="G15" s="257">
        <f t="shared" si="24"/>
        <v>378189</v>
      </c>
      <c r="H15" s="257">
        <f t="shared" si="24"/>
        <v>370492</v>
      </c>
      <c r="I15" s="257">
        <f t="shared" ref="I15:L15" si="25">+I11-I14</f>
        <v>376271</v>
      </c>
      <c r="J15" s="257">
        <f t="shared" si="25"/>
        <v>379059</v>
      </c>
      <c r="K15" s="257">
        <f t="shared" si="25"/>
        <v>324505</v>
      </c>
      <c r="L15" s="257">
        <f t="shared" si="25"/>
        <v>150378</v>
      </c>
      <c r="M15" s="256">
        <f>+M11-M14</f>
        <v>401291.66000000003</v>
      </c>
      <c r="N15" s="256">
        <f t="shared" ref="N15:R15" si="26">+N11-N14</f>
        <v>441420.826</v>
      </c>
      <c r="O15" s="256">
        <f t="shared" si="26"/>
        <v>485562.90860000002</v>
      </c>
      <c r="P15" s="256">
        <f t="shared" si="26"/>
        <v>534119.19946000003</v>
      </c>
      <c r="Q15" s="256">
        <f t="shared" si="26"/>
        <v>587531.11940600013</v>
      </c>
      <c r="R15" s="256">
        <f t="shared" si="26"/>
        <v>646284.23134660022</v>
      </c>
      <c r="S15" s="256">
        <f t="shared" ref="S15:T15" si="27">+S11-S14</f>
        <v>710912.65448126034</v>
      </c>
      <c r="T15" s="256">
        <f t="shared" si="27"/>
        <v>782003.91992938635</v>
      </c>
    </row>
    <row r="16" spans="2:20" ht="14.45" customHeight="1" thickTop="1">
      <c r="B16" s="7"/>
      <c r="C16" s="250"/>
      <c r="D16" s="250"/>
      <c r="E16" s="250"/>
      <c r="F16" s="250"/>
      <c r="G16" s="250"/>
      <c r="H16" s="250"/>
      <c r="I16" s="250"/>
      <c r="J16" s="250"/>
      <c r="K16" s="250"/>
      <c r="L16" s="250"/>
      <c r="M16" s="258"/>
      <c r="N16" s="258"/>
      <c r="O16" s="258"/>
      <c r="P16" s="258"/>
      <c r="Q16" s="258"/>
      <c r="R16" s="258"/>
      <c r="S16" s="258"/>
      <c r="T16" s="258"/>
    </row>
    <row r="17" spans="2:21" ht="14.45" customHeight="1">
      <c r="B17" s="9" t="s">
        <v>6</v>
      </c>
      <c r="C17" s="249">
        <f>+'Historical Analysis'!L12</f>
        <v>201976</v>
      </c>
      <c r="D17" s="249">
        <f>+'Historical Analysis'!K12</f>
        <v>257656</v>
      </c>
      <c r="E17" s="249">
        <f>+'Historical Analysis'!J12</f>
        <v>194980</v>
      </c>
      <c r="F17" s="249">
        <f>+'Historical Analysis'!I12</f>
        <v>123736</v>
      </c>
      <c r="G17" s="249">
        <f>+'Historical Analysis'!H12</f>
        <v>123411</v>
      </c>
      <c r="H17" s="249">
        <f>+'Historical Analysis'!G12</f>
        <v>127633</v>
      </c>
      <c r="I17" s="249">
        <f>+'Historical Analysis'!F12</f>
        <v>118510</v>
      </c>
      <c r="J17" s="249">
        <f>+'Historical Analysis'!E12</f>
        <v>116348</v>
      </c>
      <c r="K17" s="249">
        <f>+'Historical Analysis'!P12</f>
        <v>0</v>
      </c>
      <c r="L17" s="249">
        <f>+'Historical Analysis'!C12</f>
        <v>122296</v>
      </c>
      <c r="M17" s="250"/>
      <c r="N17" s="250"/>
      <c r="O17" s="250"/>
      <c r="P17" s="250"/>
      <c r="Q17" s="250"/>
      <c r="R17" s="250"/>
      <c r="S17" s="250"/>
      <c r="T17" s="250"/>
    </row>
    <row r="18" spans="2:21" ht="14.45" customHeight="1">
      <c r="B18" s="9" t="s">
        <v>7</v>
      </c>
      <c r="C18" s="247">
        <f t="shared" ref="C18" si="28">+C15-C17</f>
        <v>74717</v>
      </c>
      <c r="D18" s="247">
        <f t="shared" ref="D18:L18" si="29">+D15-D17</f>
        <v>35474</v>
      </c>
      <c r="E18" s="247">
        <f t="shared" si="29"/>
        <v>121315</v>
      </c>
      <c r="F18" s="247">
        <f t="shared" si="29"/>
        <v>226438</v>
      </c>
      <c r="G18" s="247">
        <f t="shared" si="29"/>
        <v>254778</v>
      </c>
      <c r="H18" s="247">
        <f t="shared" si="29"/>
        <v>242859</v>
      </c>
      <c r="I18" s="247">
        <f t="shared" si="29"/>
        <v>257761</v>
      </c>
      <c r="J18" s="247">
        <f t="shared" si="29"/>
        <v>262711</v>
      </c>
      <c r="K18" s="247">
        <f t="shared" si="29"/>
        <v>324505</v>
      </c>
      <c r="L18" s="247">
        <f t="shared" si="29"/>
        <v>28082</v>
      </c>
      <c r="M18" s="250"/>
      <c r="N18" s="250"/>
      <c r="O18" s="250"/>
      <c r="P18" s="250"/>
      <c r="Q18" s="250"/>
      <c r="R18" s="250"/>
      <c r="S18" s="250"/>
      <c r="T18" s="250"/>
    </row>
    <row r="19" spans="2:21" ht="14.45" customHeight="1">
      <c r="B19" s="9" t="s">
        <v>8</v>
      </c>
      <c r="C19" s="249">
        <f>+'Historical Analysis'!L14</f>
        <v>21032</v>
      </c>
      <c r="D19" s="249">
        <f>+'Historical Analysis'!K14</f>
        <v>8551</v>
      </c>
      <c r="E19" s="249">
        <f>+'Historical Analysis'!J14</f>
        <v>43649</v>
      </c>
      <c r="F19" s="249">
        <f>+'Historical Analysis'!I14</f>
        <v>30827</v>
      </c>
      <c r="G19" s="249">
        <f>+'Historical Analysis'!H14</f>
        <v>-104780</v>
      </c>
      <c r="H19" s="249">
        <f>+'Historical Analysis'!G14</f>
        <v>45156</v>
      </c>
      <c r="I19" s="249">
        <f>+'Historical Analysis'!F14</f>
        <v>26059</v>
      </c>
      <c r="J19" s="249">
        <f>+'Historical Analysis'!E14</f>
        <v>8879</v>
      </c>
      <c r="K19" s="249">
        <f>+'Historical Analysis'!P14</f>
        <v>0</v>
      </c>
      <c r="L19" s="249">
        <f>+'Historical Analysis'!C14</f>
        <v>-43674</v>
      </c>
      <c r="M19" s="250"/>
      <c r="N19" s="250"/>
      <c r="O19" s="250"/>
      <c r="P19" s="250"/>
      <c r="Q19" s="250"/>
      <c r="R19" s="250"/>
      <c r="S19" s="250"/>
      <c r="T19" s="250"/>
    </row>
    <row r="20" spans="2:21" ht="14.45" customHeight="1">
      <c r="B20" s="9" t="s">
        <v>9</v>
      </c>
      <c r="C20" s="251">
        <f>+'Historical Analysis'!L15</f>
        <v>53685</v>
      </c>
      <c r="D20" s="251">
        <f>+'Historical Analysis'!K15</f>
        <v>26923</v>
      </c>
      <c r="E20" s="251">
        <f>+'Historical Analysis'!J15</f>
        <v>77666</v>
      </c>
      <c r="F20" s="251">
        <f>+'Historical Analysis'!I15</f>
        <v>195611</v>
      </c>
      <c r="G20" s="251">
        <f>+'Historical Analysis'!H15</f>
        <v>359558</v>
      </c>
      <c r="H20" s="251">
        <f>+'Historical Analysis'!G15</f>
        <v>197703</v>
      </c>
      <c r="I20" s="251">
        <f>+'Historical Analysis'!F15</f>
        <v>231702</v>
      </c>
      <c r="J20" s="251">
        <f>+'Historical Analysis'!E15</f>
        <v>253832</v>
      </c>
      <c r="K20" s="251">
        <f>+'Historical Analysis'!J15</f>
        <v>77666</v>
      </c>
      <c r="L20" s="251">
        <f>+'Historical Analysis'!C15</f>
        <v>71756</v>
      </c>
      <c r="M20" s="250"/>
      <c r="N20" s="250"/>
      <c r="O20" s="250"/>
      <c r="P20" s="250"/>
      <c r="Q20" s="250"/>
      <c r="R20" s="250"/>
      <c r="S20" s="250"/>
      <c r="T20" s="250"/>
    </row>
    <row r="21" spans="2:21" ht="14.45" customHeight="1">
      <c r="B21" s="9" t="s">
        <v>10</v>
      </c>
      <c r="C21" s="251">
        <f>+'Historical Analysis'!L16</f>
        <v>8112</v>
      </c>
      <c r="D21" s="251">
        <f>+'Historical Analysis'!K16</f>
        <v>6191</v>
      </c>
      <c r="E21" s="251">
        <f>+'Historical Analysis'!J16</f>
        <v>-8565</v>
      </c>
      <c r="F21" s="251">
        <f>+'Historical Analysis'!I16</f>
        <v>156015</v>
      </c>
      <c r="G21" s="251">
        <f>+'Historical Analysis'!H16</f>
        <v>246518</v>
      </c>
      <c r="H21" s="251">
        <f>+'Historical Analysis'!G16</f>
        <v>127771</v>
      </c>
      <c r="I21" s="251">
        <f>+'Historical Analysis'!F16</f>
        <v>152855</v>
      </c>
      <c r="J21" s="247">
        <f>+'Historical Analysis'!E16</f>
        <v>140968</v>
      </c>
      <c r="K21" s="251">
        <f>+'Historical Analysis'!P16</f>
        <v>0</v>
      </c>
      <c r="L21" s="247">
        <f>+'Historical Analysis'!C16</f>
        <v>48489</v>
      </c>
      <c r="M21" s="250"/>
      <c r="N21" s="250"/>
      <c r="O21" s="250"/>
      <c r="P21" s="250"/>
      <c r="Q21" s="250"/>
      <c r="R21" s="250"/>
      <c r="S21" s="250"/>
      <c r="T21" s="250"/>
    </row>
    <row r="22" spans="2:21" ht="14.45" customHeight="1" thickBot="1">
      <c r="B22" s="7" t="s">
        <v>11</v>
      </c>
      <c r="C22" s="252">
        <f>+'Historical Analysis'!L17</f>
        <v>45573</v>
      </c>
      <c r="D22" s="252">
        <f>+'Historical Analysis'!K17</f>
        <v>20732</v>
      </c>
      <c r="E22" s="252">
        <f>+'Historical Analysis'!J17</f>
        <v>86231</v>
      </c>
      <c r="F22" s="252">
        <f>+'Historical Analysis'!I17</f>
        <v>39596</v>
      </c>
      <c r="G22" s="252">
        <f>+'Historical Analysis'!H17</f>
        <v>113040</v>
      </c>
      <c r="H22" s="252">
        <f>+'Historical Analysis'!G17</f>
        <v>69932</v>
      </c>
      <c r="I22" s="252">
        <f>+'Historical Analysis'!F17</f>
        <v>78847</v>
      </c>
      <c r="J22" s="252">
        <f>+'Historical Analysis'!E17</f>
        <v>112864</v>
      </c>
      <c r="K22" s="252">
        <f>+'Historical Analysis'!J17</f>
        <v>86231</v>
      </c>
      <c r="L22" s="252">
        <f>+'Historical Analysis'!C17</f>
        <v>23267</v>
      </c>
      <c r="M22" s="250"/>
      <c r="N22" s="250"/>
      <c r="O22" s="250"/>
      <c r="P22" s="250"/>
      <c r="Q22" s="250"/>
      <c r="R22" s="250"/>
      <c r="S22" s="250"/>
      <c r="T22" s="250"/>
    </row>
    <row r="23" spans="2:21" ht="14.45" customHeight="1" thickTop="1">
      <c r="C23" s="253"/>
      <c r="D23" s="253"/>
      <c r="E23" s="253"/>
      <c r="F23" s="253"/>
      <c r="G23" s="253"/>
      <c r="H23" s="253"/>
      <c r="I23" s="253"/>
      <c r="J23" s="253"/>
      <c r="K23" s="253"/>
      <c r="L23" s="228"/>
      <c r="M23" s="250"/>
      <c r="N23" s="250"/>
      <c r="O23" s="250"/>
      <c r="P23" s="250"/>
      <c r="Q23" s="250"/>
      <c r="R23" s="250"/>
      <c r="S23" s="250"/>
      <c r="T23" s="250"/>
    </row>
    <row r="24" spans="2:21" ht="14.45" customHeight="1">
      <c r="B24" s="15" t="s">
        <v>48</v>
      </c>
      <c r="C24" s="251">
        <f>+'Historical Analysis'!L82</f>
        <v>120438</v>
      </c>
      <c r="D24" s="251">
        <f>+'Historical Analysis'!K82</f>
        <v>129938</v>
      </c>
      <c r="E24" s="251">
        <f>+'Historical Analysis'!J82</f>
        <v>168053</v>
      </c>
      <c r="F24" s="251">
        <f>+'Historical Analysis'!I82</f>
        <v>187207</v>
      </c>
      <c r="G24" s="251">
        <f>+'Historical Analysis'!H82</f>
        <v>203897</v>
      </c>
      <c r="H24" s="251">
        <f>+'Historical Analysis'!G82</f>
        <v>221309</v>
      </c>
      <c r="I24" s="251">
        <f>+'Historical Analysis'!F82</f>
        <v>229216</v>
      </c>
      <c r="J24" s="251">
        <f>+'Historical Analysis'!E82</f>
        <v>209329</v>
      </c>
      <c r="K24" s="251">
        <f>+'Historical Analysis'!D82</f>
        <v>197400</v>
      </c>
      <c r="L24" s="251">
        <f>+'Historical Analysis'!C82</f>
        <v>206013</v>
      </c>
      <c r="M24" s="251">
        <f>+M7*M44</f>
        <v>137585.712</v>
      </c>
      <c r="N24" s="251">
        <f t="shared" ref="N24:R24" si="30">+N7*N44</f>
        <v>151344.28320000001</v>
      </c>
      <c r="O24" s="251">
        <f t="shared" si="30"/>
        <v>166478.71152000001</v>
      </c>
      <c r="P24" s="251">
        <f t="shared" si="30"/>
        <v>183126.58267200005</v>
      </c>
      <c r="Q24" s="251">
        <f t="shared" si="30"/>
        <v>201439.24093920007</v>
      </c>
      <c r="R24" s="251">
        <f t="shared" si="30"/>
        <v>221583.16503312008</v>
      </c>
      <c r="S24" s="251">
        <f t="shared" ref="S24:T24" si="31">+S7*S44</f>
        <v>243741.48153643208</v>
      </c>
      <c r="T24" s="251">
        <f t="shared" si="31"/>
        <v>268115.62969007529</v>
      </c>
    </row>
    <row r="25" spans="2:21" ht="14.45" customHeight="1">
      <c r="B25" s="26" t="s">
        <v>283</v>
      </c>
      <c r="C25" s="255">
        <f>+'Historical Analysis'!L81</f>
        <v>-10072</v>
      </c>
      <c r="D25" s="255">
        <f>+'Historical Analysis'!K81</f>
        <v>21112</v>
      </c>
      <c r="E25" s="255">
        <f>+'Historical Analysis'!J81</f>
        <v>-3363</v>
      </c>
      <c r="F25" s="255">
        <f>+'Historical Analysis'!I81</f>
        <v>20141</v>
      </c>
      <c r="G25" s="255">
        <f>+'Historical Analysis'!H81</f>
        <v>-2253</v>
      </c>
      <c r="H25" s="255">
        <f>+'Historical Analysis'!G81</f>
        <v>2533</v>
      </c>
      <c r="I25" s="255">
        <f>+'Historical Analysis'!F81</f>
        <v>6080</v>
      </c>
      <c r="J25" s="255">
        <f>+'Historical Analysis'!E81</f>
        <v>15484</v>
      </c>
      <c r="K25" s="255">
        <f>+'Historical Analysis'!D81</f>
        <v>-83335</v>
      </c>
      <c r="L25" s="255">
        <f>+'Historical Analysis'!C81</f>
        <v>-83335</v>
      </c>
      <c r="M25" s="255">
        <f>-M41*M7</f>
        <v>-3498.9719517394196</v>
      </c>
      <c r="N25" s="255">
        <f t="shared" ref="N25:R25" si="32">-N41*N7</f>
        <v>-3848.8691469133619</v>
      </c>
      <c r="O25" s="255">
        <f t="shared" si="32"/>
        <v>-4233.7560616046985</v>
      </c>
      <c r="P25" s="255">
        <f t="shared" si="32"/>
        <v>-4657.1316677651685</v>
      </c>
      <c r="Q25" s="255">
        <f t="shared" si="32"/>
        <v>-5122.8448345416855</v>
      </c>
      <c r="R25" s="255">
        <f t="shared" si="32"/>
        <v>-5635.1293179958548</v>
      </c>
      <c r="S25" s="255">
        <f t="shared" ref="S25:T25" si="33">-S41*S7</f>
        <v>-6198.6422497954409</v>
      </c>
      <c r="T25" s="255">
        <f t="shared" si="33"/>
        <v>-6818.5064747749848</v>
      </c>
      <c r="U25" s="55"/>
    </row>
    <row r="26" spans="2:21" ht="14.45" customHeight="1">
      <c r="B26" s="26" t="s">
        <v>57</v>
      </c>
      <c r="C26" s="251">
        <f>+'Historical Analysis'!L86</f>
        <v>-399763</v>
      </c>
      <c r="D26" s="251">
        <f>+'Historical Analysis'!K86</f>
        <v>-188908</v>
      </c>
      <c r="E26" s="251">
        <f>+'Historical Analysis'!J86</f>
        <v>-173239</v>
      </c>
      <c r="F26" s="251">
        <f>+'Historical Analysis'!I86</f>
        <v>-204717</v>
      </c>
      <c r="G26" s="251">
        <f>+'Historical Analysis'!H86</f>
        <v>-225323</v>
      </c>
      <c r="H26" s="251">
        <f>+'Historical Analysis'!G86</f>
        <v>-166378</v>
      </c>
      <c r="I26" s="251">
        <f>+'Historical Analysis'!F86</f>
        <v>-206228</v>
      </c>
      <c r="J26" s="251">
        <f>+'Historical Analysis'!E86</f>
        <v>-252170</v>
      </c>
      <c r="K26" s="251">
        <f>+'Historical Analysis'!D86</f>
        <v>-190422</v>
      </c>
      <c r="L26" s="251">
        <f>+'Historical Analysis'!C86</f>
        <v>-190422</v>
      </c>
      <c r="M26" s="254">
        <f>-M42*M7</f>
        <v>-80258.332000000009</v>
      </c>
      <c r="N26" s="254">
        <f t="shared" ref="N26:R26" si="34">-N42*N7</f>
        <v>-88284.165200000018</v>
      </c>
      <c r="O26" s="254">
        <f t="shared" si="34"/>
        <v>-97112.581720000017</v>
      </c>
      <c r="P26" s="254">
        <f t="shared" si="34"/>
        <v>-106823.83989200003</v>
      </c>
      <c r="Q26" s="254">
        <f t="shared" si="34"/>
        <v>-117506.22388120004</v>
      </c>
      <c r="R26" s="254">
        <f t="shared" si="34"/>
        <v>-129256.84626932006</v>
      </c>
      <c r="S26" s="254">
        <f t="shared" ref="S26:T26" si="35">-S42*S7</f>
        <v>-142182.53089625208</v>
      </c>
      <c r="T26" s="254">
        <f t="shared" si="35"/>
        <v>-156400.78398587729</v>
      </c>
      <c r="U26" s="55"/>
    </row>
    <row r="27" spans="2:21" ht="14.45" customHeight="1">
      <c r="B27" s="26"/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4"/>
      <c r="N27" s="254"/>
      <c r="O27" s="254"/>
      <c r="P27" s="254"/>
      <c r="Q27" s="254"/>
      <c r="R27" s="254"/>
      <c r="S27" s="254"/>
      <c r="T27" s="254"/>
      <c r="U27" s="55"/>
    </row>
    <row r="28" spans="2:21" ht="14.45" customHeight="1">
      <c r="B28" s="9" t="s">
        <v>35</v>
      </c>
      <c r="C28" s="251">
        <f>+'Historical Analysis'!J47</f>
        <v>0</v>
      </c>
      <c r="D28" s="251">
        <f>+'Historical Analysis'!K47</f>
        <v>0</v>
      </c>
      <c r="E28" s="251">
        <f>+'Historical Analysis'!J47</f>
        <v>0</v>
      </c>
      <c r="F28" s="251">
        <f>+'Historical Analysis'!E47</f>
        <v>0</v>
      </c>
      <c r="G28" s="251">
        <f>+'Historical Analysis'!F47</f>
        <v>0</v>
      </c>
      <c r="H28" s="251">
        <f>+'Historical Analysis'!G47</f>
        <v>0</v>
      </c>
      <c r="I28" s="251">
        <f>+'Historical Analysis'!F47</f>
        <v>0</v>
      </c>
      <c r="J28" s="251">
        <f>+'Historical Analysis'!E47</f>
        <v>0</v>
      </c>
      <c r="K28" s="251">
        <f>+'Historical Analysis'!D47</f>
        <v>0</v>
      </c>
      <c r="L28" s="251">
        <f>+'Historical Analysis'!C47</f>
        <v>0</v>
      </c>
      <c r="M28" s="254"/>
      <c r="N28" s="254"/>
      <c r="O28" s="254"/>
      <c r="P28" s="254"/>
      <c r="Q28" s="254"/>
      <c r="R28" s="254"/>
      <c r="S28" s="254"/>
      <c r="T28" s="254"/>
      <c r="U28"/>
    </row>
    <row r="29" spans="2:21" ht="14.45" customHeight="1">
      <c r="B29" s="9" t="s">
        <v>38</v>
      </c>
      <c r="C29" s="251">
        <f>+'Historical Analysis'!L51</f>
        <v>2680219</v>
      </c>
      <c r="D29" s="251">
        <f>+'Historical Analysis'!K51</f>
        <v>3605708</v>
      </c>
      <c r="E29" s="251">
        <f>+'Historical Analysis'!J51</f>
        <v>2926045</v>
      </c>
      <c r="F29" s="251">
        <f>+'Historical Analysis'!I51</f>
        <v>2891369</v>
      </c>
      <c r="G29" s="251">
        <f>+'Historical Analysis'!H51</f>
        <v>2762388</v>
      </c>
      <c r="H29" s="251">
        <f>+'Historical Analysis'!G51</f>
        <v>2585274</v>
      </c>
      <c r="I29" s="251">
        <f>+'Historical Analysis'!F51</f>
        <v>2534768</v>
      </c>
      <c r="J29" s="251">
        <f>+'Historical Analysis'!E51</f>
        <v>2395507</v>
      </c>
      <c r="K29" s="251">
        <f>+'Historical Analysis'!D51</f>
        <v>2632636</v>
      </c>
      <c r="L29" s="251">
        <f>+'Historical Analysis'!C51</f>
        <v>2683622</v>
      </c>
      <c r="M29" s="254"/>
      <c r="N29" s="254"/>
      <c r="O29" s="254"/>
      <c r="P29" s="254"/>
      <c r="Q29" s="254"/>
      <c r="R29" s="254"/>
      <c r="S29" s="254"/>
      <c r="T29" s="254"/>
      <c r="U29"/>
    </row>
    <row r="30" spans="2:21" ht="14.45" customHeight="1">
      <c r="B30" s="9" t="s">
        <v>146</v>
      </c>
      <c r="C30" s="263">
        <f t="shared" ref="C30" si="36">SUM(C28:C29)</f>
        <v>2680219</v>
      </c>
      <c r="D30" s="263">
        <f t="shared" ref="D30:L30" si="37">SUM(D28:D29)</f>
        <v>3605708</v>
      </c>
      <c r="E30" s="263">
        <f t="shared" si="37"/>
        <v>2926045</v>
      </c>
      <c r="F30" s="263">
        <f t="shared" si="37"/>
        <v>2891369</v>
      </c>
      <c r="G30" s="263">
        <f t="shared" si="37"/>
        <v>2762388</v>
      </c>
      <c r="H30" s="263">
        <f t="shared" si="37"/>
        <v>2585274</v>
      </c>
      <c r="I30" s="263">
        <f t="shared" si="37"/>
        <v>2534768</v>
      </c>
      <c r="J30" s="263">
        <f t="shared" si="37"/>
        <v>2395507</v>
      </c>
      <c r="K30" s="263">
        <f t="shared" si="37"/>
        <v>2632636</v>
      </c>
      <c r="L30" s="263">
        <f t="shared" si="37"/>
        <v>2683622</v>
      </c>
      <c r="M30" s="263">
        <f>+M46</f>
        <v>2549440.9</v>
      </c>
      <c r="N30" s="263">
        <f t="shared" ref="N30:R30" si="38">+N46</f>
        <v>2415259.7999999998</v>
      </c>
      <c r="O30" s="263">
        <f t="shared" si="38"/>
        <v>2281078.6999999997</v>
      </c>
      <c r="P30" s="263">
        <f t="shared" si="38"/>
        <v>2146897.5999999996</v>
      </c>
      <c r="Q30" s="263">
        <f t="shared" si="38"/>
        <v>2012716.4999999995</v>
      </c>
      <c r="R30" s="263">
        <f t="shared" si="38"/>
        <v>1878535.3999999994</v>
      </c>
      <c r="S30" s="263">
        <f t="shared" ref="S30:T30" si="39">+S46</f>
        <v>1744354.2999999993</v>
      </c>
      <c r="T30" s="263">
        <f t="shared" si="39"/>
        <v>1610173.1999999993</v>
      </c>
      <c r="U30"/>
    </row>
    <row r="31" spans="2:21" ht="11.45" customHeight="1">
      <c r="B31" s="5"/>
      <c r="C31" s="14"/>
      <c r="D31" s="14"/>
      <c r="E31" s="14"/>
      <c r="F31" s="14"/>
      <c r="G31" s="14"/>
      <c r="H31" s="14"/>
      <c r="L31" s="5"/>
      <c r="N31" s="27"/>
      <c r="O31" s="18"/>
      <c r="R31"/>
      <c r="S31"/>
      <c r="T31"/>
      <c r="U31" s="55"/>
    </row>
    <row r="32" spans="2:21" ht="19.7" customHeight="1">
      <c r="B32" s="310" t="s">
        <v>163</v>
      </c>
      <c r="C32" s="311" t="s">
        <v>272</v>
      </c>
      <c r="D32" s="311" t="s">
        <v>272</v>
      </c>
      <c r="E32" s="311" t="s">
        <v>272</v>
      </c>
      <c r="F32" s="311" t="s">
        <v>272</v>
      </c>
      <c r="G32" s="311" t="s">
        <v>272</v>
      </c>
      <c r="H32" s="311" t="s">
        <v>272</v>
      </c>
      <c r="I32" s="311" t="s">
        <v>272</v>
      </c>
      <c r="J32" s="311" t="s">
        <v>272</v>
      </c>
      <c r="K32" s="311" t="s">
        <v>272</v>
      </c>
      <c r="L32" s="315" t="str">
        <f>+K32</f>
        <v>Dec 31</v>
      </c>
      <c r="M32" s="311" t="s">
        <v>272</v>
      </c>
      <c r="N32" s="311" t="str">
        <f>+M32</f>
        <v>Dec 31</v>
      </c>
      <c r="O32" s="311" t="str">
        <f>+N32</f>
        <v>Dec 31</v>
      </c>
      <c r="P32" s="311" t="str">
        <f>+O32</f>
        <v>Dec 31</v>
      </c>
      <c r="Q32" s="311" t="str">
        <f>+P32</f>
        <v>Dec 31</v>
      </c>
      <c r="R32" s="311" t="str">
        <f>+Q32</f>
        <v>Dec 31</v>
      </c>
      <c r="S32" s="311" t="str">
        <f t="shared" ref="S32:T32" si="40">+R32</f>
        <v>Dec 31</v>
      </c>
      <c r="T32" s="311" t="str">
        <f t="shared" si="40"/>
        <v>Dec 31</v>
      </c>
      <c r="U32" s="55"/>
    </row>
    <row r="33" spans="2:24" ht="20" customHeight="1" thickBot="1">
      <c r="B33" s="313"/>
      <c r="C33" s="314">
        <f t="shared" ref="C33:H33" si="41">+C6</f>
        <v>2011</v>
      </c>
      <c r="D33" s="314">
        <f t="shared" si="41"/>
        <v>2012</v>
      </c>
      <c r="E33" s="314">
        <f t="shared" si="41"/>
        <v>2013</v>
      </c>
      <c r="F33" s="314">
        <f t="shared" si="41"/>
        <v>2014</v>
      </c>
      <c r="G33" s="314">
        <f t="shared" si="41"/>
        <v>2015</v>
      </c>
      <c r="H33" s="314">
        <f t="shared" si="41"/>
        <v>2016</v>
      </c>
      <c r="I33" s="314">
        <f t="shared" ref="I33:R33" si="42">+I6</f>
        <v>2017</v>
      </c>
      <c r="J33" s="314">
        <f t="shared" si="42"/>
        <v>2018</v>
      </c>
      <c r="K33" s="314">
        <f t="shared" si="42"/>
        <v>2019</v>
      </c>
      <c r="L33" s="314">
        <f t="shared" si="42"/>
        <v>2020</v>
      </c>
      <c r="M33" s="314">
        <f t="shared" si="42"/>
        <v>2021</v>
      </c>
      <c r="N33" s="314">
        <f t="shared" si="42"/>
        <v>2022</v>
      </c>
      <c r="O33" s="314">
        <f t="shared" si="42"/>
        <v>2023</v>
      </c>
      <c r="P33" s="314">
        <f t="shared" si="42"/>
        <v>2024</v>
      </c>
      <c r="Q33" s="314">
        <f t="shared" si="42"/>
        <v>2025</v>
      </c>
      <c r="R33" s="314">
        <f t="shared" si="42"/>
        <v>2026</v>
      </c>
      <c r="S33" s="314">
        <f t="shared" ref="S33:T33" si="43">+S6</f>
        <v>2027</v>
      </c>
      <c r="T33" s="314">
        <f t="shared" si="43"/>
        <v>2028</v>
      </c>
      <c r="U33" s="55"/>
      <c r="V33" s="316" t="s">
        <v>290</v>
      </c>
      <c r="W33" s="317"/>
      <c r="X33" s="317"/>
    </row>
    <row r="34" spans="2:24" ht="14.45" customHeight="1">
      <c r="B34" s="34" t="s">
        <v>73</v>
      </c>
      <c r="C34" s="30">
        <f>C15+C24</f>
        <v>397131</v>
      </c>
      <c r="D34" s="30">
        <f>D15+D24</f>
        <v>423068</v>
      </c>
      <c r="E34" s="30">
        <f t="shared" ref="E34:R34" si="44">E15+E24</f>
        <v>484348</v>
      </c>
      <c r="F34" s="30">
        <f t="shared" si="44"/>
        <v>537381</v>
      </c>
      <c r="G34" s="30">
        <f t="shared" si="44"/>
        <v>582086</v>
      </c>
      <c r="H34" s="30">
        <f t="shared" si="44"/>
        <v>591801</v>
      </c>
      <c r="I34" s="30">
        <f t="shared" si="44"/>
        <v>605487</v>
      </c>
      <c r="J34" s="30">
        <f t="shared" si="44"/>
        <v>588388</v>
      </c>
      <c r="K34" s="30">
        <f t="shared" si="44"/>
        <v>521905</v>
      </c>
      <c r="L34" s="30">
        <f t="shared" si="44"/>
        <v>356391</v>
      </c>
      <c r="M34" s="30">
        <f t="shared" si="44"/>
        <v>538877.37199999997</v>
      </c>
      <c r="N34" s="30">
        <f t="shared" si="44"/>
        <v>592765.10920000006</v>
      </c>
      <c r="O34" s="30">
        <f t="shared" si="44"/>
        <v>652041.62012000009</v>
      </c>
      <c r="P34" s="30">
        <f t="shared" si="44"/>
        <v>717245.78213200008</v>
      </c>
      <c r="Q34" s="30">
        <f t="shared" si="44"/>
        <v>788970.36034520017</v>
      </c>
      <c r="R34" s="30">
        <f t="shared" si="44"/>
        <v>867867.3963797203</v>
      </c>
      <c r="S34" s="30">
        <f t="shared" ref="S34:T34" si="45">S15+S24</f>
        <v>954654.13601769239</v>
      </c>
      <c r="T34" s="30">
        <f t="shared" si="45"/>
        <v>1050119.5496194616</v>
      </c>
      <c r="U34" s="55"/>
      <c r="V34" s="68" t="s">
        <v>489</v>
      </c>
    </row>
    <row r="35" spans="2:24" ht="14.45" customHeight="1">
      <c r="B35" s="34"/>
      <c r="C35" s="1"/>
      <c r="D35" s="1"/>
      <c r="E35" s="1"/>
      <c r="F35" s="1"/>
      <c r="G35" s="1"/>
      <c r="H35" s="1"/>
      <c r="I35" s="30"/>
      <c r="J35" s="30"/>
      <c r="K35" s="30"/>
      <c r="L35" s="30"/>
      <c r="M35" s="64"/>
      <c r="N35" s="64"/>
      <c r="O35" s="64"/>
      <c r="P35" s="64"/>
      <c r="Q35" s="64"/>
      <c r="R35" s="64"/>
      <c r="S35" s="64"/>
      <c r="T35" s="64"/>
      <c r="U35" s="55"/>
    </row>
    <row r="36" spans="2:24" ht="14.45" customHeight="1">
      <c r="B36" s="32" t="s">
        <v>75</v>
      </c>
      <c r="C36" s="14"/>
      <c r="D36" s="14"/>
      <c r="E36" s="239">
        <f>E7/D7-1</f>
        <v>0.11998078029624448</v>
      </c>
      <c r="F36" s="239">
        <f t="shared" ref="F36:L36" si="46">F7/E7-1</f>
        <v>7.1200316379153472E-2</v>
      </c>
      <c r="G36" s="239">
        <f t="shared" si="46"/>
        <v>5.8738746162879441E-2</v>
      </c>
      <c r="H36" s="239">
        <f t="shared" si="46"/>
        <v>-1.1021573796675344E-2</v>
      </c>
      <c r="I36" s="239">
        <f t="shared" si="46"/>
        <v>9.5482975272176418E-3</v>
      </c>
      <c r="J36" s="239">
        <f t="shared" si="46"/>
        <v>-5.976339433627631E-3</v>
      </c>
      <c r="K36" s="239">
        <f t="shared" si="46"/>
        <v>-4.4578329316525722E-2</v>
      </c>
      <c r="L36" s="239">
        <f t="shared" si="46"/>
        <v>-0.14439357783781082</v>
      </c>
      <c r="M36" s="299">
        <v>0.1</v>
      </c>
      <c r="N36" s="241">
        <v>0.1</v>
      </c>
      <c r="O36" s="241">
        <v>0.1</v>
      </c>
      <c r="P36" s="241">
        <v>0.1</v>
      </c>
      <c r="Q36" s="241">
        <v>0.1</v>
      </c>
      <c r="R36" s="241">
        <v>0.1</v>
      </c>
      <c r="S36" s="241">
        <v>0.1</v>
      </c>
      <c r="T36" s="241">
        <v>0.1</v>
      </c>
      <c r="V36" s="534" t="s">
        <v>495</v>
      </c>
      <c r="W36" s="535"/>
      <c r="X36" s="535"/>
    </row>
    <row r="37" spans="2:24" ht="14.45" customHeight="1">
      <c r="B37" s="32"/>
      <c r="C37" s="14"/>
      <c r="D37" s="14"/>
      <c r="E37" s="14"/>
      <c r="F37" s="14"/>
      <c r="G37" s="14"/>
      <c r="H37" s="14"/>
      <c r="I37" s="239"/>
      <c r="J37" s="296"/>
      <c r="K37" s="296"/>
      <c r="L37" s="296"/>
      <c r="M37" s="298"/>
      <c r="N37" s="296"/>
      <c r="O37" s="240"/>
      <c r="P37" s="240"/>
      <c r="Q37" s="240"/>
      <c r="R37" s="240"/>
      <c r="S37" s="240"/>
      <c r="T37" s="240"/>
      <c r="V37" s="535"/>
      <c r="W37" s="535"/>
      <c r="X37" s="535"/>
    </row>
    <row r="38" spans="2:24" ht="14.45" customHeight="1">
      <c r="B38" s="32" t="s">
        <v>280</v>
      </c>
      <c r="C38" s="239">
        <f>C10/C7</f>
        <v>0.49259065181049039</v>
      </c>
      <c r="D38" s="239">
        <f>D10/D7</f>
        <v>0.4880410732187665</v>
      </c>
      <c r="E38" s="239">
        <f t="shared" ref="E38:L38" si="47">E10/E7</f>
        <v>0.47717373841164246</v>
      </c>
      <c r="F38" s="239">
        <f t="shared" si="47"/>
        <v>0.48793835884546449</v>
      </c>
      <c r="G38" s="239">
        <f t="shared" si="47"/>
        <v>0.47019699506442092</v>
      </c>
      <c r="H38" s="239">
        <f t="shared" si="47"/>
        <v>0.4570873599964741</v>
      </c>
      <c r="I38" s="239">
        <f t="shared" si="47"/>
        <v>0.45648521701845679</v>
      </c>
      <c r="J38" s="239">
        <f t="shared" si="47"/>
        <v>0.46762228257672783</v>
      </c>
      <c r="K38" s="239">
        <f t="shared" si="47"/>
        <v>0.49349993720340923</v>
      </c>
      <c r="L38" s="239">
        <f t="shared" si="47"/>
        <v>0.56965450017077357</v>
      </c>
      <c r="M38" s="298">
        <v>0.45</v>
      </c>
      <c r="N38" s="296">
        <f>+M38</f>
        <v>0.45</v>
      </c>
      <c r="O38" s="296">
        <f t="shared" ref="O38:R38" si="48">+N38</f>
        <v>0.45</v>
      </c>
      <c r="P38" s="296">
        <f t="shared" si="48"/>
        <v>0.45</v>
      </c>
      <c r="Q38" s="296">
        <f t="shared" si="48"/>
        <v>0.45</v>
      </c>
      <c r="R38" s="296">
        <f t="shared" si="48"/>
        <v>0.45</v>
      </c>
      <c r="S38" s="296">
        <f t="shared" ref="S38:S39" si="49">+R38</f>
        <v>0.45</v>
      </c>
      <c r="T38" s="296">
        <f t="shared" ref="T38:T39" si="50">+S38</f>
        <v>0.45</v>
      </c>
      <c r="V38" s="535"/>
      <c r="W38" s="535"/>
      <c r="X38" s="535"/>
    </row>
    <row r="39" spans="2:24" ht="14.45" customHeight="1">
      <c r="B39" s="32" t="s">
        <v>281</v>
      </c>
      <c r="C39" s="239">
        <f>C14/C7</f>
        <v>0.21390687451735813</v>
      </c>
      <c r="D39" s="239">
        <f>D14/D7</f>
        <v>0.22215070857827579</v>
      </c>
      <c r="E39" s="239">
        <f t="shared" ref="E39:L39" si="51">E14/E7</f>
        <v>0.24361547927381097</v>
      </c>
      <c r="F39" s="239">
        <f t="shared" si="51"/>
        <v>0.22349038917159397</v>
      </c>
      <c r="G39" s="239">
        <f t="shared" si="51"/>
        <v>0.23543591647577394</v>
      </c>
      <c r="H39" s="239">
        <f t="shared" si="51"/>
        <v>0.25132280753947173</v>
      </c>
      <c r="I39" s="239">
        <f t="shared" si="51"/>
        <v>0.25017755169658346</v>
      </c>
      <c r="J39" s="239">
        <f t="shared" si="51"/>
        <v>0.2350902977822987</v>
      </c>
      <c r="K39" s="239">
        <f t="shared" si="51"/>
        <v>0.24012349175312486</v>
      </c>
      <c r="L39" s="239">
        <f t="shared" si="51"/>
        <v>0.28607255381285523</v>
      </c>
      <c r="M39" s="298">
        <v>0.2</v>
      </c>
      <c r="N39" s="296">
        <f>+M39</f>
        <v>0.2</v>
      </c>
      <c r="O39" s="296">
        <f t="shared" ref="O39:R39" si="52">+N39</f>
        <v>0.2</v>
      </c>
      <c r="P39" s="296">
        <f t="shared" si="52"/>
        <v>0.2</v>
      </c>
      <c r="Q39" s="296">
        <f t="shared" si="52"/>
        <v>0.2</v>
      </c>
      <c r="R39" s="296">
        <f t="shared" si="52"/>
        <v>0.2</v>
      </c>
      <c r="S39" s="296">
        <f t="shared" si="49"/>
        <v>0.2</v>
      </c>
      <c r="T39" s="296">
        <f t="shared" si="50"/>
        <v>0.2</v>
      </c>
      <c r="V39" s="68" t="s">
        <v>487</v>
      </c>
    </row>
    <row r="40" spans="2:24" ht="14.45" customHeight="1">
      <c r="B40" s="32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298"/>
      <c r="N40" s="296"/>
      <c r="O40" s="296"/>
      <c r="P40" s="296"/>
      <c r="Q40" s="296"/>
      <c r="R40" s="296"/>
      <c r="S40" s="296"/>
      <c r="T40" s="296"/>
      <c r="V40" s="68"/>
    </row>
    <row r="41" spans="2:24" ht="14.45" customHeight="1">
      <c r="B41" s="32" t="s">
        <v>282</v>
      </c>
      <c r="C41" s="239">
        <f>-C25/C7</f>
        <v>1.0683887611272817E-2</v>
      </c>
      <c r="D41" s="239">
        <f>-D25/D7</f>
        <v>-2.0872756465393657E-2</v>
      </c>
      <c r="E41" s="239">
        <f t="shared" ref="E41:L41" si="53">-E25/E7</f>
        <v>2.9687028278152358E-3</v>
      </c>
      <c r="F41" s="239">
        <f t="shared" si="53"/>
        <v>-1.6597787346257647E-2</v>
      </c>
      <c r="G41" s="239">
        <f t="shared" si="53"/>
        <v>1.7536444748523646E-3</v>
      </c>
      <c r="H41" s="239">
        <f t="shared" si="53"/>
        <v>-1.9935573389747935E-3</v>
      </c>
      <c r="I41" s="239">
        <f t="shared" si="53"/>
        <v>-4.7399091777271044E-3</v>
      </c>
      <c r="J41" s="239">
        <f t="shared" si="53"/>
        <v>-1.2143751779329427E-2</v>
      </c>
      <c r="K41" s="239">
        <f t="shared" si="53"/>
        <v>6.8407240405871192E-2</v>
      </c>
      <c r="L41" s="239">
        <f t="shared" si="53"/>
        <v>7.9951761270094679E-2</v>
      </c>
      <c r="M41" s="298">
        <f t="shared" ref="M41" si="54">AVERAGE(C41:K41)</f>
        <v>3.0517459124587759E-3</v>
      </c>
      <c r="N41" s="296">
        <f>+M41</f>
        <v>3.0517459124587759E-3</v>
      </c>
      <c r="O41" s="296">
        <f t="shared" ref="O41:R41" si="55">+N41</f>
        <v>3.0517459124587759E-3</v>
      </c>
      <c r="P41" s="296">
        <f t="shared" si="55"/>
        <v>3.0517459124587759E-3</v>
      </c>
      <c r="Q41" s="296">
        <f t="shared" si="55"/>
        <v>3.0517459124587759E-3</v>
      </c>
      <c r="R41" s="296">
        <f t="shared" si="55"/>
        <v>3.0517459124587759E-3</v>
      </c>
      <c r="S41" s="296">
        <f t="shared" ref="S41:S42" si="56">+R41</f>
        <v>3.0517459124587759E-3</v>
      </c>
      <c r="T41" s="296">
        <f t="shared" ref="T41:T42" si="57">+S41</f>
        <v>3.0517459124587759E-3</v>
      </c>
      <c r="V41" s="68" t="s">
        <v>488</v>
      </c>
    </row>
    <row r="42" spans="2:24" ht="14.45" customHeight="1">
      <c r="B42" s="32" t="s">
        <v>179</v>
      </c>
      <c r="C42" s="239">
        <f>-C26/C7</f>
        <v>0.42404914248860753</v>
      </c>
      <c r="D42" s="239">
        <f>-D26/D7</f>
        <v>0.18676727351101671</v>
      </c>
      <c r="E42" s="239">
        <f t="shared" ref="E42:L42" si="58">-E26/E7</f>
        <v>0.15292747820038172</v>
      </c>
      <c r="F42" s="239">
        <f t="shared" si="58"/>
        <v>0.16870310471991595</v>
      </c>
      <c r="G42" s="239">
        <f t="shared" si="58"/>
        <v>0.17538234975905875</v>
      </c>
      <c r="H42" s="239">
        <f t="shared" si="58"/>
        <v>0.130945157103809</v>
      </c>
      <c r="I42" s="239">
        <f t="shared" si="58"/>
        <v>0.1607733536026818</v>
      </c>
      <c r="J42" s="239">
        <f t="shared" si="58"/>
        <v>0.1977712403896604</v>
      </c>
      <c r="K42" s="239">
        <f t="shared" si="58"/>
        <v>0.15631179615487856</v>
      </c>
      <c r="L42" s="239">
        <f t="shared" si="58"/>
        <v>0.18269123759013581</v>
      </c>
      <c r="M42" s="298">
        <v>7.0000000000000007E-2</v>
      </c>
      <c r="N42" s="296">
        <f>+M42</f>
        <v>7.0000000000000007E-2</v>
      </c>
      <c r="O42" s="296">
        <f t="shared" ref="O42:R42" si="59">+N42</f>
        <v>7.0000000000000007E-2</v>
      </c>
      <c r="P42" s="296">
        <f t="shared" si="59"/>
        <v>7.0000000000000007E-2</v>
      </c>
      <c r="Q42" s="296">
        <f t="shared" si="59"/>
        <v>7.0000000000000007E-2</v>
      </c>
      <c r="R42" s="296">
        <f t="shared" si="59"/>
        <v>7.0000000000000007E-2</v>
      </c>
      <c r="S42" s="296">
        <f t="shared" si="56"/>
        <v>7.0000000000000007E-2</v>
      </c>
      <c r="T42" s="296">
        <f t="shared" si="57"/>
        <v>7.0000000000000007E-2</v>
      </c>
      <c r="V42" s="68"/>
    </row>
    <row r="43" spans="2:24" ht="14.45" customHeight="1">
      <c r="B43" s="32"/>
      <c r="C43" s="239"/>
      <c r="D43" s="239"/>
      <c r="E43" s="239"/>
      <c r="F43" s="239"/>
      <c r="G43" s="239"/>
      <c r="H43" s="239"/>
      <c r="I43" s="239"/>
      <c r="J43" s="239"/>
      <c r="K43" s="239"/>
      <c r="L43" s="239"/>
      <c r="M43" s="298"/>
      <c r="N43" s="296"/>
      <c r="O43" s="296"/>
      <c r="P43" s="296"/>
      <c r="Q43" s="296"/>
      <c r="R43" s="296"/>
      <c r="S43" s="296"/>
      <c r="T43" s="296"/>
      <c r="V43" s="68"/>
    </row>
    <row r="44" spans="2:24" ht="14.45" customHeight="1">
      <c r="B44" s="32" t="s">
        <v>177</v>
      </c>
      <c r="C44" s="239">
        <f>C24/C7</f>
        <v>0.1277547712595786</v>
      </c>
      <c r="D44" s="239">
        <f>D24/D7</f>
        <v>0.1284655281167261</v>
      </c>
      <c r="E44" s="239">
        <f t="shared" ref="E44:L44" si="60">E24/E7</f>
        <v>0.14834951422028958</v>
      </c>
      <c r="F44" s="239">
        <f t="shared" si="60"/>
        <v>0.15427347081728096</v>
      </c>
      <c r="G44" s="239">
        <f t="shared" si="60"/>
        <v>0.15870521415400471</v>
      </c>
      <c r="H44" s="239">
        <f t="shared" si="60"/>
        <v>0.17417772646315538</v>
      </c>
      <c r="I44" s="239">
        <f t="shared" si="60"/>
        <v>0.17869457600031183</v>
      </c>
      <c r="J44" s="239">
        <f t="shared" si="60"/>
        <v>0.164172010863811</v>
      </c>
      <c r="K44" s="239">
        <f t="shared" si="60"/>
        <v>0.16203983027682214</v>
      </c>
      <c r="L44" s="239">
        <f t="shared" si="60"/>
        <v>0.19764927334896518</v>
      </c>
      <c r="M44" s="298">
        <v>0.12</v>
      </c>
      <c r="N44" s="296">
        <f>+M44</f>
        <v>0.12</v>
      </c>
      <c r="O44" s="296">
        <f t="shared" ref="O44:R44" si="61">+N44</f>
        <v>0.12</v>
      </c>
      <c r="P44" s="296">
        <f t="shared" si="61"/>
        <v>0.12</v>
      </c>
      <c r="Q44" s="296">
        <f t="shared" si="61"/>
        <v>0.12</v>
      </c>
      <c r="R44" s="296">
        <f t="shared" si="61"/>
        <v>0.12</v>
      </c>
      <c r="S44" s="296">
        <f t="shared" ref="S44" si="62">+R44</f>
        <v>0.12</v>
      </c>
      <c r="T44" s="296">
        <f t="shared" ref="T44" si="63">+S44</f>
        <v>0.12</v>
      </c>
      <c r="V44" s="68" t="s">
        <v>486</v>
      </c>
    </row>
    <row r="45" spans="2:24" ht="14.45" customHeight="1">
      <c r="B45" s="32"/>
      <c r="C45" s="32"/>
      <c r="D45" s="32"/>
      <c r="E45" s="32"/>
      <c r="F45" s="32"/>
      <c r="G45" s="32"/>
      <c r="H45" s="14"/>
      <c r="I45" s="14"/>
      <c r="J45" s="297"/>
      <c r="K45" s="297"/>
      <c r="L45" s="297"/>
      <c r="M45" s="297"/>
      <c r="N45" s="297"/>
      <c r="O45" s="242"/>
      <c r="P45" s="243"/>
      <c r="Q45" s="244"/>
      <c r="R45" s="243"/>
      <c r="S45" s="243"/>
      <c r="T45" s="243"/>
      <c r="V45" s="68"/>
    </row>
    <row r="46" spans="2:24" ht="14.45" customHeight="1">
      <c r="B46" s="32" t="s">
        <v>146</v>
      </c>
      <c r="C46" s="297">
        <f>+C30</f>
        <v>2680219</v>
      </c>
      <c r="D46" s="297">
        <f>+D30</f>
        <v>3605708</v>
      </c>
      <c r="E46" s="297">
        <f t="shared" ref="E46:L46" si="64">+E30</f>
        <v>2926045</v>
      </c>
      <c r="F46" s="297">
        <f t="shared" si="64"/>
        <v>2891369</v>
      </c>
      <c r="G46" s="297">
        <f t="shared" si="64"/>
        <v>2762388</v>
      </c>
      <c r="H46" s="297">
        <f t="shared" si="64"/>
        <v>2585274</v>
      </c>
      <c r="I46" s="297">
        <f t="shared" si="64"/>
        <v>2534768</v>
      </c>
      <c r="J46" s="297">
        <f t="shared" si="64"/>
        <v>2395507</v>
      </c>
      <c r="K46" s="297">
        <f t="shared" si="64"/>
        <v>2632636</v>
      </c>
      <c r="L46" s="297">
        <f t="shared" si="64"/>
        <v>2683622</v>
      </c>
      <c r="M46" s="297">
        <f>+L46-M47</f>
        <v>2549440.9</v>
      </c>
      <c r="N46" s="297">
        <f t="shared" ref="N46:R46" si="65">+M46-N47</f>
        <v>2415259.7999999998</v>
      </c>
      <c r="O46" s="297">
        <f t="shared" si="65"/>
        <v>2281078.6999999997</v>
      </c>
      <c r="P46" s="297">
        <f t="shared" si="65"/>
        <v>2146897.5999999996</v>
      </c>
      <c r="Q46" s="297">
        <f t="shared" si="65"/>
        <v>2012716.4999999995</v>
      </c>
      <c r="R46" s="297">
        <f t="shared" si="65"/>
        <v>1878535.3999999994</v>
      </c>
      <c r="S46" s="297">
        <f t="shared" ref="S46" si="66">+R46-S47</f>
        <v>1744354.2999999993</v>
      </c>
      <c r="T46" s="297">
        <f t="shared" ref="T46" si="67">+S46-T47</f>
        <v>1610173.1999999993</v>
      </c>
    </row>
    <row r="47" spans="2:24" ht="14.45" customHeight="1">
      <c r="B47" s="32" t="s">
        <v>284</v>
      </c>
      <c r="C47" s="32"/>
      <c r="D47" s="32"/>
      <c r="E47" s="32">
        <f>+D46-E46</f>
        <v>679663</v>
      </c>
      <c r="F47" s="32">
        <f t="shared" ref="F47:L47" si="68">+E46-F46</f>
        <v>34676</v>
      </c>
      <c r="G47" s="32">
        <f t="shared" si="68"/>
        <v>128981</v>
      </c>
      <c r="H47" s="32">
        <f t="shared" si="68"/>
        <v>177114</v>
      </c>
      <c r="I47" s="32">
        <f t="shared" si="68"/>
        <v>50506</v>
      </c>
      <c r="J47" s="32">
        <f t="shared" si="68"/>
        <v>139261</v>
      </c>
      <c r="K47" s="32">
        <f t="shared" si="68"/>
        <v>-237129</v>
      </c>
      <c r="L47" s="32">
        <f t="shared" si="68"/>
        <v>-50986</v>
      </c>
      <c r="M47" s="297">
        <f>+$L$46*$L$48</f>
        <v>134181.1</v>
      </c>
      <c r="N47" s="297">
        <f t="shared" ref="N47:T47" si="69">+$L$46*$L$48</f>
        <v>134181.1</v>
      </c>
      <c r="O47" s="297">
        <f t="shared" si="69"/>
        <v>134181.1</v>
      </c>
      <c r="P47" s="297">
        <f t="shared" si="69"/>
        <v>134181.1</v>
      </c>
      <c r="Q47" s="297">
        <f t="shared" si="69"/>
        <v>134181.1</v>
      </c>
      <c r="R47" s="297">
        <f t="shared" si="69"/>
        <v>134181.1</v>
      </c>
      <c r="S47" s="297">
        <f t="shared" si="69"/>
        <v>134181.1</v>
      </c>
      <c r="T47" s="297">
        <f t="shared" si="69"/>
        <v>134181.1</v>
      </c>
    </row>
    <row r="48" spans="2:24" ht="14.45" customHeight="1">
      <c r="B48" s="32" t="s">
        <v>492</v>
      </c>
      <c r="C48" s="32"/>
      <c r="D48" s="32"/>
      <c r="E48" s="32"/>
      <c r="F48" s="32"/>
      <c r="G48" s="32"/>
      <c r="H48" s="14"/>
      <c r="I48" s="14"/>
      <c r="J48" s="297"/>
      <c r="K48" s="297"/>
      <c r="L48" s="296">
        <v>0.05</v>
      </c>
      <c r="M48" s="297"/>
      <c r="N48" s="297"/>
      <c r="O48" s="297"/>
      <c r="P48" s="297"/>
      <c r="Q48" s="297"/>
      <c r="R48" s="297"/>
      <c r="S48" s="297"/>
      <c r="T48" s="297"/>
    </row>
    <row r="49" spans="2:15" ht="14.45" customHeight="1">
      <c r="B49" s="32"/>
      <c r="C49" s="32"/>
      <c r="D49" s="32"/>
      <c r="E49" s="32"/>
      <c r="F49" s="32"/>
      <c r="G49" s="32"/>
      <c r="H49" s="14"/>
      <c r="I49" s="14"/>
      <c r="J49" s="297"/>
      <c r="K49" s="297"/>
      <c r="L49" s="297"/>
      <c r="M49" s="297"/>
      <c r="N49" s="297"/>
      <c r="O49" s="18"/>
    </row>
    <row r="50" spans="2:15" ht="11.45" customHeight="1">
      <c r="B50" s="32"/>
      <c r="C50" s="32"/>
      <c r="D50" s="32"/>
      <c r="E50" s="32"/>
      <c r="F50" s="32"/>
      <c r="G50" s="32"/>
      <c r="H50" s="14"/>
      <c r="I50" s="14"/>
      <c r="J50" s="14"/>
      <c r="K50" s="14"/>
      <c r="L50" s="32"/>
      <c r="N50" s="27"/>
      <c r="O50" s="18"/>
    </row>
    <row r="51" spans="2:15" ht="11.45" customHeight="1">
      <c r="B51" s="32"/>
      <c r="C51" s="32"/>
      <c r="D51" s="32"/>
      <c r="E51" s="32"/>
      <c r="F51" s="32"/>
      <c r="G51" s="32"/>
      <c r="H51" s="14"/>
      <c r="I51" s="14"/>
      <c r="J51" s="14"/>
      <c r="K51" s="14"/>
      <c r="L51" s="32"/>
      <c r="N51" s="27"/>
      <c r="O51" s="18"/>
    </row>
    <row r="52" spans="2:15" ht="11.45" customHeight="1">
      <c r="B52" s="32"/>
      <c r="C52" s="32"/>
      <c r="D52" s="32"/>
      <c r="E52" s="32"/>
      <c r="F52" s="32"/>
      <c r="G52" s="32"/>
      <c r="H52" s="14"/>
      <c r="I52" s="14"/>
      <c r="J52" s="14"/>
      <c r="K52" s="14"/>
      <c r="L52" s="32"/>
      <c r="N52" s="27"/>
      <c r="O52" s="18"/>
    </row>
    <row r="53" spans="2:15" ht="11.45" customHeight="1">
      <c r="B53" s="32"/>
      <c r="C53" s="32"/>
      <c r="D53" s="32"/>
      <c r="E53" s="32"/>
      <c r="F53" s="32"/>
      <c r="G53" s="32"/>
      <c r="H53" s="14"/>
      <c r="I53" s="14"/>
      <c r="J53" s="14"/>
      <c r="K53" s="14"/>
      <c r="L53" s="32"/>
      <c r="N53" s="27"/>
      <c r="O53" s="18"/>
    </row>
    <row r="54" spans="2:15" ht="11.45" customHeight="1">
      <c r="B54" s="32"/>
      <c r="C54" s="32"/>
      <c r="D54" s="32"/>
      <c r="E54" s="32"/>
      <c r="F54" s="32"/>
      <c r="G54" s="32"/>
      <c r="H54" s="14"/>
      <c r="I54" s="14"/>
      <c r="J54" s="14"/>
      <c r="K54" s="14"/>
      <c r="L54" s="32"/>
      <c r="N54" s="27"/>
      <c r="O54" s="18"/>
    </row>
    <row r="55" spans="2:15" ht="11.45" customHeight="1">
      <c r="B55" s="32"/>
      <c r="C55" s="32"/>
      <c r="D55" s="32"/>
      <c r="E55" s="32"/>
      <c r="F55" s="32"/>
      <c r="G55" s="32"/>
      <c r="H55" s="14"/>
      <c r="I55" s="14"/>
      <c r="J55" s="14"/>
      <c r="K55" s="14"/>
      <c r="L55" s="32"/>
      <c r="N55" s="27"/>
      <c r="O55" s="18"/>
    </row>
    <row r="56" spans="2:15" ht="11.45" customHeight="1">
      <c r="B56" s="32"/>
      <c r="C56" s="32"/>
      <c r="D56" s="32"/>
      <c r="E56" s="32"/>
      <c r="F56" s="32"/>
      <c r="G56" s="32"/>
      <c r="H56" s="14"/>
      <c r="I56" s="14"/>
      <c r="J56" s="14"/>
      <c r="K56" s="14"/>
      <c r="L56" s="32"/>
      <c r="N56" s="27"/>
      <c r="O56" s="18"/>
    </row>
    <row r="57" spans="2:15" ht="11.45" customHeight="1">
      <c r="B57" s="32"/>
      <c r="C57" s="32"/>
      <c r="D57" s="32"/>
      <c r="E57" s="32"/>
      <c r="F57" s="32"/>
      <c r="G57" s="32"/>
      <c r="H57" s="14"/>
      <c r="I57" s="14"/>
      <c r="J57" s="14"/>
      <c r="K57" s="14"/>
      <c r="L57" s="32"/>
      <c r="N57" s="27"/>
      <c r="O57" s="18"/>
    </row>
    <row r="58" spans="2:15" ht="11.45" customHeight="1">
      <c r="B58" s="32"/>
      <c r="C58" s="32"/>
      <c r="D58" s="32"/>
      <c r="E58" s="32"/>
      <c r="F58" s="32"/>
      <c r="G58" s="32"/>
      <c r="H58" s="14"/>
      <c r="I58" s="14"/>
      <c r="J58" s="14"/>
      <c r="K58" s="14"/>
      <c r="L58" s="32"/>
      <c r="N58" s="27"/>
      <c r="O58" s="18"/>
    </row>
    <row r="59" spans="2:15" ht="11.45" customHeight="1">
      <c r="B59" s="32"/>
      <c r="C59" s="32"/>
      <c r="D59" s="32"/>
      <c r="E59" s="32"/>
      <c r="F59" s="32"/>
      <c r="G59" s="32"/>
      <c r="H59" s="14"/>
      <c r="I59" s="14"/>
      <c r="J59" s="14"/>
      <c r="K59" s="14"/>
      <c r="L59" s="32"/>
      <c r="N59" s="27"/>
      <c r="O59" s="18"/>
    </row>
    <row r="60" spans="2:15" ht="11.45" customHeight="1">
      <c r="B60" s="32"/>
      <c r="C60" s="32"/>
      <c r="D60" s="32"/>
      <c r="E60" s="32"/>
      <c r="F60" s="32"/>
      <c r="G60" s="32"/>
      <c r="H60" s="14"/>
      <c r="I60" s="14"/>
      <c r="J60" s="14"/>
      <c r="K60" s="14"/>
      <c r="L60" s="32"/>
      <c r="N60" s="27"/>
      <c r="O60" s="18"/>
    </row>
    <row r="61" spans="2:15" ht="11.45" customHeight="1">
      <c r="B61" s="32"/>
      <c r="C61" s="32"/>
      <c r="D61" s="32"/>
      <c r="E61" s="32"/>
      <c r="F61" s="32"/>
      <c r="G61" s="32"/>
      <c r="H61" s="14"/>
      <c r="I61" s="14"/>
      <c r="J61" s="14"/>
      <c r="K61" s="14"/>
      <c r="L61" s="32"/>
      <c r="N61" s="27"/>
      <c r="O61" s="18"/>
    </row>
    <row r="62" spans="2:15" ht="11.45" customHeight="1">
      <c r="B62" s="32"/>
      <c r="C62" s="32"/>
      <c r="D62" s="32"/>
      <c r="E62" s="32"/>
      <c r="F62" s="32"/>
      <c r="G62" s="32"/>
      <c r="H62" s="14"/>
      <c r="I62" s="14"/>
      <c r="J62" s="14"/>
      <c r="K62" s="14"/>
      <c r="L62" s="32"/>
      <c r="N62" s="27"/>
      <c r="O62" s="18"/>
    </row>
    <row r="63" spans="2:15" ht="11.45" customHeight="1">
      <c r="B63" s="32"/>
      <c r="C63" s="32"/>
      <c r="D63" s="32"/>
      <c r="E63" s="32"/>
      <c r="F63" s="32"/>
      <c r="G63" s="32"/>
      <c r="H63" s="14"/>
      <c r="I63" s="14"/>
      <c r="J63" s="14"/>
      <c r="K63" s="14"/>
      <c r="L63" s="32"/>
      <c r="N63" s="27"/>
      <c r="O63" s="18"/>
    </row>
    <row r="64" spans="2:15" ht="11.45" customHeight="1">
      <c r="B64" s="32"/>
      <c r="C64" s="32"/>
      <c r="D64" s="32"/>
      <c r="E64" s="32"/>
      <c r="F64" s="32"/>
      <c r="G64" s="32"/>
      <c r="H64" s="14"/>
      <c r="I64" s="14"/>
      <c r="J64" s="14"/>
      <c r="K64" s="14"/>
      <c r="L64" s="32"/>
      <c r="N64" s="27"/>
      <c r="O64" s="18"/>
    </row>
    <row r="65" spans="2:15" ht="11.45" customHeight="1">
      <c r="B65" s="32"/>
      <c r="C65" s="32"/>
      <c r="D65" s="32"/>
      <c r="E65" s="32"/>
      <c r="F65" s="32"/>
      <c r="G65" s="32"/>
      <c r="H65" s="14"/>
      <c r="I65" s="14"/>
      <c r="J65" s="14"/>
      <c r="K65" s="14"/>
      <c r="L65" s="32"/>
      <c r="N65" s="27"/>
      <c r="O65" s="18"/>
    </row>
    <row r="66" spans="2:15" ht="11.45" customHeight="1">
      <c r="B66" s="32"/>
      <c r="C66" s="32"/>
      <c r="D66" s="32"/>
      <c r="E66" s="32"/>
      <c r="F66" s="32"/>
      <c r="G66" s="32"/>
      <c r="H66" s="14"/>
      <c r="I66" s="14"/>
      <c r="J66" s="14"/>
      <c r="K66" s="14"/>
      <c r="L66" s="32"/>
      <c r="N66" s="27"/>
      <c r="O66" s="18"/>
    </row>
    <row r="67" spans="2:15" ht="11.45" customHeight="1">
      <c r="B67" s="32"/>
      <c r="C67" s="32"/>
      <c r="D67" s="32"/>
      <c r="E67" s="32"/>
      <c r="F67" s="32"/>
      <c r="G67" s="32"/>
      <c r="H67" s="14"/>
      <c r="I67" s="14"/>
      <c r="J67" s="14"/>
      <c r="K67" s="14"/>
      <c r="L67" s="32"/>
      <c r="N67" s="27"/>
      <c r="O67" s="18"/>
    </row>
    <row r="68" spans="2:15" ht="11.45" customHeight="1">
      <c r="B68" s="32"/>
      <c r="C68" s="32"/>
      <c r="D68" s="32"/>
      <c r="E68" s="32"/>
      <c r="F68" s="32"/>
      <c r="G68" s="32"/>
      <c r="H68" s="14"/>
      <c r="I68" s="14"/>
      <c r="J68" s="14"/>
      <c r="K68" s="14"/>
      <c r="L68" s="32"/>
      <c r="N68" s="27"/>
      <c r="O68" s="18"/>
    </row>
    <row r="69" spans="2:15" ht="11.45" customHeight="1">
      <c r="B69" s="32"/>
      <c r="C69" s="32"/>
      <c r="D69" s="32"/>
      <c r="E69" s="32"/>
      <c r="F69" s="32"/>
      <c r="G69" s="32"/>
      <c r="H69" s="14"/>
      <c r="I69" s="14"/>
      <c r="J69" s="14"/>
      <c r="K69" s="14"/>
      <c r="L69" s="32"/>
      <c r="N69" s="27"/>
      <c r="O69" s="18"/>
    </row>
    <row r="70" spans="2:15" ht="11.45" customHeight="1">
      <c r="B70" s="32"/>
      <c r="C70" s="32"/>
      <c r="D70" s="32"/>
      <c r="E70" s="32"/>
      <c r="F70" s="32"/>
      <c r="G70" s="32"/>
      <c r="H70" s="14"/>
      <c r="I70" s="14"/>
      <c r="J70" s="14"/>
      <c r="K70" s="14"/>
      <c r="L70" s="32"/>
      <c r="N70" s="27"/>
      <c r="O70" s="18"/>
    </row>
    <row r="71" spans="2:15" ht="11.45" customHeight="1">
      <c r="B71" s="32"/>
      <c r="C71" s="32"/>
      <c r="D71" s="32"/>
      <c r="E71" s="32"/>
      <c r="F71" s="32"/>
      <c r="G71" s="32"/>
      <c r="H71" s="14"/>
      <c r="I71" s="14"/>
      <c r="J71" s="14"/>
      <c r="K71" s="14"/>
      <c r="L71" s="32"/>
      <c r="N71" s="27"/>
      <c r="O71" s="18"/>
    </row>
    <row r="72" spans="2:15" ht="11.45" customHeight="1">
      <c r="B72" s="32"/>
      <c r="C72" s="32"/>
      <c r="D72" s="32"/>
      <c r="E72" s="32"/>
      <c r="F72" s="32"/>
      <c r="G72" s="32"/>
      <c r="H72" s="14"/>
      <c r="I72" s="14"/>
      <c r="J72" s="14"/>
      <c r="K72" s="14"/>
      <c r="L72" s="32"/>
      <c r="N72" s="27"/>
      <c r="O72" s="18"/>
    </row>
    <row r="73" spans="2:15" ht="11.45" customHeight="1">
      <c r="B73" s="32"/>
      <c r="C73" s="32"/>
      <c r="D73" s="32"/>
      <c r="E73" s="32"/>
      <c r="F73" s="32"/>
      <c r="G73" s="32"/>
      <c r="H73" s="14"/>
      <c r="I73" s="14"/>
      <c r="J73" s="14"/>
      <c r="K73" s="14"/>
      <c r="L73" s="32"/>
      <c r="N73" s="27"/>
      <c r="O73" s="18"/>
    </row>
    <row r="74" spans="2:15" ht="11.45" customHeight="1">
      <c r="B74" s="32"/>
      <c r="C74" s="32"/>
      <c r="D74" s="32"/>
      <c r="E74" s="32"/>
      <c r="F74" s="32"/>
      <c r="G74" s="32"/>
      <c r="H74" s="14"/>
      <c r="I74" s="14"/>
      <c r="J74" s="14"/>
      <c r="K74" s="14"/>
      <c r="L74" s="32"/>
      <c r="N74" s="27"/>
      <c r="O74" s="18"/>
    </row>
    <row r="75" spans="2:15" ht="11.45" customHeight="1">
      <c r="B75" s="32"/>
      <c r="C75" s="32"/>
      <c r="D75" s="32"/>
      <c r="E75" s="32"/>
      <c r="F75" s="32"/>
      <c r="G75" s="32"/>
      <c r="H75" s="14"/>
      <c r="I75" s="14"/>
      <c r="J75" s="14"/>
      <c r="K75" s="14"/>
      <c r="L75" s="32"/>
      <c r="N75" s="27"/>
      <c r="O75" s="18"/>
    </row>
    <row r="76" spans="2:15" ht="11.45" customHeight="1">
      <c r="B76" s="32"/>
      <c r="C76" s="32"/>
      <c r="D76" s="32"/>
      <c r="E76" s="32"/>
      <c r="F76" s="32"/>
      <c r="G76" s="32"/>
      <c r="H76" s="14"/>
      <c r="I76" s="14"/>
      <c r="J76" s="14"/>
      <c r="K76" s="14"/>
      <c r="L76" s="32"/>
      <c r="N76" s="27"/>
      <c r="O76" s="18"/>
    </row>
    <row r="77" spans="2:15" ht="11.45" customHeight="1">
      <c r="B77" s="32"/>
      <c r="C77" s="32"/>
      <c r="D77" s="32"/>
      <c r="E77" s="32"/>
      <c r="F77" s="32"/>
      <c r="G77" s="32"/>
      <c r="H77" s="14"/>
      <c r="I77" s="14"/>
      <c r="J77" s="14"/>
      <c r="K77" s="14"/>
      <c r="L77" s="32"/>
      <c r="N77" s="27"/>
      <c r="O77" s="18"/>
    </row>
    <row r="78" spans="2:15" ht="11.45" customHeight="1">
      <c r="B78" s="32"/>
      <c r="C78" s="32"/>
      <c r="D78" s="32"/>
      <c r="E78" s="32"/>
      <c r="F78" s="32"/>
      <c r="G78" s="32"/>
      <c r="H78" s="14"/>
      <c r="I78" s="14"/>
      <c r="J78" s="14"/>
      <c r="K78" s="14"/>
      <c r="L78" s="32"/>
      <c r="N78" s="27"/>
      <c r="O78" s="18"/>
    </row>
    <row r="79" spans="2:15" ht="11.45" customHeight="1">
      <c r="B79" s="32"/>
      <c r="C79" s="32"/>
      <c r="D79" s="32"/>
      <c r="E79" s="32"/>
      <c r="F79" s="32"/>
      <c r="G79" s="32"/>
      <c r="H79" s="14"/>
      <c r="I79" s="14"/>
      <c r="J79" s="14"/>
      <c r="K79" s="14"/>
      <c r="L79" s="32"/>
      <c r="N79" s="27"/>
      <c r="O79" s="18"/>
    </row>
    <row r="80" spans="2:15" ht="11.45" customHeight="1">
      <c r="B80" s="32"/>
      <c r="C80" s="32"/>
      <c r="D80" s="32"/>
      <c r="E80" s="32"/>
      <c r="F80" s="32"/>
      <c r="G80" s="32"/>
      <c r="H80" s="14"/>
      <c r="I80" s="14"/>
      <c r="J80" s="14"/>
      <c r="K80" s="14"/>
      <c r="L80" s="32"/>
      <c r="N80" s="27"/>
      <c r="O80" s="18"/>
    </row>
    <row r="81" spans="2:15" ht="11.45" customHeight="1">
      <c r="B81" s="32"/>
      <c r="C81" s="32"/>
      <c r="D81" s="32"/>
      <c r="E81" s="32"/>
      <c r="F81" s="32"/>
      <c r="G81" s="32"/>
      <c r="H81" s="14"/>
      <c r="I81" s="14"/>
      <c r="J81" s="14"/>
      <c r="K81" s="14"/>
      <c r="L81" s="32"/>
      <c r="N81" s="27"/>
      <c r="O81" s="18"/>
    </row>
    <row r="82" spans="2:15" ht="11.45" customHeight="1">
      <c r="B82" s="32"/>
      <c r="C82" s="32"/>
      <c r="D82" s="32"/>
      <c r="E82" s="32"/>
      <c r="F82" s="32"/>
      <c r="G82" s="32"/>
      <c r="H82" s="14"/>
      <c r="I82" s="14"/>
      <c r="J82" s="14"/>
      <c r="K82" s="14"/>
      <c r="L82" s="32"/>
      <c r="N82" s="27"/>
      <c r="O82" s="18"/>
    </row>
    <row r="83" spans="2:15" ht="11.45" customHeight="1">
      <c r="B83" s="32"/>
      <c r="C83" s="32"/>
      <c r="D83" s="32"/>
      <c r="E83" s="32"/>
      <c r="F83" s="32"/>
      <c r="G83" s="32"/>
      <c r="H83" s="14"/>
      <c r="I83" s="14"/>
      <c r="J83" s="14"/>
      <c r="K83" s="14"/>
      <c r="L83" s="32"/>
      <c r="N83" s="27"/>
      <c r="O83" s="18"/>
    </row>
    <row r="84" spans="2:15" ht="11.45" customHeight="1">
      <c r="B84" s="32"/>
      <c r="C84" s="32"/>
      <c r="D84" s="32"/>
      <c r="E84" s="32"/>
      <c r="F84" s="32"/>
      <c r="G84" s="32"/>
      <c r="H84" s="14"/>
      <c r="I84" s="14"/>
      <c r="J84" s="14"/>
      <c r="K84" s="14"/>
      <c r="L84" s="32"/>
      <c r="N84" s="27"/>
      <c r="O84" s="18"/>
    </row>
    <row r="85" spans="2:15" ht="11.45" customHeight="1">
      <c r="B85" s="32"/>
      <c r="C85" s="32"/>
      <c r="D85" s="32"/>
      <c r="E85" s="32"/>
      <c r="F85" s="32"/>
      <c r="G85" s="32"/>
      <c r="H85" s="14"/>
      <c r="I85" s="14"/>
      <c r="J85" s="14"/>
      <c r="K85" s="14"/>
      <c r="L85" s="32"/>
      <c r="N85" s="27"/>
      <c r="O85" s="18"/>
    </row>
    <row r="86" spans="2:15" ht="11.45" customHeight="1">
      <c r="B86" s="32"/>
      <c r="C86" s="32"/>
      <c r="D86" s="32"/>
      <c r="E86" s="32"/>
      <c r="F86" s="32"/>
      <c r="G86" s="32"/>
      <c r="H86" s="14"/>
      <c r="I86" s="14"/>
      <c r="J86" s="14"/>
      <c r="K86" s="14"/>
      <c r="L86" s="32"/>
      <c r="N86" s="27"/>
      <c r="O86" s="18"/>
    </row>
    <row r="87" spans="2:15" ht="11.45" customHeight="1">
      <c r="B87" s="32"/>
      <c r="C87" s="32"/>
      <c r="D87" s="32"/>
      <c r="E87" s="32"/>
      <c r="F87" s="32"/>
      <c r="G87" s="32"/>
      <c r="H87" s="14"/>
      <c r="I87" s="14"/>
      <c r="J87" s="14"/>
      <c r="K87" s="14"/>
      <c r="L87" s="32"/>
      <c r="N87" s="27"/>
      <c r="O87" s="18"/>
    </row>
    <row r="88" spans="2:15" ht="11.45" customHeight="1">
      <c r="B88" s="32"/>
      <c r="C88" s="32"/>
      <c r="D88" s="32"/>
      <c r="E88" s="32"/>
      <c r="F88" s="32"/>
      <c r="G88" s="32"/>
      <c r="H88" s="14"/>
      <c r="I88" s="14"/>
      <c r="J88" s="14"/>
      <c r="K88" s="14"/>
      <c r="L88" s="32"/>
      <c r="N88" s="27"/>
      <c r="O88" s="18"/>
    </row>
    <row r="89" spans="2:15" ht="11.45" customHeight="1">
      <c r="B89" s="32"/>
      <c r="C89" s="32"/>
      <c r="D89" s="32"/>
      <c r="E89" s="32"/>
      <c r="F89" s="32"/>
      <c r="G89" s="32"/>
      <c r="H89" s="14"/>
      <c r="I89" s="14"/>
      <c r="J89" s="14"/>
      <c r="K89" s="14"/>
      <c r="L89" s="32"/>
      <c r="N89" s="27"/>
      <c r="O89" s="18"/>
    </row>
    <row r="90" spans="2:15" ht="11.45" customHeight="1">
      <c r="B90" s="32"/>
      <c r="C90" s="32"/>
      <c r="D90" s="32"/>
      <c r="E90" s="32"/>
      <c r="F90" s="32"/>
      <c r="G90" s="32"/>
      <c r="H90" s="14"/>
      <c r="I90" s="14"/>
      <c r="J90" s="14"/>
      <c r="K90" s="14"/>
      <c r="L90" s="32"/>
      <c r="N90" s="27"/>
      <c r="O90" s="18"/>
    </row>
    <row r="91" spans="2:15" ht="11.45" customHeight="1">
      <c r="B91" s="32"/>
      <c r="C91" s="32"/>
      <c r="D91" s="32"/>
      <c r="E91" s="32"/>
      <c r="F91" s="32"/>
      <c r="G91" s="32"/>
      <c r="H91" s="14"/>
      <c r="I91" s="14"/>
      <c r="J91" s="14"/>
      <c r="K91" s="14"/>
      <c r="L91" s="32"/>
      <c r="N91" s="27"/>
      <c r="O91" s="18"/>
    </row>
    <row r="92" spans="2:15" ht="11.45" customHeight="1">
      <c r="B92" s="32"/>
      <c r="C92" s="32"/>
      <c r="D92" s="32"/>
      <c r="E92" s="32"/>
      <c r="F92" s="32"/>
      <c r="G92" s="32"/>
      <c r="H92" s="14"/>
      <c r="I92" s="14"/>
      <c r="J92" s="14"/>
      <c r="K92" s="14"/>
      <c r="L92" s="32"/>
      <c r="N92" s="27"/>
      <c r="O92" s="18"/>
    </row>
    <row r="93" spans="2:15" ht="11.45" customHeight="1">
      <c r="B93" s="32"/>
      <c r="C93" s="32"/>
      <c r="D93" s="32"/>
      <c r="E93" s="32"/>
      <c r="F93" s="32"/>
      <c r="G93" s="32"/>
      <c r="H93" s="14"/>
      <c r="I93" s="14"/>
      <c r="J93" s="14"/>
      <c r="K93" s="14"/>
      <c r="L93" s="32"/>
      <c r="N93" s="27"/>
      <c r="O93" s="18"/>
    </row>
    <row r="94" spans="2:15" ht="11.45" customHeight="1">
      <c r="B94" s="32"/>
      <c r="C94" s="32"/>
      <c r="D94" s="32"/>
      <c r="E94" s="32"/>
      <c r="F94" s="32"/>
      <c r="G94" s="32"/>
      <c r="H94" s="14"/>
      <c r="I94" s="14"/>
      <c r="J94" s="14"/>
      <c r="K94" s="14"/>
      <c r="L94" s="32"/>
      <c r="N94" s="27"/>
      <c r="O94" s="18"/>
    </row>
    <row r="95" spans="2:15" ht="11.45" customHeight="1">
      <c r="B95" s="32"/>
      <c r="C95" s="32"/>
      <c r="D95" s="32"/>
      <c r="E95" s="32"/>
      <c r="F95" s="32"/>
      <c r="G95" s="32"/>
      <c r="H95" s="14"/>
      <c r="I95" s="14"/>
      <c r="J95" s="14"/>
      <c r="K95" s="14"/>
      <c r="L95" s="32"/>
      <c r="N95" s="27"/>
      <c r="O95" s="18"/>
    </row>
    <row r="96" spans="2:15" ht="11.45" customHeight="1">
      <c r="B96" s="32"/>
      <c r="C96" s="32"/>
      <c r="D96" s="32"/>
      <c r="E96" s="32"/>
      <c r="F96" s="32"/>
      <c r="G96" s="32"/>
      <c r="H96" s="14"/>
      <c r="I96" s="14"/>
      <c r="J96" s="14"/>
      <c r="K96" s="14"/>
      <c r="L96" s="32"/>
      <c r="N96" s="27"/>
      <c r="O96" s="18"/>
    </row>
    <row r="97" spans="2:15" ht="17" customHeight="1">
      <c r="B97" s="32"/>
      <c r="C97" s="32"/>
      <c r="D97" s="32"/>
      <c r="E97" s="32"/>
      <c r="F97" s="32"/>
      <c r="G97" s="32"/>
      <c r="H97" s="14"/>
      <c r="I97" s="14"/>
      <c r="J97" s="14"/>
      <c r="K97" s="14"/>
      <c r="L97" s="32"/>
      <c r="N97" s="27"/>
      <c r="O97" s="18"/>
    </row>
    <row r="98" spans="2:15" ht="17" customHeight="1">
      <c r="B98" s="32"/>
      <c r="C98" s="32"/>
      <c r="D98" s="32"/>
      <c r="E98" s="32"/>
      <c r="F98" s="32"/>
      <c r="G98" s="32"/>
      <c r="H98" s="14"/>
      <c r="I98" s="14"/>
      <c r="J98" s="14"/>
      <c r="K98" s="14"/>
      <c r="L98" s="32"/>
      <c r="N98" s="27"/>
      <c r="O98" s="18"/>
    </row>
  </sheetData>
  <mergeCells count="3">
    <mergeCell ref="M4:R4"/>
    <mergeCell ref="V36:X38"/>
    <mergeCell ref="D4:L4"/>
  </mergeCells>
  <phoneticPr fontId="36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BF418-C846-4939-AD08-2FE86EDE6457}">
  <dimension ref="A1:AB130"/>
  <sheetViews>
    <sheetView tabSelected="1" workbookViewId="0">
      <selection activeCell="K12" sqref="K12"/>
    </sheetView>
  </sheetViews>
  <sheetFormatPr defaultRowHeight="14.35"/>
  <cols>
    <col min="1" max="1" width="38.1171875" customWidth="1"/>
    <col min="2" max="2" width="13.3515625" customWidth="1"/>
    <col min="3" max="3" width="11.234375" customWidth="1"/>
    <col min="4" max="4" width="11.703125" customWidth="1"/>
    <col min="5" max="5" width="11.1171875" customWidth="1"/>
    <col min="6" max="6" width="12.3515625" customWidth="1"/>
    <col min="7" max="7" width="10.8203125" customWidth="1"/>
    <col min="8" max="8" width="12.29296875" customWidth="1"/>
    <col min="9" max="9" width="11.87890625" customWidth="1"/>
    <col min="10" max="10" width="12.29296875" customWidth="1"/>
    <col min="11" max="11" width="9.64453125" bestFit="1" customWidth="1"/>
    <col min="12" max="12" width="2.76171875" customWidth="1"/>
    <col min="13" max="13" width="12.29296875" style="44" customWidth="1"/>
    <col min="14" max="14" width="10.9375" customWidth="1"/>
    <col min="15" max="19" width="12.29296875" customWidth="1"/>
    <col min="20" max="21" width="10.41015625" customWidth="1"/>
    <col min="22" max="22" width="12.3515625" customWidth="1"/>
    <col min="23" max="27" width="10.87890625" customWidth="1"/>
    <col min="28" max="28" width="12.3515625" bestFit="1" customWidth="1"/>
  </cols>
  <sheetData>
    <row r="1" spans="1:27" ht="28.7" customHeight="1" thickBot="1">
      <c r="A1" s="291" t="str">
        <f>+'Historical Analysis'!B1</f>
        <v>EXTENDED STAY AMERICA</v>
      </c>
      <c r="B1" s="270" t="s">
        <v>90</v>
      </c>
      <c r="C1" s="267" t="s">
        <v>538</v>
      </c>
      <c r="D1" s="268"/>
      <c r="E1" s="268"/>
      <c r="F1" s="269"/>
      <c r="G1" s="40" t="s">
        <v>91</v>
      </c>
      <c r="H1" s="41">
        <f ca="1">NOW()</f>
        <v>44306.435966550926</v>
      </c>
      <c r="U1" s="42" t="s">
        <v>92</v>
      </c>
      <c r="V1" s="42"/>
      <c r="W1" s="43"/>
      <c r="X1" s="43"/>
      <c r="Y1" s="43"/>
      <c r="Z1" s="43"/>
      <c r="AA1" s="43"/>
    </row>
    <row r="2" spans="1:27" ht="18" customHeight="1" thickBot="1">
      <c r="A2" s="294" t="s">
        <v>296</v>
      </c>
      <c r="B2" s="45"/>
      <c r="G2" s="46" t="s">
        <v>289</v>
      </c>
      <c r="H2" s="41">
        <v>44196</v>
      </c>
      <c r="U2" s="47" t="s">
        <v>93</v>
      </c>
    </row>
    <row r="3" spans="1:27" ht="10.5" customHeight="1" thickBot="1"/>
    <row r="4" spans="1:27" ht="15.7" thickBot="1">
      <c r="A4" s="321" t="s">
        <v>94</v>
      </c>
      <c r="B4" s="322"/>
      <c r="C4" s="322"/>
      <c r="D4" s="322"/>
      <c r="E4" s="322"/>
      <c r="F4" s="322"/>
      <c r="G4" s="322"/>
      <c r="H4" s="323"/>
      <c r="I4" s="322"/>
      <c r="U4" s="48" t="s">
        <v>95</v>
      </c>
      <c r="V4" s="48"/>
      <c r="W4" s="49" t="s">
        <v>96</v>
      </c>
      <c r="X4" s="50"/>
      <c r="Y4" s="50"/>
      <c r="Z4" s="50"/>
      <c r="AA4" s="50"/>
    </row>
    <row r="5" spans="1:27" ht="44.45" customHeight="1" thickBot="1">
      <c r="A5" s="51"/>
      <c r="C5" s="318" t="s">
        <v>97</v>
      </c>
      <c r="D5" s="318" t="s">
        <v>98</v>
      </c>
      <c r="E5" s="318" t="s">
        <v>99</v>
      </c>
      <c r="F5" s="318" t="s">
        <v>100</v>
      </c>
      <c r="G5" s="318" t="s">
        <v>101</v>
      </c>
      <c r="H5" s="319" t="s">
        <v>102</v>
      </c>
      <c r="I5" s="320" t="s">
        <v>293</v>
      </c>
      <c r="U5" s="52" t="s">
        <v>103</v>
      </c>
      <c r="V5" s="52"/>
      <c r="W5" s="53">
        <v>44012</v>
      </c>
      <c r="X5" s="54">
        <v>43830</v>
      </c>
      <c r="Y5" s="54">
        <v>43465</v>
      </c>
      <c r="Z5" s="54">
        <v>43100</v>
      </c>
      <c r="AA5" s="54">
        <v>42735</v>
      </c>
    </row>
    <row r="6" spans="1:27">
      <c r="A6" s="265" t="s">
        <v>104</v>
      </c>
      <c r="B6" s="266"/>
      <c r="C6" s="266"/>
      <c r="D6" s="266"/>
      <c r="E6" s="266"/>
      <c r="F6" s="266"/>
      <c r="G6" s="387"/>
      <c r="H6" s="388"/>
      <c r="I6" s="280"/>
      <c r="U6" s="55" t="s">
        <v>105</v>
      </c>
      <c r="W6" s="231">
        <f>+'Historical Analysis'!C7</f>
        <v>1042316</v>
      </c>
      <c r="X6" s="220">
        <f>+'Historical Analysis'!D7</f>
        <v>1218219</v>
      </c>
      <c r="Y6" s="220">
        <f>+'Historical Analysis'!E7</f>
        <v>1275059</v>
      </c>
      <c r="Z6" s="220">
        <f>+'Historical Analysis'!F7</f>
        <v>1282725</v>
      </c>
      <c r="AA6" s="220">
        <f>+'Historical Analysis'!G7</f>
        <v>1270593</v>
      </c>
    </row>
    <row r="7" spans="1:27">
      <c r="A7" s="57"/>
      <c r="B7" s="58"/>
      <c r="C7" s="58"/>
      <c r="D7" s="58"/>
      <c r="E7" s="58"/>
      <c r="F7" s="58"/>
      <c r="G7" s="58"/>
      <c r="H7" s="59"/>
      <c r="I7" s="281"/>
      <c r="U7" t="s">
        <v>2</v>
      </c>
      <c r="W7" s="231">
        <f>+'Historical Analysis'!C8</f>
        <v>593760</v>
      </c>
      <c r="X7" s="220">
        <f>+'Historical Analysis'!D8</f>
        <v>601191</v>
      </c>
      <c r="Y7" s="220">
        <f>+'Historical Analysis'!E8</f>
        <v>596246</v>
      </c>
      <c r="Z7" s="220">
        <f>+'Historical Analysis'!F8</f>
        <v>585545</v>
      </c>
      <c r="AA7" s="220">
        <f>+'Historical Analysis'!G8</f>
        <v>580772</v>
      </c>
    </row>
    <row r="8" spans="1:27" ht="14.7" thickBot="1">
      <c r="A8" s="57" t="s">
        <v>106</v>
      </c>
      <c r="B8" s="58"/>
      <c r="C8" s="58"/>
      <c r="D8" s="58"/>
      <c r="E8" s="58"/>
      <c r="F8" s="58"/>
      <c r="G8" s="58"/>
      <c r="H8" s="59"/>
      <c r="I8" s="282"/>
      <c r="J8" s="284"/>
      <c r="U8" s="55" t="s">
        <v>107</v>
      </c>
      <c r="W8" s="232">
        <f>+W6-W7</f>
        <v>448556</v>
      </c>
      <c r="X8" s="60">
        <f>+X6-X7</f>
        <v>617028</v>
      </c>
      <c r="Y8" s="60">
        <f>+Y6-Y7</f>
        <v>678813</v>
      </c>
      <c r="Z8" s="60">
        <f>+Z6-Z7</f>
        <v>697180</v>
      </c>
      <c r="AA8" s="60">
        <f>+AA6-AA7</f>
        <v>689821</v>
      </c>
    </row>
    <row r="9" spans="1:27" ht="14.7" thickTop="1">
      <c r="A9" s="57" t="s">
        <v>108</v>
      </c>
      <c r="B9" s="58"/>
      <c r="C9" s="58"/>
      <c r="D9" s="58"/>
      <c r="E9" s="58"/>
      <c r="F9" s="58"/>
      <c r="G9" s="58"/>
      <c r="H9" s="59"/>
      <c r="I9" s="282"/>
      <c r="J9" s="284"/>
      <c r="U9" s="55" t="s">
        <v>109</v>
      </c>
      <c r="W9" s="233">
        <f>+'Historical Analysis'!C10</f>
        <v>298178</v>
      </c>
      <c r="X9" s="222">
        <f>+'Historical Analysis'!D10</f>
        <v>292523</v>
      </c>
      <c r="Y9" s="222">
        <f>+'Historical Analysis'!E10</f>
        <v>299754</v>
      </c>
      <c r="Z9" s="222">
        <f>+'Historical Analysis'!F10</f>
        <v>320909</v>
      </c>
      <c r="AA9" s="222">
        <f>+'Historical Analysis'!G10</f>
        <v>319329</v>
      </c>
    </row>
    <row r="10" spans="1:27">
      <c r="A10" s="61" t="s">
        <v>110</v>
      </c>
      <c r="B10" s="58"/>
      <c r="C10" s="62"/>
      <c r="D10" s="58"/>
      <c r="E10" s="58"/>
      <c r="F10" s="58"/>
      <c r="G10" s="58"/>
      <c r="H10" s="59"/>
      <c r="I10" s="282"/>
      <c r="J10" s="284"/>
      <c r="U10" s="55" t="s">
        <v>274</v>
      </c>
      <c r="W10" s="231">
        <f>+W8-W9</f>
        <v>150378</v>
      </c>
      <c r="X10" s="63">
        <f>+X8-X9</f>
        <v>324505</v>
      </c>
      <c r="Y10" s="63">
        <f>+Y8-Y9</f>
        <v>379059</v>
      </c>
      <c r="Z10" s="63">
        <f>+Z8-Z9</f>
        <v>376271</v>
      </c>
      <c r="AA10" s="63">
        <f>+AA8-AA9</f>
        <v>370492</v>
      </c>
    </row>
    <row r="11" spans="1:27">
      <c r="A11" s="61" t="s">
        <v>111</v>
      </c>
      <c r="B11" s="58"/>
      <c r="C11" s="62"/>
      <c r="D11" s="58"/>
      <c r="E11" s="58"/>
      <c r="F11" s="58"/>
      <c r="G11" s="58"/>
      <c r="H11" s="59"/>
      <c r="I11" s="282"/>
      <c r="J11" s="284"/>
      <c r="U11" s="55" t="s">
        <v>275</v>
      </c>
      <c r="W11" s="234">
        <f>+'Historical Analysis'!C12</f>
        <v>122296</v>
      </c>
      <c r="X11" s="62">
        <f>+'Historical Analysis'!D12</f>
        <v>117067</v>
      </c>
      <c r="Y11" s="62">
        <f>+'Historical Analysis'!E12</f>
        <v>116348</v>
      </c>
      <c r="Z11" s="62">
        <f>+'Historical Analysis'!F12</f>
        <v>118510</v>
      </c>
      <c r="AA11" s="62">
        <f>+'Historical Analysis'!G12</f>
        <v>127633</v>
      </c>
    </row>
    <row r="12" spans="1:27">
      <c r="A12" s="57" t="s">
        <v>112</v>
      </c>
      <c r="B12" s="58"/>
      <c r="C12" s="58"/>
      <c r="D12" s="58"/>
      <c r="E12" s="58"/>
      <c r="F12" s="58"/>
      <c r="G12" s="58"/>
      <c r="H12" s="59"/>
      <c r="I12" s="282"/>
      <c r="J12" s="284"/>
      <c r="U12" s="55" t="s">
        <v>277</v>
      </c>
      <c r="W12" s="235">
        <f>+W10-W11</f>
        <v>28082</v>
      </c>
      <c r="X12" s="221">
        <f>+X10-X11</f>
        <v>207438</v>
      </c>
      <c r="Y12" s="221">
        <f>+Y10-Y11</f>
        <v>262711</v>
      </c>
      <c r="Z12" s="221">
        <f>+Z10-Z11</f>
        <v>257761</v>
      </c>
      <c r="AA12" s="221">
        <f>+AA10-AA11</f>
        <v>242859</v>
      </c>
    </row>
    <row r="13" spans="1:27">
      <c r="A13" s="51"/>
      <c r="C13" s="64"/>
      <c r="D13" s="64"/>
      <c r="E13" s="64"/>
      <c r="F13" s="64"/>
      <c r="G13" s="64"/>
      <c r="H13" s="65"/>
      <c r="I13" s="283"/>
      <c r="J13" s="284"/>
      <c r="U13" s="55" t="s">
        <v>276</v>
      </c>
      <c r="W13" s="236">
        <f>+'Historical Analysis'!C14</f>
        <v>-43674</v>
      </c>
      <c r="X13" s="223">
        <f>+'Historical Analysis'!D14</f>
        <v>12985</v>
      </c>
      <c r="Y13" s="223">
        <f>+'Historical Analysis'!E14</f>
        <v>8879</v>
      </c>
      <c r="Z13" s="223">
        <f>+'Historical Analysis'!F14</f>
        <v>26059</v>
      </c>
      <c r="AA13" s="223">
        <f>+'Historical Analysis'!G14</f>
        <v>45156</v>
      </c>
    </row>
    <row r="14" spans="1:27" ht="14.7" thickBot="1">
      <c r="A14" s="67" t="s">
        <v>113</v>
      </c>
      <c r="B14" s="68"/>
      <c r="C14" s="188"/>
      <c r="D14" s="188"/>
      <c r="E14" s="188"/>
      <c r="F14" s="188"/>
      <c r="G14" s="188"/>
      <c r="H14" s="285"/>
      <c r="I14" s="286"/>
      <c r="J14" s="284"/>
      <c r="U14" s="55" t="s">
        <v>9</v>
      </c>
      <c r="W14" s="231">
        <f>+W13+W12</f>
        <v>-15592</v>
      </c>
      <c r="X14" s="224">
        <f>+X13+X12</f>
        <v>220423</v>
      </c>
      <c r="Y14" s="224">
        <f>+Y13+Y12</f>
        <v>271590</v>
      </c>
      <c r="Z14" s="224">
        <f>+Z13+Z12</f>
        <v>283820</v>
      </c>
      <c r="AA14" s="224">
        <f>+AA13+AA12</f>
        <v>288015</v>
      </c>
    </row>
    <row r="15" spans="1:27" ht="14.7" thickBot="1">
      <c r="A15" s="287"/>
      <c r="B15" s="39"/>
      <c r="C15" s="39"/>
      <c r="D15" s="39"/>
      <c r="E15" s="39"/>
      <c r="F15" s="39"/>
      <c r="G15" s="39"/>
      <c r="H15" s="39"/>
      <c r="I15" s="39"/>
      <c r="J15" s="264"/>
      <c r="K15" s="264"/>
      <c r="U15" s="55" t="s">
        <v>278</v>
      </c>
      <c r="W15" s="237">
        <f>+'Historical Analysis'!C16</f>
        <v>48489</v>
      </c>
      <c r="X15" s="220">
        <f>+'Historical Analysis'!D16</f>
        <v>124785</v>
      </c>
      <c r="Y15" s="220">
        <f>+'Historical Analysis'!E16</f>
        <v>140968</v>
      </c>
      <c r="Z15" s="220">
        <f>+'Historical Analysis'!F16</f>
        <v>152855</v>
      </c>
      <c r="AA15" s="220">
        <f>+'Historical Analysis'!G16</f>
        <v>127771</v>
      </c>
    </row>
    <row r="16" spans="1:27" ht="14.7" thickBot="1">
      <c r="U16" s="55" t="s">
        <v>11</v>
      </c>
      <c r="W16" s="232">
        <f>+W14-W15</f>
        <v>-64081</v>
      </c>
      <c r="X16" s="60">
        <f>+X14-X15</f>
        <v>95638</v>
      </c>
      <c r="Y16" s="60">
        <f>+Y14-Y15</f>
        <v>130622</v>
      </c>
      <c r="Z16" s="60">
        <f>+Z14-Z15</f>
        <v>130965</v>
      </c>
      <c r="AA16" s="60">
        <f>+AA14-AA15</f>
        <v>160244</v>
      </c>
    </row>
    <row r="17" spans="1:27" ht="15.7" thickTop="1">
      <c r="A17" s="324" t="s">
        <v>104</v>
      </c>
      <c r="B17" s="325"/>
      <c r="C17" s="308"/>
      <c r="D17" s="308"/>
      <c r="E17" s="308"/>
      <c r="F17" s="308"/>
      <c r="G17" s="308"/>
      <c r="H17" s="308"/>
      <c r="I17" s="308"/>
      <c r="U17" s="55" t="s">
        <v>114</v>
      </c>
      <c r="W17" s="56">
        <v>103329.27324401138</v>
      </c>
    </row>
    <row r="18" spans="1:27" ht="14.7" customHeight="1" thickBot="1">
      <c r="U18" s="55" t="s">
        <v>115</v>
      </c>
      <c r="W18" s="70">
        <f>+W16/W17</f>
        <v>-0.62016307662082515</v>
      </c>
      <c r="X18" s="64"/>
      <c r="Y18" s="64"/>
      <c r="Z18" s="64"/>
      <c r="AA18" s="64"/>
    </row>
    <row r="19" spans="1:27" ht="39" thickBot="1">
      <c r="A19" s="329" t="s">
        <v>119</v>
      </c>
      <c r="B19" s="330" t="s">
        <v>120</v>
      </c>
      <c r="C19" s="331" t="s">
        <v>121</v>
      </c>
      <c r="D19" s="331" t="s">
        <v>122</v>
      </c>
      <c r="E19" s="331" t="s">
        <v>123</v>
      </c>
      <c r="F19" s="332" t="s">
        <v>124</v>
      </c>
      <c r="G19" s="333" t="s">
        <v>125</v>
      </c>
      <c r="H19" s="319" t="s">
        <v>126</v>
      </c>
      <c r="U19" s="52" t="s">
        <v>103</v>
      </c>
      <c r="V19" s="52"/>
      <c r="W19" s="53">
        <f>+W5</f>
        <v>44012</v>
      </c>
      <c r="X19" s="54">
        <v>43830</v>
      </c>
      <c r="Y19" s="54">
        <v>43465</v>
      </c>
      <c r="Z19" s="54">
        <v>43100</v>
      </c>
      <c r="AA19" s="54">
        <v>42735</v>
      </c>
    </row>
    <row r="20" spans="1:27" ht="20" hidden="1" customHeight="1">
      <c r="A20" s="71" t="s">
        <v>127</v>
      </c>
      <c r="B20" s="72" t="s">
        <v>128</v>
      </c>
      <c r="C20" s="73">
        <v>64.37</v>
      </c>
      <c r="D20" s="74">
        <v>32.695999999999998</v>
      </c>
      <c r="E20" s="75">
        <v>2104.6415200000001</v>
      </c>
      <c r="F20" s="76">
        <v>328.71</v>
      </c>
      <c r="G20" s="77"/>
      <c r="H20" s="78">
        <v>2433.3515200000002</v>
      </c>
      <c r="W20" s="79"/>
    </row>
    <row r="21" spans="1:27" ht="30" hidden="1" customHeight="1">
      <c r="A21" s="80" t="s">
        <v>129</v>
      </c>
      <c r="B21" s="81" t="s">
        <v>130</v>
      </c>
      <c r="C21" s="82">
        <v>30.76</v>
      </c>
      <c r="D21" s="83">
        <v>74.518000000000001</v>
      </c>
      <c r="E21" s="75">
        <v>2292.1736800000003</v>
      </c>
      <c r="F21" s="84">
        <v>402.1</v>
      </c>
      <c r="G21" s="85"/>
      <c r="H21" s="86">
        <v>2694.2736800000002</v>
      </c>
      <c r="W21" s="79"/>
    </row>
    <row r="22" spans="1:27" ht="15.75" hidden="1" customHeight="1">
      <c r="A22" s="80" t="s">
        <v>131</v>
      </c>
      <c r="B22" s="81" t="s">
        <v>132</v>
      </c>
      <c r="C22" s="82">
        <v>24.35</v>
      </c>
      <c r="D22" s="83">
        <v>380.96499999999997</v>
      </c>
      <c r="E22" s="75">
        <v>9276.4977500000005</v>
      </c>
      <c r="F22" s="84">
        <v>3647</v>
      </c>
      <c r="G22" s="85"/>
      <c r="H22" s="86">
        <v>12923.49775</v>
      </c>
      <c r="W22" s="79"/>
    </row>
    <row r="23" spans="1:27" ht="30" hidden="1" customHeight="1">
      <c r="A23" s="80" t="s">
        <v>133</v>
      </c>
      <c r="B23" s="81" t="s">
        <v>134</v>
      </c>
      <c r="C23" s="82">
        <v>23.6</v>
      </c>
      <c r="D23" s="83">
        <v>5.2530000000000001</v>
      </c>
      <c r="E23" s="75">
        <v>123.97080000000001</v>
      </c>
      <c r="F23" s="84">
        <v>765.2</v>
      </c>
      <c r="G23" s="85"/>
      <c r="H23" s="86">
        <v>889.1708000000001</v>
      </c>
      <c r="W23" s="79"/>
    </row>
    <row r="24" spans="1:27" ht="20" hidden="1" customHeight="1">
      <c r="A24" s="80" t="s">
        <v>135</v>
      </c>
      <c r="B24" s="81" t="s">
        <v>136</v>
      </c>
      <c r="C24" s="82">
        <v>8.52</v>
      </c>
      <c r="D24" s="83">
        <v>201.8</v>
      </c>
      <c r="E24" s="75">
        <v>1719.336</v>
      </c>
      <c r="F24" s="84">
        <v>925.61</v>
      </c>
      <c r="G24" s="85"/>
      <c r="H24" s="86">
        <v>2644.9459999999999</v>
      </c>
      <c r="W24" s="79"/>
    </row>
    <row r="25" spans="1:27" ht="20" hidden="1" customHeight="1">
      <c r="A25" s="80" t="s">
        <v>137</v>
      </c>
      <c r="B25" s="82" t="s">
        <v>138</v>
      </c>
      <c r="C25" s="82">
        <v>19.920000000000002</v>
      </c>
      <c r="D25" s="83">
        <v>21.282</v>
      </c>
      <c r="E25" s="75">
        <v>423.93744000000004</v>
      </c>
      <c r="F25" s="84">
        <v>198.43</v>
      </c>
      <c r="G25" s="85"/>
      <c r="H25" s="86">
        <v>622.36743999999999</v>
      </c>
      <c r="W25" s="79"/>
    </row>
    <row r="26" spans="1:27" ht="20" hidden="1" customHeight="1">
      <c r="A26" s="80" t="s">
        <v>139</v>
      </c>
      <c r="B26" s="82" t="s">
        <v>140</v>
      </c>
      <c r="C26" s="82">
        <v>67.510000000000005</v>
      </c>
      <c r="D26" s="83">
        <v>216.71100000000001</v>
      </c>
      <c r="E26" s="75">
        <v>14630.159610000002</v>
      </c>
      <c r="F26" s="84">
        <v>1325</v>
      </c>
      <c r="G26" s="85"/>
      <c r="H26" s="86">
        <v>15955.159610000002</v>
      </c>
      <c r="W26" s="79"/>
    </row>
    <row r="27" spans="1:27" ht="20" hidden="1" customHeight="1">
      <c r="A27" s="80" t="s">
        <v>141</v>
      </c>
      <c r="B27" s="87" t="s">
        <v>142</v>
      </c>
      <c r="C27" s="82">
        <v>28.92</v>
      </c>
      <c r="D27" s="83">
        <v>31.791</v>
      </c>
      <c r="E27" s="75">
        <v>919.3957200000001</v>
      </c>
      <c r="F27" s="84">
        <v>626.63</v>
      </c>
      <c r="G27" s="85"/>
      <c r="H27" s="86">
        <v>1546.0257200000001</v>
      </c>
      <c r="W27" s="79"/>
    </row>
    <row r="28" spans="1:27" ht="15.75" customHeight="1">
      <c r="A28" s="80" t="str">
        <f>+A1</f>
        <v>EXTENDED STAY AMERICA</v>
      </c>
      <c r="B28" s="88" t="s">
        <v>631</v>
      </c>
      <c r="C28" s="88">
        <f>+'Equity Return'!E12</f>
        <v>21</v>
      </c>
      <c r="D28" s="89">
        <f>+'Equity Return'!I12*1000</f>
        <v>177560</v>
      </c>
      <c r="E28" s="90">
        <f>+D28*C28</f>
        <v>3728760</v>
      </c>
      <c r="F28" s="91">
        <f>+'Equity Return'!G13</f>
        <v>2683622</v>
      </c>
      <c r="G28" s="91">
        <f>+'Historical Analysis'!C26</f>
        <v>396770</v>
      </c>
      <c r="H28" s="92">
        <f>+E28+F28-G28</f>
        <v>6015612</v>
      </c>
      <c r="U28" t="s">
        <v>145</v>
      </c>
      <c r="W28" s="93">
        <f>+'Historical Analysis'!C24</f>
        <v>396770</v>
      </c>
      <c r="X28" s="63">
        <f>+'Historical Analysis'!D24</f>
        <v>346812</v>
      </c>
      <c r="Y28" s="63">
        <f>+'Historical Analysis'!E24</f>
        <v>287458</v>
      </c>
      <c r="Z28" s="63">
        <f>+'Historical Analysis'!F24</f>
        <v>113343</v>
      </c>
      <c r="AA28" s="63">
        <f>+'Historical Analysis'!G24</f>
        <v>84158</v>
      </c>
    </row>
    <row r="29" spans="1:27" ht="14.7" thickBot="1">
      <c r="U29" s="94" t="s">
        <v>29</v>
      </c>
      <c r="V29" s="230"/>
      <c r="W29" s="95">
        <f>+'Historical Analysis'!C40</f>
        <v>4089149</v>
      </c>
      <c r="X29" s="96">
        <f>+'Historical Analysis'!D40</f>
        <v>4030596</v>
      </c>
      <c r="Y29" s="96">
        <f>+'Historical Analysis'!E40</f>
        <v>3924210</v>
      </c>
      <c r="Z29" s="96">
        <f>+'Historical Analysis'!F40</f>
        <v>4076005</v>
      </c>
      <c r="AA29" s="96">
        <f>+'Historical Analysis'!G40</f>
        <v>4180304</v>
      </c>
    </row>
    <row r="30" spans="1:27" ht="15.7" thickTop="1">
      <c r="A30" s="324" t="s">
        <v>106</v>
      </c>
      <c r="B30" s="308"/>
      <c r="C30" s="308"/>
      <c r="D30" s="308"/>
      <c r="E30" s="308"/>
      <c r="F30" s="308"/>
      <c r="G30" s="308"/>
      <c r="H30" s="326"/>
      <c r="I30" s="326"/>
      <c r="U30" t="s">
        <v>146</v>
      </c>
      <c r="W30" s="93">
        <f>+'Historical Analysis'!C35</f>
        <v>140416</v>
      </c>
      <c r="X30" s="63">
        <f>+'Historical Analysis'!D35</f>
        <v>65825</v>
      </c>
      <c r="Y30" s="63">
        <f>+'Historical Analysis'!E35</f>
        <v>66258</v>
      </c>
      <c r="Z30" s="63">
        <f>+'Historical Analysis'!F35</f>
        <v>66285</v>
      </c>
      <c r="AA30" s="63">
        <f>+'Historical Analysis'!G35</f>
        <v>50101</v>
      </c>
    </row>
    <row r="31" spans="1:27" ht="15.35">
      <c r="A31" s="97"/>
      <c r="H31" s="68"/>
      <c r="U31" t="s">
        <v>41</v>
      </c>
      <c r="W31" s="93">
        <f>+'Historical Analysis'!C55</f>
        <v>2951706</v>
      </c>
      <c r="X31" s="63">
        <f>+'Historical Analysis'!D55</f>
        <v>2854326</v>
      </c>
      <c r="Y31" s="63">
        <f>+'Historical Analysis'!E55</f>
        <v>2613571</v>
      </c>
      <c r="Z31" s="63">
        <f>+'Historical Analysis'!F55</f>
        <v>2730158</v>
      </c>
      <c r="AA31" s="63">
        <f>+'Historical Analysis'!G55</f>
        <v>2803065</v>
      </c>
    </row>
    <row r="32" spans="1:27" ht="16.5" customHeight="1">
      <c r="A32" s="98" t="s">
        <v>147</v>
      </c>
      <c r="B32" s="1"/>
      <c r="D32" s="98" t="s">
        <v>148</v>
      </c>
      <c r="E32" s="1"/>
      <c r="U32" t="s">
        <v>43</v>
      </c>
      <c r="W32" s="93">
        <f>+W29-W31</f>
        <v>1137443</v>
      </c>
      <c r="X32" s="63">
        <f>+X29-X31</f>
        <v>1176270</v>
      </c>
      <c r="Y32" s="63">
        <f>+Y29-Y31</f>
        <v>1310639</v>
      </c>
      <c r="Z32" s="63">
        <f>+Z29-Z31</f>
        <v>1345847</v>
      </c>
      <c r="AA32" s="63">
        <f>+AA29-AA31</f>
        <v>1377239</v>
      </c>
    </row>
    <row r="33" spans="1:28" ht="16.5" customHeight="1">
      <c r="A33" s="1" t="s">
        <v>149</v>
      </c>
      <c r="B33" s="289">
        <v>0.01</v>
      </c>
      <c r="D33" s="1" t="s">
        <v>150</v>
      </c>
      <c r="E33" s="271">
        <v>0</v>
      </c>
      <c r="W33" s="63"/>
      <c r="X33" s="63"/>
      <c r="Y33" s="63"/>
      <c r="Z33" s="63"/>
      <c r="AA33" s="63"/>
    </row>
    <row r="34" spans="1:28" ht="16.5" customHeight="1">
      <c r="A34" s="1" t="s">
        <v>151</v>
      </c>
      <c r="B34" s="348">
        <v>1.95</v>
      </c>
      <c r="D34" s="1" t="s">
        <v>152</v>
      </c>
      <c r="E34" s="271">
        <v>1.64</v>
      </c>
      <c r="F34" s="100" t="s">
        <v>153</v>
      </c>
      <c r="U34" s="48" t="s">
        <v>154</v>
      </c>
      <c r="V34" s="48"/>
      <c r="W34" s="49" t="s">
        <v>96</v>
      </c>
      <c r="X34" s="50"/>
      <c r="Y34" s="50"/>
      <c r="Z34" s="50"/>
      <c r="AA34" s="50"/>
    </row>
    <row r="35" spans="1:28" ht="16.5" customHeight="1" thickBot="1">
      <c r="A35" s="1" t="s">
        <v>155</v>
      </c>
      <c r="B35" s="289">
        <v>8.5000000000000006E-2</v>
      </c>
      <c r="D35" s="1" t="s">
        <v>156</v>
      </c>
      <c r="E35" s="271">
        <v>22</v>
      </c>
      <c r="F35" s="100" t="s">
        <v>157</v>
      </c>
      <c r="U35" s="52" t="s">
        <v>103</v>
      </c>
      <c r="V35" s="52"/>
      <c r="W35" s="53">
        <f>+W19</f>
        <v>44012</v>
      </c>
      <c r="X35" s="54">
        <v>43830</v>
      </c>
      <c r="Y35" s="54">
        <v>43465</v>
      </c>
      <c r="Z35" s="54">
        <v>43100</v>
      </c>
      <c r="AA35" s="54">
        <v>42735</v>
      </c>
    </row>
    <row r="36" spans="1:28" ht="16.5" customHeight="1" thickBot="1">
      <c r="A36" s="1" t="s">
        <v>158</v>
      </c>
      <c r="B36" s="101">
        <f>+B35+B33</f>
        <v>9.5000000000000001E-2</v>
      </c>
      <c r="D36" s="1" t="s">
        <v>159</v>
      </c>
      <c r="E36" s="99">
        <f>+B37</f>
        <v>0.17575000000000002</v>
      </c>
      <c r="U36" s="55" t="s">
        <v>160</v>
      </c>
      <c r="W36" s="229">
        <v>-358000</v>
      </c>
      <c r="X36" s="63">
        <v>-369000</v>
      </c>
      <c r="Y36" s="63">
        <v>-297000</v>
      </c>
      <c r="Z36" s="63">
        <v>-298000</v>
      </c>
      <c r="AA36" s="63">
        <v>-211000</v>
      </c>
    </row>
    <row r="37" spans="1:28" ht="16.5" customHeight="1" thickBot="1">
      <c r="A37" s="102" t="s">
        <v>161</v>
      </c>
      <c r="B37" s="103">
        <f>+B33+B34*B35</f>
        <v>0.17575000000000002</v>
      </c>
      <c r="D37" s="360" t="s">
        <v>498</v>
      </c>
      <c r="E37" s="359">
        <f>+(E35+E33)/(1+(E36))</f>
        <v>18.711460769721452</v>
      </c>
      <c r="F37" s="100"/>
      <c r="U37" s="55" t="s">
        <v>162</v>
      </c>
      <c r="W37" s="229">
        <v>363000</v>
      </c>
      <c r="X37" s="63">
        <v>364000</v>
      </c>
      <c r="Y37" s="63">
        <v>327000</v>
      </c>
      <c r="Z37" s="63">
        <v>366000</v>
      </c>
      <c r="AA37" s="63">
        <v>342000</v>
      </c>
    </row>
    <row r="38" spans="1:28" ht="16.5" customHeight="1">
      <c r="A38" s="44"/>
      <c r="B38" s="44"/>
    </row>
    <row r="39" spans="1:28" ht="15.35">
      <c r="A39" s="324" t="s">
        <v>108</v>
      </c>
      <c r="B39" s="308"/>
      <c r="C39" s="308"/>
      <c r="D39" s="308"/>
      <c r="E39" s="308"/>
      <c r="F39" s="308"/>
      <c r="G39" s="308"/>
      <c r="H39" s="326"/>
      <c r="I39" s="326"/>
      <c r="U39" s="48" t="s">
        <v>163</v>
      </c>
      <c r="V39" s="48"/>
      <c r="W39" s="49" t="s">
        <v>96</v>
      </c>
      <c r="X39" s="50"/>
      <c r="Y39" s="50"/>
      <c r="Z39" s="50"/>
      <c r="AA39" s="50"/>
      <c r="AB39" s="48" t="s">
        <v>164</v>
      </c>
    </row>
    <row r="40" spans="1:28" ht="14.7" thickBot="1">
      <c r="U40" s="52" t="s">
        <v>103</v>
      </c>
      <c r="V40" s="52"/>
      <c r="W40" s="53">
        <f>+W19</f>
        <v>44012</v>
      </c>
      <c r="X40" s="54">
        <v>43830</v>
      </c>
      <c r="Y40" s="54">
        <v>43465</v>
      </c>
      <c r="Z40" s="54">
        <v>43100</v>
      </c>
      <c r="AA40" s="54">
        <v>42735</v>
      </c>
      <c r="AB40" s="54"/>
    </row>
    <row r="41" spans="1:28">
      <c r="A41" s="98" t="s">
        <v>165</v>
      </c>
      <c r="B41" s="1"/>
      <c r="D41" s="98" t="s">
        <v>166</v>
      </c>
      <c r="E41" s="1"/>
      <c r="U41" s="55" t="s">
        <v>167</v>
      </c>
      <c r="W41" s="104">
        <f>+W6/X6-1</f>
        <v>-0.14439357783781082</v>
      </c>
      <c r="X41" s="104">
        <f>+X6/Y6-1</f>
        <v>-4.4578329316525722E-2</v>
      </c>
      <c r="Y41" s="104">
        <f>+Y6/Z6-1</f>
        <v>-5.976339433627631E-3</v>
      </c>
      <c r="Z41" s="104">
        <f>+Z6/AA6-1</f>
        <v>9.5482975272176418E-3</v>
      </c>
      <c r="AB41" s="101">
        <f>AVERAGE(W41:AA41)</f>
        <v>-4.6349987265186632E-2</v>
      </c>
    </row>
    <row r="42" spans="1:28">
      <c r="A42" s="1" t="s">
        <v>168</v>
      </c>
      <c r="B42" s="105">
        <f>+F42</f>
        <v>0</v>
      </c>
      <c r="D42" s="1" t="s">
        <v>169</v>
      </c>
      <c r="F42" s="106">
        <f>+E33</f>
        <v>0</v>
      </c>
      <c r="G42" s="107" t="s">
        <v>170</v>
      </c>
      <c r="U42" s="55" t="s">
        <v>171</v>
      </c>
      <c r="W42" s="104">
        <f>+W7/W6</f>
        <v>0.56965450017077357</v>
      </c>
      <c r="X42" s="104">
        <f>+X7/X6</f>
        <v>0.49349993720340923</v>
      </c>
      <c r="Y42" s="104">
        <f>+Y7/Y6</f>
        <v>0.46762228257672783</v>
      </c>
      <c r="Z42" s="104">
        <f>+Z7/Z6</f>
        <v>0.45648521701845679</v>
      </c>
      <c r="AA42" s="104">
        <f>+AA7/AA6</f>
        <v>0.4570873599964741</v>
      </c>
      <c r="AB42" s="101">
        <f>AVERAGE(W42:AA42)</f>
        <v>0.48886985939316829</v>
      </c>
    </row>
    <row r="43" spans="1:28">
      <c r="A43" s="1" t="s">
        <v>172</v>
      </c>
      <c r="B43" s="99">
        <f>+B37</f>
        <v>0.17575000000000002</v>
      </c>
      <c r="D43" s="1" t="s">
        <v>173</v>
      </c>
      <c r="F43" s="105">
        <f>+F44+F42</f>
        <v>21</v>
      </c>
      <c r="U43" s="55" t="s">
        <v>174</v>
      </c>
      <c r="W43" s="104">
        <f>+W9/W6</f>
        <v>0.28607255381285523</v>
      </c>
      <c r="X43" s="104">
        <f>+X9/X6</f>
        <v>0.24012349175312486</v>
      </c>
      <c r="Y43" s="104">
        <f>+Y9/Y6</f>
        <v>0.2350902977822987</v>
      </c>
      <c r="Z43" s="104">
        <f>+Z9/Z6</f>
        <v>0.25017755169658346</v>
      </c>
      <c r="AA43" s="104">
        <f>+AA9/AA6</f>
        <v>0.25132280753947173</v>
      </c>
      <c r="AB43" s="101">
        <f>AVERAGE(W43:AA43)</f>
        <v>0.25255734051686679</v>
      </c>
    </row>
    <row r="44" spans="1:28" ht="14.7" thickBot="1">
      <c r="A44" s="1" t="s">
        <v>175</v>
      </c>
      <c r="B44" s="289">
        <v>0.1</v>
      </c>
      <c r="D44" s="1" t="s">
        <v>176</v>
      </c>
      <c r="F44" s="108">
        <f>+C28</f>
        <v>21</v>
      </c>
      <c r="U44" s="55" t="s">
        <v>177</v>
      </c>
      <c r="W44" s="104">
        <f>+W37/W6</f>
        <v>0.3482629068343957</v>
      </c>
      <c r="X44" s="104">
        <f>+X37/X6</f>
        <v>0.29879685015584223</v>
      </c>
      <c r="Y44" s="104">
        <f>+Y37/Y6</f>
        <v>0.25645872073370723</v>
      </c>
      <c r="Z44" s="104">
        <f>+Z37/Z6</f>
        <v>0.28533005905396713</v>
      </c>
      <c r="AA44" s="104">
        <f>+AA37/AA6</f>
        <v>0.26916565729545183</v>
      </c>
      <c r="AB44" s="101">
        <f>AVERAGE(W44:AA44)</f>
        <v>0.2916028388146728</v>
      </c>
    </row>
    <row r="45" spans="1:28" ht="14.7" thickBot="1">
      <c r="A45" s="360" t="s">
        <v>499</v>
      </c>
      <c r="B45" s="359">
        <f>+(B42*(1+B44))/(B43-B44)</f>
        <v>0</v>
      </c>
      <c r="D45" s="68" t="s">
        <v>178</v>
      </c>
      <c r="F45" s="109">
        <f>+(F42+(F43-F44))/F44</f>
        <v>0</v>
      </c>
      <c r="U45" s="55" t="s">
        <v>179</v>
      </c>
      <c r="W45" s="104">
        <f>-W36/W6</f>
        <v>0.34346589709838476</v>
      </c>
      <c r="X45" s="104">
        <f>-X36/X6</f>
        <v>0.30290120249314778</v>
      </c>
      <c r="Y45" s="104">
        <f>-Y36/Y6</f>
        <v>0.23293039773061483</v>
      </c>
      <c r="Z45" s="104">
        <f>-Z36/Z6</f>
        <v>0.23231791693465084</v>
      </c>
      <c r="AA45" s="104">
        <f>-AA36/AA6</f>
        <v>0.16606419207409454</v>
      </c>
      <c r="AB45" s="101">
        <f>AVERAGE(W45:AA45)</f>
        <v>0.25553592126617858</v>
      </c>
    </row>
    <row r="46" spans="1:28" ht="18" customHeight="1">
      <c r="A46" s="44"/>
      <c r="B46" s="44"/>
      <c r="W46" s="55"/>
    </row>
    <row r="47" spans="1:28" ht="15.35">
      <c r="A47" s="324" t="s">
        <v>110</v>
      </c>
      <c r="B47" s="308"/>
      <c r="C47" s="308"/>
      <c r="D47" s="308"/>
      <c r="E47" s="308"/>
      <c r="F47" s="308"/>
      <c r="G47" s="308"/>
      <c r="H47" s="308"/>
      <c r="I47" s="308"/>
      <c r="J47" s="308"/>
      <c r="K47" s="308"/>
      <c r="L47" s="308"/>
      <c r="M47" s="308"/>
      <c r="N47" s="308"/>
    </row>
    <row r="48" spans="1:28" ht="8.25" customHeight="1">
      <c r="A48" s="110"/>
      <c r="L48" s="55"/>
    </row>
    <row r="49" spans="1:14" ht="14" customHeight="1" thickBot="1">
      <c r="A49" s="68"/>
      <c r="C49" s="44"/>
      <c r="D49" s="44"/>
      <c r="E49" s="44"/>
      <c r="F49" s="44"/>
      <c r="G49" s="44"/>
      <c r="L49" s="55"/>
      <c r="M49" s="541" t="s">
        <v>503</v>
      </c>
      <c r="N49" s="541"/>
    </row>
    <row r="50" spans="1:14" ht="57.7" customHeight="1" thickBot="1">
      <c r="A50" s="329" t="s">
        <v>119</v>
      </c>
      <c r="B50" s="330" t="s">
        <v>120</v>
      </c>
      <c r="C50" s="334" t="s">
        <v>182</v>
      </c>
      <c r="D50" s="331" t="s">
        <v>122</v>
      </c>
      <c r="E50" s="331" t="s">
        <v>183</v>
      </c>
      <c r="F50" s="332" t="s">
        <v>124</v>
      </c>
      <c r="G50" s="333" t="s">
        <v>125</v>
      </c>
      <c r="H50" s="319" t="s">
        <v>126</v>
      </c>
      <c r="I50" s="353" t="s">
        <v>496</v>
      </c>
      <c r="J50" s="319" t="s">
        <v>184</v>
      </c>
      <c r="K50" s="333" t="s">
        <v>185</v>
      </c>
      <c r="L50" s="55"/>
      <c r="M50" s="335" t="s">
        <v>291</v>
      </c>
      <c r="N50" s="319" t="s">
        <v>493</v>
      </c>
    </row>
    <row r="51" spans="1:14" ht="15.6" customHeight="1">
      <c r="A51" s="71" t="s">
        <v>127</v>
      </c>
      <c r="B51" s="111" t="s">
        <v>128</v>
      </c>
      <c r="C51" s="112">
        <v>109.84</v>
      </c>
      <c r="D51" s="113">
        <v>55460</v>
      </c>
      <c r="E51" s="114">
        <f t="shared" ref="E51:E58" si="0">+D51*C51</f>
        <v>6091726.4000000004</v>
      </c>
      <c r="F51" s="115">
        <v>1080000</v>
      </c>
      <c r="G51" s="116">
        <v>234780</v>
      </c>
      <c r="H51" s="117">
        <f t="shared" ref="H51:H58" si="1">+E51+F51-G51</f>
        <v>6936946.4000000004</v>
      </c>
      <c r="I51" s="354">
        <v>355740</v>
      </c>
      <c r="J51" s="118">
        <f t="shared" ref="J51:J58" si="2">+H51/I51</f>
        <v>19.500046101085061</v>
      </c>
      <c r="K51" s="119">
        <v>1.35</v>
      </c>
      <c r="L51" s="55"/>
      <c r="M51" s="273">
        <v>-0.52200000000000002</v>
      </c>
      <c r="N51" s="350">
        <v>178290</v>
      </c>
    </row>
    <row r="52" spans="1:14" ht="15.6" customHeight="1">
      <c r="A52" s="71" t="s">
        <v>186</v>
      </c>
      <c r="B52" s="111" t="s">
        <v>132</v>
      </c>
      <c r="C52" s="112">
        <v>121.65</v>
      </c>
      <c r="D52" s="113">
        <v>277450</v>
      </c>
      <c r="E52" s="114">
        <f t="shared" si="0"/>
        <v>33751792.5</v>
      </c>
      <c r="F52" s="115">
        <v>11700000</v>
      </c>
      <c r="G52" s="116">
        <v>3220000</v>
      </c>
      <c r="H52" s="117">
        <f t="shared" si="1"/>
        <v>42231792.5</v>
      </c>
      <c r="I52" s="354">
        <v>1790000</v>
      </c>
      <c r="J52" s="118">
        <f t="shared" si="2"/>
        <v>23.593180167597765</v>
      </c>
      <c r="K52" s="119">
        <v>1.3</v>
      </c>
      <c r="L52" s="55"/>
      <c r="M52" s="273">
        <v>-0.82499999999999996</v>
      </c>
      <c r="N52" s="350">
        <v>377000</v>
      </c>
    </row>
    <row r="53" spans="1:14" ht="15.6" customHeight="1">
      <c r="A53" s="71" t="s">
        <v>143</v>
      </c>
      <c r="B53" s="111" t="s">
        <v>144</v>
      </c>
      <c r="C53" s="112">
        <f>+'Equity Return'!E12</f>
        <v>21</v>
      </c>
      <c r="D53" s="113">
        <f>+'Equity Return'!I12*1000</f>
        <v>177560</v>
      </c>
      <c r="E53" s="114">
        <f>+D53*C53</f>
        <v>3728760</v>
      </c>
      <c r="F53" s="115">
        <f>+'Equity Return'!G13</f>
        <v>2683622</v>
      </c>
      <c r="G53" s="116">
        <f>+'Historical Analysis'!C26</f>
        <v>396770</v>
      </c>
      <c r="H53" s="117">
        <f>+F53+E53-G53</f>
        <v>6015612</v>
      </c>
      <c r="I53" s="354">
        <f>+Projections!K34</f>
        <v>521905</v>
      </c>
      <c r="J53" s="118">
        <f>+H53/I53</f>
        <v>11.526258610283481</v>
      </c>
      <c r="K53" s="119" t="str">
        <f>+B27</f>
        <v>OEH</v>
      </c>
      <c r="L53" s="55"/>
      <c r="M53" s="273">
        <v>-0.94799999999999995</v>
      </c>
    </row>
    <row r="54" spans="1:14" ht="15.6" customHeight="1">
      <c r="A54" s="71" t="s">
        <v>187</v>
      </c>
      <c r="B54" s="111" t="s">
        <v>188</v>
      </c>
      <c r="C54" s="112">
        <v>69.97</v>
      </c>
      <c r="D54" s="113">
        <v>183220</v>
      </c>
      <c r="E54" s="114">
        <f t="shared" si="0"/>
        <v>12819903.4</v>
      </c>
      <c r="F54" s="115">
        <v>4240000</v>
      </c>
      <c r="G54" s="116">
        <v>1680000</v>
      </c>
      <c r="H54" s="117">
        <f t="shared" si="1"/>
        <v>15379903.399999999</v>
      </c>
      <c r="I54" s="354">
        <v>883000</v>
      </c>
      <c r="J54" s="118">
        <f t="shared" si="2"/>
        <v>17.417784144960361</v>
      </c>
      <c r="K54" s="119">
        <v>1.02</v>
      </c>
      <c r="L54" s="55"/>
      <c r="M54" s="273">
        <v>-0.48299999999999998</v>
      </c>
      <c r="N54" s="351">
        <v>259000</v>
      </c>
    </row>
    <row r="55" spans="1:14" ht="15.6" customHeight="1">
      <c r="A55" s="71" t="s">
        <v>137</v>
      </c>
      <c r="B55" s="111" t="s">
        <v>138</v>
      </c>
      <c r="C55" s="112">
        <v>20.25</v>
      </c>
      <c r="D55" s="113">
        <v>24710</v>
      </c>
      <c r="E55" s="114">
        <f t="shared" si="0"/>
        <v>500377.5</v>
      </c>
      <c r="F55" s="115">
        <v>564940</v>
      </c>
      <c r="G55" s="116">
        <v>8160</v>
      </c>
      <c r="H55" s="117">
        <f t="shared" si="1"/>
        <v>1057157.5</v>
      </c>
      <c r="I55" s="354">
        <v>125050</v>
      </c>
      <c r="J55" s="118">
        <f t="shared" si="2"/>
        <v>8.4538784486205518</v>
      </c>
      <c r="K55" s="119">
        <v>1.5</v>
      </c>
      <c r="L55" s="55"/>
      <c r="M55" s="273">
        <v>-0.97299999999999998</v>
      </c>
      <c r="N55" s="351">
        <v>-88010</v>
      </c>
    </row>
    <row r="56" spans="1:14" ht="15.6" customHeight="1">
      <c r="A56" s="80" t="s">
        <v>139</v>
      </c>
      <c r="B56" s="125" t="s">
        <v>140</v>
      </c>
      <c r="C56" s="120">
        <v>148.27000000000001</v>
      </c>
      <c r="D56" s="121">
        <v>324410</v>
      </c>
      <c r="E56" s="114">
        <f>+D56*C56</f>
        <v>48100270.700000003</v>
      </c>
      <c r="F56" s="122">
        <v>11350000</v>
      </c>
      <c r="G56" s="123">
        <v>877000</v>
      </c>
      <c r="H56" s="117">
        <f>+E56+F56-G56</f>
        <v>58573270.700000003</v>
      </c>
      <c r="I56" s="355">
        <v>2300000</v>
      </c>
      <c r="J56" s="118">
        <f t="shared" si="2"/>
        <v>25.466639434782611</v>
      </c>
      <c r="K56" s="124">
        <v>1.9</v>
      </c>
      <c r="L56" s="55"/>
      <c r="M56" s="273">
        <v>-0.81299999999999994</v>
      </c>
      <c r="N56" s="351">
        <v>886000</v>
      </c>
    </row>
    <row r="57" spans="1:14" ht="15.6" customHeight="1">
      <c r="A57" s="80" t="s">
        <v>189</v>
      </c>
      <c r="B57" s="125" t="s">
        <v>190</v>
      </c>
      <c r="C57" s="120">
        <v>21.82</v>
      </c>
      <c r="D57" s="121">
        <v>236360</v>
      </c>
      <c r="E57" s="114">
        <f t="shared" si="0"/>
        <v>5157375.2</v>
      </c>
      <c r="F57" s="122">
        <v>5370000</v>
      </c>
      <c r="G57" s="123">
        <v>951000</v>
      </c>
      <c r="H57" s="117">
        <f t="shared" si="1"/>
        <v>9576375.1999999993</v>
      </c>
      <c r="I57" s="355">
        <v>615000</v>
      </c>
      <c r="J57" s="118">
        <f t="shared" si="2"/>
        <v>15.571341788617884</v>
      </c>
      <c r="K57" s="124">
        <v>1.9</v>
      </c>
      <c r="L57" s="55"/>
      <c r="M57" s="273">
        <v>-0.95199999999999996</v>
      </c>
      <c r="N57" s="351">
        <v>-280000</v>
      </c>
    </row>
    <row r="58" spans="1:14" ht="15.35" customHeight="1" thickBot="1">
      <c r="A58" s="126" t="s">
        <v>191</v>
      </c>
      <c r="B58" s="127" t="s">
        <v>192</v>
      </c>
      <c r="C58" s="128">
        <v>128.1</v>
      </c>
      <c r="D58" s="129">
        <v>115640</v>
      </c>
      <c r="E58" s="130">
        <f t="shared" si="0"/>
        <v>14813484</v>
      </c>
      <c r="F58" s="131">
        <v>13290000</v>
      </c>
      <c r="G58" s="132">
        <v>3480000</v>
      </c>
      <c r="H58" s="133">
        <f t="shared" si="1"/>
        <v>24623484</v>
      </c>
      <c r="I58" s="356">
        <v>1070000</v>
      </c>
      <c r="J58" s="134">
        <f t="shared" si="2"/>
        <v>23.012601869158878</v>
      </c>
      <c r="K58" s="135">
        <v>2.34</v>
      </c>
      <c r="L58" s="55"/>
      <c r="M58" s="273">
        <v>-0.94799999999999995</v>
      </c>
      <c r="N58" s="352">
        <v>-461730</v>
      </c>
    </row>
    <row r="59" spans="1:14" ht="9.4499999999999993" customHeight="1" thickBot="1">
      <c r="K59" s="136"/>
      <c r="L59" s="55"/>
      <c r="M59" s="55"/>
    </row>
    <row r="60" spans="1:14" ht="15.6" customHeight="1" thickBot="1">
      <c r="A60" s="137"/>
      <c r="B60" s="138"/>
      <c r="C60" s="139"/>
      <c r="D60" s="140"/>
      <c r="E60" s="140"/>
      <c r="F60" s="141"/>
      <c r="G60" s="142"/>
      <c r="H60" s="143"/>
      <c r="I60" s="357"/>
      <c r="J60" s="144"/>
      <c r="K60" s="290"/>
      <c r="L60" s="55"/>
      <c r="M60" s="273"/>
    </row>
    <row r="61" spans="1:14">
      <c r="A61" s="68"/>
      <c r="C61" s="63"/>
      <c r="D61" s="63"/>
      <c r="J61" s="145"/>
    </row>
    <row r="62" spans="1:14">
      <c r="A62" s="68" t="s">
        <v>193</v>
      </c>
      <c r="B62" s="64">
        <f>+Projections!K34</f>
        <v>521905</v>
      </c>
      <c r="C62" s="146">
        <f>+J62</f>
        <v>11.526258610283481</v>
      </c>
      <c r="D62" s="47" t="s">
        <v>494</v>
      </c>
      <c r="I62" s="68" t="s">
        <v>194</v>
      </c>
      <c r="J62" s="147">
        <f>+J53</f>
        <v>11.526258610283481</v>
      </c>
      <c r="K62" s="147">
        <f>AVERAGE(K51:K60)</f>
        <v>1.6157142857142859</v>
      </c>
      <c r="L62" s="147"/>
    </row>
    <row r="63" spans="1:14" ht="14.7" thickBot="1">
      <c r="A63" s="68"/>
      <c r="E63" s="68"/>
      <c r="F63" s="147"/>
      <c r="G63" s="147"/>
    </row>
    <row r="64" spans="1:14" ht="14.7" thickBot="1">
      <c r="A64" s="361" t="s">
        <v>634</v>
      </c>
      <c r="B64" s="362">
        <f>+B62*C62</f>
        <v>6015612</v>
      </c>
      <c r="C64" s="46" t="s">
        <v>497</v>
      </c>
      <c r="D64" s="358">
        <f>+B64/D28</f>
        <v>33.879319666591577</v>
      </c>
      <c r="E64" s="68"/>
      <c r="F64" s="147"/>
      <c r="G64" s="147"/>
      <c r="J64" s="148"/>
      <c r="K64" s="148"/>
    </row>
    <row r="66" spans="1:25" ht="15.35">
      <c r="A66" s="327" t="s">
        <v>195</v>
      </c>
      <c r="B66" s="328"/>
      <c r="C66" s="328"/>
      <c r="D66" s="328"/>
      <c r="E66" s="328"/>
      <c r="F66" s="328"/>
      <c r="G66" s="328"/>
      <c r="H66" s="328"/>
      <c r="I66" s="328"/>
      <c r="J66" s="328"/>
      <c r="K66" s="328"/>
    </row>
    <row r="67" spans="1:25" ht="4.5" customHeight="1"/>
    <row r="68" spans="1:25" ht="16.5" customHeight="1">
      <c r="B68" t="s">
        <v>117</v>
      </c>
      <c r="C68" s="349" t="s">
        <v>196</v>
      </c>
      <c r="D68" s="349" t="s">
        <v>118</v>
      </c>
      <c r="E68" s="349" t="s">
        <v>197</v>
      </c>
      <c r="F68" s="349" t="s">
        <v>198</v>
      </c>
      <c r="G68" s="349" t="s">
        <v>199</v>
      </c>
      <c r="H68" s="349" t="s">
        <v>180</v>
      </c>
      <c r="I68" s="349" t="s">
        <v>181</v>
      </c>
      <c r="X68" s="44"/>
      <c r="Y68" s="44"/>
    </row>
    <row r="69" spans="1:25" ht="11.25" customHeight="1" thickBot="1">
      <c r="C69" s="44"/>
      <c r="D69" s="44"/>
      <c r="E69" s="44"/>
      <c r="F69" s="44"/>
      <c r="G69" s="44"/>
      <c r="H69" s="102"/>
      <c r="I69" s="44"/>
      <c r="X69" s="44"/>
      <c r="Y69" s="44"/>
    </row>
    <row r="70" spans="1:25" ht="45" customHeight="1" thickBot="1">
      <c r="A70" s="336" t="s">
        <v>200</v>
      </c>
      <c r="B70" s="544" t="s">
        <v>201</v>
      </c>
      <c r="C70" s="545"/>
      <c r="D70" s="337" t="s">
        <v>202</v>
      </c>
      <c r="E70" s="338" t="s">
        <v>114</v>
      </c>
      <c r="F70" s="338" t="s">
        <v>203</v>
      </c>
      <c r="G70" s="338" t="s">
        <v>204</v>
      </c>
      <c r="H70" s="338" t="s">
        <v>205</v>
      </c>
      <c r="I70" s="338" t="s">
        <v>206</v>
      </c>
      <c r="J70" s="339" t="s">
        <v>184</v>
      </c>
    </row>
    <row r="71" spans="1:25" s="148" customFormat="1" ht="14.45" customHeight="1">
      <c r="A71" s="149" t="s">
        <v>508</v>
      </c>
      <c r="B71" s="546" t="s">
        <v>207</v>
      </c>
      <c r="C71" s="547">
        <v>19.5</v>
      </c>
      <c r="D71" s="150">
        <v>19.5</v>
      </c>
      <c r="E71" s="151">
        <v>177560000</v>
      </c>
      <c r="F71" s="152">
        <f>+E71*D71/1000000</f>
        <v>3462.42</v>
      </c>
      <c r="G71" s="153">
        <f>2700-396.77</f>
        <v>2303.23</v>
      </c>
      <c r="H71" s="152">
        <f>+G71+F71</f>
        <v>5765.65</v>
      </c>
      <c r="I71" s="152">
        <v>356.39</v>
      </c>
      <c r="J71" s="154">
        <f>+H71/I71</f>
        <v>16.177923061814305</v>
      </c>
      <c r="K71"/>
      <c r="M71" s="44"/>
      <c r="N71"/>
      <c r="O71"/>
      <c r="P71"/>
      <c r="Q71"/>
      <c r="R71"/>
      <c r="S71"/>
    </row>
    <row r="72" spans="1:25" s="148" customFormat="1" ht="14.45" customHeight="1">
      <c r="A72" s="149" t="s">
        <v>213</v>
      </c>
      <c r="B72" s="546" t="s">
        <v>507</v>
      </c>
      <c r="C72" s="547">
        <v>72.08</v>
      </c>
      <c r="D72" s="150">
        <v>72.08</v>
      </c>
      <c r="E72" s="151">
        <v>154000000</v>
      </c>
      <c r="F72" s="152">
        <f>+E72*D72/1000000</f>
        <v>11100.32</v>
      </c>
      <c r="G72" s="153">
        <v>1090</v>
      </c>
      <c r="H72" s="152">
        <f>+G72+F72</f>
        <v>12190.32</v>
      </c>
      <c r="I72" s="152">
        <v>980</v>
      </c>
      <c r="J72" s="154">
        <f>+H72/I72</f>
        <v>12.439102040816326</v>
      </c>
      <c r="K72"/>
      <c r="M72" s="44"/>
      <c r="N72"/>
      <c r="O72"/>
      <c r="P72"/>
      <c r="Q72"/>
      <c r="R72"/>
      <c r="S72"/>
    </row>
    <row r="73" spans="1:25" s="148" customFormat="1" ht="14.45" customHeight="1">
      <c r="A73" s="149" t="s">
        <v>131</v>
      </c>
      <c r="B73" s="546" t="s">
        <v>207</v>
      </c>
      <c r="C73" s="547"/>
      <c r="D73" s="150">
        <v>47.5</v>
      </c>
      <c r="E73" s="151">
        <v>390400000</v>
      </c>
      <c r="F73" s="152">
        <f>+E73*D73/1000000</f>
        <v>18544</v>
      </c>
      <c r="G73" s="153">
        <v>6180</v>
      </c>
      <c r="H73" s="152">
        <f>+F73+G73</f>
        <v>24724</v>
      </c>
      <c r="I73" s="152">
        <v>1680</v>
      </c>
      <c r="J73" s="154">
        <f t="shared" ref="J73:J85" si="3">+H73/I73</f>
        <v>14.716666666666667</v>
      </c>
      <c r="K73"/>
      <c r="M73" s="44"/>
      <c r="N73"/>
      <c r="O73"/>
      <c r="P73"/>
      <c r="Q73"/>
      <c r="R73"/>
      <c r="S73"/>
    </row>
    <row r="74" spans="1:25" s="148" customFormat="1" ht="14.45" customHeight="1">
      <c r="A74" s="149" t="s">
        <v>208</v>
      </c>
      <c r="B74" s="548" t="s">
        <v>209</v>
      </c>
      <c r="C74" s="543"/>
      <c r="D74" s="150">
        <v>82</v>
      </c>
      <c r="E74" s="151">
        <v>33078000</v>
      </c>
      <c r="F74" s="152">
        <f>+E74*D74/1000000</f>
        <v>2712.3960000000002</v>
      </c>
      <c r="G74" s="153">
        <f>273.825+4.853</f>
        <v>278.678</v>
      </c>
      <c r="H74" s="152">
        <f t="shared" ref="H74:H80" si="4">+F74+G74</f>
        <v>2991.0740000000001</v>
      </c>
      <c r="I74" s="152">
        <f>+H74/31.9</f>
        <v>93.764075235109729</v>
      </c>
      <c r="J74" s="154">
        <f t="shared" si="3"/>
        <v>31.9</v>
      </c>
      <c r="K74"/>
      <c r="M74" s="44"/>
      <c r="N74"/>
      <c r="O74"/>
      <c r="P74"/>
      <c r="Q74"/>
      <c r="R74"/>
      <c r="S74"/>
    </row>
    <row r="75" spans="1:25" s="148" customFormat="1" ht="14.45" customHeight="1">
      <c r="A75" s="155" t="s">
        <v>210</v>
      </c>
      <c r="B75" s="542" t="s">
        <v>209</v>
      </c>
      <c r="C75" s="543"/>
      <c r="D75" s="73">
        <v>45</v>
      </c>
      <c r="E75" s="114">
        <v>73335000</v>
      </c>
      <c r="F75" s="152">
        <f>+E75*D75/1000000</f>
        <v>3300.0749999999998</v>
      </c>
      <c r="G75" s="156">
        <v>123.5</v>
      </c>
      <c r="H75" s="152">
        <f t="shared" si="4"/>
        <v>3423.5749999999998</v>
      </c>
      <c r="I75" s="157">
        <v>187.2</v>
      </c>
      <c r="J75" s="158">
        <f t="shared" si="3"/>
        <v>18.288327991452991</v>
      </c>
      <c r="K75"/>
      <c r="M75" s="44"/>
      <c r="N75"/>
      <c r="O75"/>
      <c r="P75"/>
      <c r="Q75"/>
      <c r="R75"/>
      <c r="S75"/>
    </row>
    <row r="76" spans="1:25" s="148" customFormat="1" ht="14.45" customHeight="1">
      <c r="A76" s="155" t="s">
        <v>211</v>
      </c>
      <c r="B76" s="542" t="s">
        <v>212</v>
      </c>
      <c r="C76" s="543"/>
      <c r="D76" s="73"/>
      <c r="E76" s="114"/>
      <c r="F76" s="157">
        <v>5578</v>
      </c>
      <c r="G76" s="156">
        <v>0</v>
      </c>
      <c r="H76" s="152">
        <f t="shared" si="4"/>
        <v>5578</v>
      </c>
      <c r="I76" s="157">
        <v>504</v>
      </c>
      <c r="J76" s="158">
        <f t="shared" si="3"/>
        <v>11.067460317460318</v>
      </c>
      <c r="K76"/>
      <c r="M76" s="44"/>
      <c r="N76"/>
      <c r="O76"/>
      <c r="P76"/>
      <c r="Q76"/>
      <c r="R76"/>
      <c r="S76"/>
    </row>
    <row r="77" spans="1:25" s="148" customFormat="1" ht="14.45" customHeight="1">
      <c r="A77" s="159" t="s">
        <v>213</v>
      </c>
      <c r="B77" s="542" t="s">
        <v>214</v>
      </c>
      <c r="C77" s="543"/>
      <c r="D77" s="73"/>
      <c r="E77" s="114"/>
      <c r="F77" s="157"/>
      <c r="G77" s="156"/>
      <c r="H77" s="157">
        <v>4096</v>
      </c>
      <c r="I77" s="157">
        <f>+H77/13</f>
        <v>315.07692307692309</v>
      </c>
      <c r="J77" s="158">
        <f t="shared" si="3"/>
        <v>13</v>
      </c>
      <c r="K77"/>
      <c r="M77" s="44"/>
      <c r="N77"/>
      <c r="O77"/>
      <c r="P77"/>
      <c r="Q77"/>
      <c r="R77"/>
      <c r="S77"/>
    </row>
    <row r="78" spans="1:25" s="148" customFormat="1" ht="14.45" customHeight="1">
      <c r="A78" s="159" t="s">
        <v>135</v>
      </c>
      <c r="B78" s="548" t="s">
        <v>207</v>
      </c>
      <c r="C78" s="543"/>
      <c r="D78" s="73">
        <v>12.22</v>
      </c>
      <c r="E78" s="114">
        <v>203000000</v>
      </c>
      <c r="F78" s="152">
        <f>+E78*D78/1000000</f>
        <v>2480.66</v>
      </c>
      <c r="G78" s="156">
        <v>925.71</v>
      </c>
      <c r="H78" s="152">
        <f t="shared" si="4"/>
        <v>3406.37</v>
      </c>
      <c r="I78" s="157">
        <v>229.7</v>
      </c>
      <c r="J78" s="158">
        <f t="shared" si="3"/>
        <v>14.829647366129734</v>
      </c>
      <c r="K78"/>
      <c r="M78" s="44"/>
      <c r="N78"/>
      <c r="O78"/>
      <c r="P78"/>
      <c r="Q78"/>
      <c r="R78"/>
      <c r="S78"/>
    </row>
    <row r="79" spans="1:25" s="148" customFormat="1" ht="14.45" customHeight="1">
      <c r="A79" s="155" t="s">
        <v>215</v>
      </c>
      <c r="B79" s="542" t="s">
        <v>207</v>
      </c>
      <c r="C79" s="543"/>
      <c r="D79" s="73">
        <v>1.1499999999999999</v>
      </c>
      <c r="E79" s="114">
        <v>172053000</v>
      </c>
      <c r="F79" s="152">
        <f>+E79*D79/1000000</f>
        <v>197.86094999999997</v>
      </c>
      <c r="G79" s="156">
        <v>2681.96</v>
      </c>
      <c r="H79" s="152">
        <f t="shared" si="4"/>
        <v>2879.8209499999998</v>
      </c>
      <c r="I79" s="157">
        <v>275.18</v>
      </c>
      <c r="J79" s="158">
        <f t="shared" si="3"/>
        <v>10.465226215567991</v>
      </c>
      <c r="K79" s="145"/>
      <c r="M79" s="44"/>
      <c r="N79"/>
      <c r="O79"/>
      <c r="P79"/>
      <c r="Q79"/>
      <c r="R79"/>
      <c r="S79"/>
    </row>
    <row r="80" spans="1:25" s="148" customFormat="1" ht="14.45" customHeight="1">
      <c r="A80" s="155" t="s">
        <v>133</v>
      </c>
      <c r="B80" s="542" t="s">
        <v>216</v>
      </c>
      <c r="C80" s="543"/>
      <c r="D80" s="73">
        <v>24</v>
      </c>
      <c r="E80" s="114">
        <v>19583000</v>
      </c>
      <c r="F80" s="152">
        <f>+E80*D80/1000000</f>
        <v>469.99200000000002</v>
      </c>
      <c r="G80" s="156">
        <v>765.2</v>
      </c>
      <c r="H80" s="152">
        <f t="shared" si="4"/>
        <v>1235.192</v>
      </c>
      <c r="I80" s="157">
        <v>123.07</v>
      </c>
      <c r="J80" s="158">
        <f t="shared" si="3"/>
        <v>10.036499553099862</v>
      </c>
      <c r="K80" s="145"/>
      <c r="M80" s="44"/>
      <c r="N80"/>
      <c r="O80"/>
      <c r="P80"/>
      <c r="Q80"/>
      <c r="R80"/>
      <c r="S80"/>
    </row>
    <row r="81" spans="1:19" s="148" customFormat="1" ht="14.45" customHeight="1">
      <c r="A81" s="155" t="s">
        <v>217</v>
      </c>
      <c r="B81" s="542" t="s">
        <v>218</v>
      </c>
      <c r="C81" s="543"/>
      <c r="D81" s="73"/>
      <c r="E81" s="114"/>
      <c r="F81" s="157"/>
      <c r="G81" s="156"/>
      <c r="H81" s="157">
        <v>1028.9000000000001</v>
      </c>
      <c r="I81" s="157">
        <f>+H81/11.3</f>
        <v>91.053097345132741</v>
      </c>
      <c r="J81" s="158">
        <f t="shared" si="3"/>
        <v>11.3</v>
      </c>
      <c r="K81" s="145"/>
      <c r="M81" s="44"/>
      <c r="N81"/>
      <c r="O81"/>
      <c r="P81"/>
      <c r="Q81"/>
      <c r="R81"/>
      <c r="S81"/>
    </row>
    <row r="82" spans="1:19" s="148" customFormat="1" ht="14.45" customHeight="1">
      <c r="A82" s="155" t="s">
        <v>219</v>
      </c>
      <c r="B82" s="542" t="s">
        <v>220</v>
      </c>
      <c r="C82" s="543"/>
      <c r="D82" s="73"/>
      <c r="E82" s="114"/>
      <c r="F82" s="157"/>
      <c r="G82" s="156"/>
      <c r="H82" s="157">
        <v>981</v>
      </c>
      <c r="I82" s="157">
        <f>+H82/9.2</f>
        <v>106.6304347826087</v>
      </c>
      <c r="J82" s="158">
        <f t="shared" si="3"/>
        <v>9.1999999999999993</v>
      </c>
      <c r="K82" s="145"/>
      <c r="M82" s="44"/>
      <c r="N82"/>
      <c r="O82"/>
      <c r="P82"/>
      <c r="Q82"/>
      <c r="R82"/>
      <c r="S82"/>
    </row>
    <row r="83" spans="1:19" s="148" customFormat="1" ht="14.45" customHeight="1">
      <c r="A83" s="155" t="s">
        <v>221</v>
      </c>
      <c r="B83" s="542" t="s">
        <v>207</v>
      </c>
      <c r="C83" s="543"/>
      <c r="D83" s="73">
        <v>24</v>
      </c>
      <c r="E83" s="114">
        <v>40284000</v>
      </c>
      <c r="F83" s="157">
        <f>+E83*D83/1000000</f>
        <v>966.81600000000003</v>
      </c>
      <c r="G83" s="156">
        <v>217.29</v>
      </c>
      <c r="H83" s="152">
        <f>+F83+G83</f>
        <v>1184.106</v>
      </c>
      <c r="I83" s="157">
        <v>90.07</v>
      </c>
      <c r="J83" s="158">
        <f t="shared" si="3"/>
        <v>13.14650827134451</v>
      </c>
      <c r="K83" s="145"/>
      <c r="M83" s="44"/>
      <c r="N83"/>
      <c r="O83"/>
      <c r="P83"/>
      <c r="Q83"/>
      <c r="R83"/>
      <c r="S83"/>
    </row>
    <row r="84" spans="1:19" s="148" customFormat="1" ht="14.45" customHeight="1">
      <c r="A84" s="160" t="s">
        <v>222</v>
      </c>
      <c r="B84" s="542" t="s">
        <v>207</v>
      </c>
      <c r="C84" s="543"/>
      <c r="D84" s="82">
        <v>12.25</v>
      </c>
      <c r="E84" s="161">
        <v>44808000</v>
      </c>
      <c r="F84" s="162">
        <f>+E84*D84/1000000</f>
        <v>548.89800000000002</v>
      </c>
      <c r="G84" s="163">
        <v>243.6</v>
      </c>
      <c r="H84" s="152">
        <f>+F84+G84</f>
        <v>792.49800000000005</v>
      </c>
      <c r="I84" s="162">
        <v>55.12</v>
      </c>
      <c r="J84" s="164">
        <f t="shared" si="3"/>
        <v>14.377685050798259</v>
      </c>
      <c r="K84" s="145"/>
      <c r="M84" s="44"/>
      <c r="N84"/>
      <c r="O84"/>
      <c r="P84"/>
      <c r="Q84"/>
      <c r="R84"/>
      <c r="S84"/>
    </row>
    <row r="85" spans="1:19" s="148" customFormat="1" ht="14.45" customHeight="1" thickBot="1">
      <c r="A85" s="165" t="s">
        <v>223</v>
      </c>
      <c r="B85" s="549" t="s">
        <v>207</v>
      </c>
      <c r="C85" s="550"/>
      <c r="D85" s="166">
        <v>19.93</v>
      </c>
      <c r="E85" s="167">
        <v>95077000</v>
      </c>
      <c r="F85" s="168">
        <f>+E85*D85/1000000</f>
        <v>1894.8846100000001</v>
      </c>
      <c r="G85" s="169">
        <v>1231.5</v>
      </c>
      <c r="H85" s="170">
        <f>+F85+G85</f>
        <v>3126.3846100000001</v>
      </c>
      <c r="I85" s="168">
        <v>224.85</v>
      </c>
      <c r="J85" s="171">
        <f t="shared" si="3"/>
        <v>13.904312252612854</v>
      </c>
      <c r="K85" s="145"/>
      <c r="M85" s="44"/>
      <c r="N85"/>
      <c r="O85"/>
      <c r="P85"/>
      <c r="Q85"/>
      <c r="R85"/>
      <c r="S85"/>
    </row>
    <row r="86" spans="1:19" ht="14.7" thickBot="1">
      <c r="I86" s="172" t="s">
        <v>194</v>
      </c>
      <c r="J86" s="173">
        <f>AVERAGE(J71:J85)</f>
        <v>14.323290585850922</v>
      </c>
      <c r="K86" s="147"/>
    </row>
    <row r="87" spans="1:19" ht="13.2" customHeight="1" thickBot="1">
      <c r="A87" s="361" t="s">
        <v>224</v>
      </c>
      <c r="B87" s="362">
        <f>+I87*J86</f>
        <v>7475396.9732085252</v>
      </c>
      <c r="C87" s="46" t="s">
        <v>497</v>
      </c>
      <c r="D87" s="358">
        <f>+B87/D28</f>
        <v>42.100681308901358</v>
      </c>
      <c r="H87" s="274" t="s">
        <v>294</v>
      </c>
      <c r="I87" s="238">
        <f>+'Historical Analysis'!D114</f>
        <v>521905</v>
      </c>
      <c r="J87" s="146"/>
    </row>
    <row r="89" spans="1:19" ht="15.35">
      <c r="A89" s="327" t="s">
        <v>112</v>
      </c>
      <c r="B89" s="308"/>
      <c r="C89" s="308"/>
      <c r="D89" s="308"/>
      <c r="E89" s="308"/>
      <c r="F89" s="308"/>
      <c r="G89" s="308"/>
      <c r="H89" s="308"/>
      <c r="I89" s="308"/>
      <c r="J89" s="308"/>
      <c r="K89" s="308"/>
    </row>
    <row r="90" spans="1:19" ht="11.5" customHeight="1">
      <c r="A90" s="175"/>
      <c r="B90" s="175"/>
      <c r="C90" s="175"/>
      <c r="D90" s="177" t="s">
        <v>225</v>
      </c>
      <c r="E90" s="178">
        <v>1</v>
      </c>
      <c r="F90" s="178">
        <v>2</v>
      </c>
      <c r="G90" s="178">
        <v>3</v>
      </c>
      <c r="H90" s="178">
        <v>4</v>
      </c>
      <c r="I90" s="178">
        <v>5</v>
      </c>
      <c r="J90" s="178">
        <v>6</v>
      </c>
      <c r="K90" s="179"/>
    </row>
    <row r="91" spans="1:19" ht="14.7" thickBot="1">
      <c r="A91" s="47"/>
      <c r="B91" s="537" t="s">
        <v>502</v>
      </c>
      <c r="C91" s="537"/>
      <c r="D91" s="538"/>
      <c r="E91" s="539" t="s">
        <v>288</v>
      </c>
      <c r="F91" s="539"/>
      <c r="G91" s="539"/>
      <c r="H91" s="540"/>
      <c r="I91" s="347" t="s">
        <v>226</v>
      </c>
      <c r="K91" s="179"/>
    </row>
    <row r="92" spans="1:19" ht="14.7" thickBot="1">
      <c r="B92" s="371">
        <v>43465</v>
      </c>
      <c r="C92" s="372">
        <v>43830</v>
      </c>
      <c r="D92" s="373">
        <f>+H2</f>
        <v>44196</v>
      </c>
      <c r="E92" s="344">
        <f>+D92+365</f>
        <v>44561</v>
      </c>
      <c r="F92" s="344">
        <f>+E92+365</f>
        <v>44926</v>
      </c>
      <c r="G92" s="344">
        <f>+F92+365</f>
        <v>45291</v>
      </c>
      <c r="H92" s="344">
        <f>+G92+366</f>
        <v>45657</v>
      </c>
      <c r="I92" s="345">
        <f>+H92+365</f>
        <v>46022</v>
      </c>
      <c r="J92" s="346">
        <f>+I92+365</f>
        <v>46387</v>
      </c>
      <c r="K92" s="179"/>
    </row>
    <row r="93" spans="1:19">
      <c r="A93" t="s">
        <v>228</v>
      </c>
      <c r="B93" s="180">
        <f>Projections!J7</f>
        <v>1275059</v>
      </c>
      <c r="C93" s="180">
        <f>Projections!K7</f>
        <v>1218219</v>
      </c>
      <c r="D93" s="376">
        <f>Projections!L7</f>
        <v>1042316</v>
      </c>
      <c r="E93" s="180">
        <f>+Projections!M7</f>
        <v>1146547.6000000001</v>
      </c>
      <c r="F93" s="180">
        <f>+Projections!N7</f>
        <v>1261202.3600000001</v>
      </c>
      <c r="G93" s="180">
        <f>+Projections!O7</f>
        <v>1387322.5960000001</v>
      </c>
      <c r="H93" s="180">
        <f>+Projections!P7</f>
        <v>1526054.8556000004</v>
      </c>
      <c r="I93" s="93">
        <f>+Projections!Q7</f>
        <v>1678660.3411600005</v>
      </c>
      <c r="J93" s="180">
        <f>+Projections!R7</f>
        <v>1846526.3752760007</v>
      </c>
      <c r="K93" s="179"/>
    </row>
    <row r="94" spans="1:19">
      <c r="A94" t="s">
        <v>229</v>
      </c>
      <c r="B94" s="275"/>
      <c r="C94" s="275">
        <f>+C93/B93-1</f>
        <v>-4.4578329316525722E-2</v>
      </c>
      <c r="D94" s="377">
        <f>+D93/C93-1</f>
        <v>-0.14439357783781082</v>
      </c>
      <c r="E94" s="275">
        <f t="shared" ref="E94:J94" si="5">+E93/D93-1</f>
        <v>0.10000000000000009</v>
      </c>
      <c r="F94" s="275">
        <f t="shared" si="5"/>
        <v>0.10000000000000009</v>
      </c>
      <c r="G94" s="275">
        <f t="shared" si="5"/>
        <v>0.10000000000000009</v>
      </c>
      <c r="H94" s="275">
        <f t="shared" si="5"/>
        <v>0.10000000000000009</v>
      </c>
      <c r="I94" s="276">
        <f t="shared" si="5"/>
        <v>0.10000000000000009</v>
      </c>
      <c r="J94" s="275">
        <f t="shared" si="5"/>
        <v>0.10000000000000009</v>
      </c>
      <c r="K94" s="179"/>
      <c r="L94" s="181"/>
    </row>
    <row r="95" spans="1:19">
      <c r="A95" t="s">
        <v>230</v>
      </c>
      <c r="B95" s="180">
        <f>-Projections!J10</f>
        <v>-596246</v>
      </c>
      <c r="C95" s="180">
        <f>-Projections!K10</f>
        <v>-601191</v>
      </c>
      <c r="D95" s="376">
        <f>-Projections!L10</f>
        <v>-593760</v>
      </c>
      <c r="E95" s="180">
        <f>-Projections!M10</f>
        <v>-515946.42000000004</v>
      </c>
      <c r="F95" s="180">
        <f>-Projections!N10</f>
        <v>-567541.06200000003</v>
      </c>
      <c r="G95" s="180">
        <f>-Projections!O10</f>
        <v>-624295.16820000007</v>
      </c>
      <c r="H95" s="180">
        <f>-Projections!P10</f>
        <v>-686724.68502000021</v>
      </c>
      <c r="I95" s="93">
        <f>-Projections!Q10</f>
        <v>-755397.1535220003</v>
      </c>
      <c r="J95" s="180">
        <f>-Projections!R10</f>
        <v>-830936.86887420039</v>
      </c>
      <c r="K95" s="179"/>
    </row>
    <row r="96" spans="1:19">
      <c r="A96" t="s">
        <v>231</v>
      </c>
      <c r="B96" s="185">
        <f>-Projections!J14</f>
        <v>-299754</v>
      </c>
      <c r="C96" s="185">
        <f>-Projections!K14</f>
        <v>-292523</v>
      </c>
      <c r="D96" s="378">
        <f>-Projections!L14</f>
        <v>-298178</v>
      </c>
      <c r="E96" s="185">
        <f>-Projections!M14</f>
        <v>-229309.52000000002</v>
      </c>
      <c r="F96" s="185">
        <f>-Projections!N14</f>
        <v>-252240.47200000004</v>
      </c>
      <c r="G96" s="185">
        <f>-Projections!O14</f>
        <v>-277464.51920000004</v>
      </c>
      <c r="H96" s="185">
        <f>-Projections!P14</f>
        <v>-305210.97112000006</v>
      </c>
      <c r="I96" s="186">
        <f>-Projections!Q14</f>
        <v>-335732.06823200011</v>
      </c>
      <c r="J96" s="185">
        <f>-Projections!R14</f>
        <v>-369305.27505520015</v>
      </c>
      <c r="K96" s="179"/>
    </row>
    <row r="97" spans="1:24" ht="14.7" thickBot="1">
      <c r="A97" t="s">
        <v>232</v>
      </c>
      <c r="B97" s="279">
        <f t="shared" ref="B97:C97" si="6">SUM(B93:B96)</f>
        <v>379059</v>
      </c>
      <c r="C97" s="279">
        <f t="shared" si="6"/>
        <v>324504.95542167057</v>
      </c>
      <c r="D97" s="374">
        <f>SUM(D93:D96)</f>
        <v>150377.85560642218</v>
      </c>
      <c r="E97" s="180">
        <f t="shared" ref="E97:J97" si="7">SUM(E93:E96)</f>
        <v>401291.76000000013</v>
      </c>
      <c r="F97" s="180">
        <f t="shared" si="7"/>
        <v>441420.92600000009</v>
      </c>
      <c r="G97" s="180">
        <f t="shared" si="7"/>
        <v>485563.00860000012</v>
      </c>
      <c r="H97" s="180">
        <f t="shared" si="7"/>
        <v>534119.29946000013</v>
      </c>
      <c r="I97" s="93">
        <f t="shared" si="7"/>
        <v>587531.21940600022</v>
      </c>
      <c r="J97" s="180">
        <f t="shared" si="7"/>
        <v>646284.33134660032</v>
      </c>
      <c r="K97" s="179"/>
      <c r="X97" s="64"/>
    </row>
    <row r="98" spans="1:24" ht="14.7" thickBot="1">
      <c r="A98" t="s">
        <v>233</v>
      </c>
      <c r="B98" s="370">
        <v>0.22</v>
      </c>
      <c r="D98" s="374"/>
      <c r="E98" s="180">
        <f t="shared" ref="E98:J98" si="8">-$B$98*E97</f>
        <v>-88284.187200000029</v>
      </c>
      <c r="F98" s="180">
        <f t="shared" si="8"/>
        <v>-97112.603720000028</v>
      </c>
      <c r="G98" s="180">
        <f t="shared" si="8"/>
        <v>-106823.86189200003</v>
      </c>
      <c r="H98" s="180">
        <f t="shared" si="8"/>
        <v>-117506.24588120003</v>
      </c>
      <c r="I98" s="93">
        <f t="shared" si="8"/>
        <v>-129256.86826932005</v>
      </c>
      <c r="J98" s="180">
        <f t="shared" si="8"/>
        <v>-142182.55289625208</v>
      </c>
      <c r="K98" s="179"/>
    </row>
    <row r="99" spans="1:24">
      <c r="A99" t="s">
        <v>234</v>
      </c>
      <c r="D99" s="375"/>
      <c r="E99" s="180">
        <f>+Projections!M24</f>
        <v>137585.712</v>
      </c>
      <c r="F99" s="180">
        <f>+Projections!N24</f>
        <v>151344.28320000001</v>
      </c>
      <c r="G99" s="180">
        <f>+Projections!O24</f>
        <v>166478.71152000001</v>
      </c>
      <c r="H99" s="180">
        <f>+Projections!P24</f>
        <v>183126.58267200005</v>
      </c>
      <c r="I99" s="93">
        <f>+Projections!Q24</f>
        <v>201439.24093920007</v>
      </c>
      <c r="J99" s="180">
        <f>+Projections!R24</f>
        <v>221583.16503312008</v>
      </c>
      <c r="K99" s="179"/>
    </row>
    <row r="100" spans="1:24">
      <c r="A100" t="s">
        <v>500</v>
      </c>
      <c r="D100" s="375"/>
      <c r="E100" s="180">
        <f>+Projections!M25</f>
        <v>-3498.9719517394196</v>
      </c>
      <c r="F100" s="180">
        <f>+Projections!N25</f>
        <v>-3848.8691469133619</v>
      </c>
      <c r="G100" s="180">
        <f>+Projections!O25</f>
        <v>-4233.7560616046985</v>
      </c>
      <c r="H100" s="180">
        <f>+Projections!P25</f>
        <v>-4657.1316677651685</v>
      </c>
      <c r="I100" s="93">
        <f>+Projections!Q25</f>
        <v>-5122.8448345416855</v>
      </c>
      <c r="J100" s="180">
        <f>+Projections!R25</f>
        <v>-5635.1293179958548</v>
      </c>
      <c r="K100" s="179"/>
    </row>
    <row r="101" spans="1:24">
      <c r="A101" t="s">
        <v>235</v>
      </c>
      <c r="D101" s="375"/>
      <c r="E101" s="180">
        <f>+Projections!M26</f>
        <v>-80258.332000000009</v>
      </c>
      <c r="F101" s="180">
        <f>+Projections!N26</f>
        <v>-88284.165200000018</v>
      </c>
      <c r="G101" s="180">
        <f>+Projections!O26</f>
        <v>-97112.581720000017</v>
      </c>
      <c r="H101" s="180">
        <f>+Projections!P26</f>
        <v>-106823.83989200003</v>
      </c>
      <c r="I101" s="93">
        <f>+Projections!Q26</f>
        <v>-117506.22388120004</v>
      </c>
      <c r="J101" s="180">
        <f>+Projections!R26</f>
        <v>-129256.84626932006</v>
      </c>
      <c r="K101" s="179"/>
    </row>
    <row r="102" spans="1:24" ht="14.7" thickBot="1">
      <c r="A102" t="s">
        <v>236</v>
      </c>
      <c r="D102" s="375"/>
      <c r="E102" s="183">
        <f t="shared" ref="E102:J102" si="9">SUM(E97:E101)</f>
        <v>366835.98084826069</v>
      </c>
      <c r="F102" s="183">
        <f t="shared" si="9"/>
        <v>403519.57113308669</v>
      </c>
      <c r="G102" s="183">
        <f t="shared" si="9"/>
        <v>443871.52044639539</v>
      </c>
      <c r="H102" s="183">
        <f t="shared" si="9"/>
        <v>488258.664691035</v>
      </c>
      <c r="I102" s="182">
        <f t="shared" si="9"/>
        <v>537084.52336013853</v>
      </c>
      <c r="J102" s="277">
        <f t="shared" si="9"/>
        <v>590792.96789615252</v>
      </c>
      <c r="K102" s="179"/>
    </row>
    <row r="103" spans="1:24" ht="7.5" customHeight="1" thickTop="1">
      <c r="A103" s="176"/>
      <c r="B103" s="176"/>
      <c r="C103" s="176"/>
      <c r="D103" s="185"/>
      <c r="E103" s="185"/>
      <c r="F103" s="185"/>
      <c r="G103" s="185"/>
      <c r="H103" s="185"/>
      <c r="I103" s="186"/>
      <c r="J103" s="180"/>
      <c r="K103" s="179"/>
    </row>
    <row r="104" spans="1:24">
      <c r="A104" s="187" t="s">
        <v>116</v>
      </c>
      <c r="B104" s="187"/>
      <c r="C104" s="187"/>
      <c r="D104" s="188">
        <f>+Projections!L34</f>
        <v>356391</v>
      </c>
      <c r="E104" s="188">
        <f>+Projections!M34</f>
        <v>538877.37199999997</v>
      </c>
      <c r="F104" s="188">
        <f>+Projections!N34</f>
        <v>592765.10920000006</v>
      </c>
      <c r="G104" s="188">
        <f>+Projections!O34</f>
        <v>652041.62012000009</v>
      </c>
      <c r="H104" s="188">
        <f>+Projections!P34</f>
        <v>717245.78213200008</v>
      </c>
      <c r="I104" s="189">
        <f>+Projections!Q34</f>
        <v>788970.36034520017</v>
      </c>
      <c r="J104" s="278">
        <f>+Projections!R34</f>
        <v>867867.3963797203</v>
      </c>
      <c r="K104" s="179"/>
    </row>
    <row r="105" spans="1:24" ht="12" customHeight="1">
      <c r="A105" s="191" t="s">
        <v>237</v>
      </c>
      <c r="B105" s="191"/>
      <c r="C105" s="191"/>
      <c r="D105" s="192">
        <f>+Projections!L30</f>
        <v>2683622</v>
      </c>
      <c r="E105" s="192">
        <f>+Projections!M30</f>
        <v>2549440.9</v>
      </c>
      <c r="F105" s="192">
        <f>+Projections!N30</f>
        <v>2415259.7999999998</v>
      </c>
      <c r="G105" s="192">
        <f>+Projections!O30</f>
        <v>2281078.6999999997</v>
      </c>
      <c r="H105" s="192">
        <f>+Projections!P30</f>
        <v>2146897.5999999996</v>
      </c>
      <c r="I105" s="193">
        <f>+Projections!Q30</f>
        <v>2012716.4999999995</v>
      </c>
      <c r="J105" s="184">
        <f>+Projections!R30</f>
        <v>1878535.3999999994</v>
      </c>
      <c r="K105" s="179"/>
    </row>
    <row r="106" spans="1:24" ht="7.5" customHeight="1">
      <c r="I106" s="79"/>
      <c r="K106" s="179"/>
    </row>
    <row r="107" spans="1:24" ht="14.7" thickBot="1">
      <c r="A107" s="194" t="s">
        <v>238</v>
      </c>
      <c r="B107" s="195" t="s">
        <v>227</v>
      </c>
      <c r="D107" s="196" t="s">
        <v>239</v>
      </c>
      <c r="I107" s="79"/>
      <c r="K107" s="179"/>
    </row>
    <row r="108" spans="1:24">
      <c r="A108" t="s">
        <v>240</v>
      </c>
      <c r="B108" s="146">
        <f>+J62</f>
        <v>11.526258610283481</v>
      </c>
      <c r="D108" s="197"/>
      <c r="E108" s="107" t="s">
        <v>241</v>
      </c>
      <c r="I108" s="198">
        <f>+B108*I104</f>
        <v>9093876.4091873243</v>
      </c>
      <c r="K108" s="179"/>
    </row>
    <row r="109" spans="1:24">
      <c r="A109" t="s">
        <v>242</v>
      </c>
      <c r="B109" s="288">
        <f>+K130</f>
        <v>7.7520623480124909E-2</v>
      </c>
      <c r="D109" s="292">
        <v>0.03</v>
      </c>
      <c r="E109" s="107" t="s">
        <v>243</v>
      </c>
      <c r="I109" s="93">
        <f>+J102/(B109-D109)</f>
        <v>12432348.83362266</v>
      </c>
      <c r="K109" s="179"/>
    </row>
    <row r="110" spans="1:24">
      <c r="A110" t="s">
        <v>194</v>
      </c>
      <c r="D110" s="293"/>
      <c r="I110" s="66">
        <f>+(I108+I109)/2</f>
        <v>10763112.621404992</v>
      </c>
      <c r="K110" s="179"/>
    </row>
    <row r="111" spans="1:24">
      <c r="A111" t="s">
        <v>244</v>
      </c>
      <c r="D111" s="64"/>
      <c r="I111" s="198">
        <f>-I105</f>
        <v>-2012716.4999999995</v>
      </c>
      <c r="K111" s="179"/>
    </row>
    <row r="112" spans="1:24">
      <c r="A112" t="s">
        <v>245</v>
      </c>
      <c r="D112" s="64"/>
      <c r="I112" s="199">
        <v>0</v>
      </c>
      <c r="J112" s="245" t="s">
        <v>295</v>
      </c>
    </row>
    <row r="113" spans="1:11">
      <c r="A113" t="s">
        <v>246</v>
      </c>
      <c r="I113" s="198">
        <f>+I111+I110</f>
        <v>8750396.1214049924</v>
      </c>
    </row>
    <row r="114" spans="1:11">
      <c r="C114" s="200" t="s">
        <v>247</v>
      </c>
      <c r="I114" s="79"/>
    </row>
    <row r="115" spans="1:11" ht="14.7" thickBot="1">
      <c r="A115" s="94" t="s">
        <v>248</v>
      </c>
      <c r="B115" s="201">
        <f>+H125</f>
        <v>0.01</v>
      </c>
      <c r="C115" s="202"/>
      <c r="D115" s="69"/>
      <c r="E115" s="69">
        <f>+E102</f>
        <v>366835.98084826069</v>
      </c>
      <c r="F115" s="69">
        <f>+F102</f>
        <v>403519.57113308669</v>
      </c>
      <c r="G115" s="69">
        <f>+G102</f>
        <v>443871.52044639539</v>
      </c>
      <c r="H115" s="69">
        <f>+H102</f>
        <v>488258.664691035</v>
      </c>
      <c r="I115" s="203">
        <f>+I113+I102</f>
        <v>9287480.6447651312</v>
      </c>
    </row>
    <row r="116" spans="1:11" ht="14.7" thickTop="1">
      <c r="B116" s="174" t="s">
        <v>249</v>
      </c>
      <c r="C116" s="204">
        <f>1/((1+$H$125)^$E$90)</f>
        <v>0.99009900990099009</v>
      </c>
      <c r="D116" s="205">
        <f>+C116*E115</f>
        <v>363203.94143392146</v>
      </c>
      <c r="E116" s="206"/>
    </row>
    <row r="117" spans="1:11">
      <c r="B117" s="174" t="s">
        <v>250</v>
      </c>
      <c r="C117" s="204">
        <f>1/((1+$H$125)^F90)</f>
        <v>0.98029604940692083</v>
      </c>
      <c r="D117" s="205">
        <f>+C117*F115</f>
        <v>395568.64144013985</v>
      </c>
    </row>
    <row r="118" spans="1:11">
      <c r="B118" s="174" t="s">
        <v>251</v>
      </c>
      <c r="C118" s="204">
        <f>1/((1+$H$125)^G90)</f>
        <v>0.97059014792764453</v>
      </c>
      <c r="D118" s="205">
        <f>+C118*G115</f>
        <v>430817.32469093538</v>
      </c>
    </row>
    <row r="119" spans="1:11">
      <c r="B119" s="174" t="s">
        <v>252</v>
      </c>
      <c r="C119" s="204">
        <f>1/((1+$H$125)^H90)</f>
        <v>0.96098034448281622</v>
      </c>
      <c r="D119" s="205">
        <f>+C119*H115</f>
        <v>469206.97979151068</v>
      </c>
    </row>
    <row r="120" spans="1:11" ht="14.7" thickBot="1">
      <c r="B120" s="174" t="s">
        <v>253</v>
      </c>
      <c r="C120" s="204">
        <f>1/((1+$H$125)^I90)</f>
        <v>0.95146568760674888</v>
      </c>
      <c r="D120" s="205">
        <f>+C120*I115</f>
        <v>8836719.1578058265</v>
      </c>
    </row>
    <row r="121" spans="1:11" ht="14.7" thickBot="1">
      <c r="B121" s="174" t="s">
        <v>254</v>
      </c>
      <c r="C121" s="79"/>
      <c r="D121" s="207">
        <f>SUM(D116:D120)</f>
        <v>10495516.045162333</v>
      </c>
      <c r="E121" s="107"/>
      <c r="F121" s="340" t="s">
        <v>255</v>
      </c>
      <c r="G121" s="341"/>
      <c r="H121" s="342"/>
      <c r="J121" s="343" t="s">
        <v>505</v>
      </c>
      <c r="K121" s="365"/>
    </row>
    <row r="122" spans="1:11" ht="14.7" thickTop="1">
      <c r="B122" s="174"/>
      <c r="D122" s="205"/>
      <c r="E122" s="107"/>
      <c r="F122" s="67" t="s">
        <v>257</v>
      </c>
      <c r="G122" s="68"/>
      <c r="H122" s="208">
        <f>+B33</f>
        <v>0.01</v>
      </c>
      <c r="J122" s="209">
        <f>AVERAGE(Projections!K29:L29)</f>
        <v>2658129</v>
      </c>
      <c r="K122" s="210" t="s">
        <v>504</v>
      </c>
    </row>
    <row r="123" spans="1:11">
      <c r="B123" s="211" t="s">
        <v>258</v>
      </c>
      <c r="D123" s="212" t="s">
        <v>259</v>
      </c>
      <c r="E123" s="98"/>
      <c r="F123" s="67" t="s">
        <v>260</v>
      </c>
      <c r="G123" s="68"/>
      <c r="H123" s="208">
        <f>+B35</f>
        <v>8.5000000000000006E-2</v>
      </c>
      <c r="J123" s="209">
        <f>+Projections!L17</f>
        <v>122296</v>
      </c>
      <c r="K123" s="210" t="s">
        <v>256</v>
      </c>
    </row>
    <row r="124" spans="1:11" ht="14.7" thickBot="1">
      <c r="B124" s="213" t="s">
        <v>262</v>
      </c>
      <c r="D124" s="205">
        <f>+D121</f>
        <v>10495516.045162333</v>
      </c>
      <c r="F124" s="67" t="s">
        <v>263</v>
      </c>
      <c r="G124" s="68"/>
      <c r="H124" s="214">
        <f>+K60</f>
        <v>0</v>
      </c>
      <c r="J124" s="379">
        <f>+J123/J122</f>
        <v>4.6008301327738421E-2</v>
      </c>
      <c r="K124" s="380" t="s">
        <v>261</v>
      </c>
    </row>
    <row r="125" spans="1:11" ht="14.7" thickBot="1">
      <c r="B125" s="215" t="s">
        <v>264</v>
      </c>
      <c r="D125" s="190">
        <f>+D6</f>
        <v>0</v>
      </c>
      <c r="F125" s="216" t="s">
        <v>265</v>
      </c>
      <c r="G125" s="217"/>
      <c r="H125" s="364">
        <f>+H122+(H123*H124)</f>
        <v>0.01</v>
      </c>
    </row>
    <row r="126" spans="1:11" ht="14.7" thickBot="1">
      <c r="B126" s="215" t="s">
        <v>292</v>
      </c>
      <c r="D126" s="190">
        <f>-E6</f>
        <v>0</v>
      </c>
    </row>
    <row r="127" spans="1:11" ht="17" customHeight="1" thickBot="1">
      <c r="A127" s="361" t="s">
        <v>266</v>
      </c>
      <c r="B127" s="363"/>
      <c r="C127" s="363"/>
      <c r="D127" s="362">
        <f>+D124+D125+D126</f>
        <v>10495516.045162333</v>
      </c>
      <c r="F127" s="340" t="s">
        <v>267</v>
      </c>
      <c r="G127" s="366" t="s">
        <v>501</v>
      </c>
      <c r="H127" s="366" t="s">
        <v>268</v>
      </c>
      <c r="I127" s="366" t="s">
        <v>506</v>
      </c>
      <c r="J127" s="366" t="s">
        <v>269</v>
      </c>
      <c r="K127" s="369" t="s">
        <v>270</v>
      </c>
    </row>
    <row r="128" spans="1:11" ht="14.7" thickBot="1">
      <c r="F128" s="67" t="s">
        <v>146</v>
      </c>
      <c r="G128" s="190">
        <f>+D105</f>
        <v>2683622</v>
      </c>
      <c r="H128" s="367">
        <f>+G128/$G$130</f>
        <v>0.7023230434446941</v>
      </c>
      <c r="I128" s="381">
        <f>+J124</f>
        <v>4.6008301327738421E-2</v>
      </c>
      <c r="J128" s="381">
        <f>+J124*(1-B98)</f>
        <v>3.5886475035635967E-2</v>
      </c>
      <c r="K128" s="382">
        <f>+J128*H128</f>
        <v>2.520389836552989E-2</v>
      </c>
    </row>
    <row r="129" spans="3:11" ht="14.7" thickBot="1">
      <c r="C129" s="46" t="s">
        <v>498</v>
      </c>
      <c r="D129" s="358">
        <f>+D127/D28</f>
        <v>59.109687120761059</v>
      </c>
      <c r="F129" s="67" t="s">
        <v>271</v>
      </c>
      <c r="G129" s="190">
        <f>+W32</f>
        <v>1137443</v>
      </c>
      <c r="H129" s="367">
        <f>+G129/$G$130</f>
        <v>0.2976769565553059</v>
      </c>
      <c r="I129" s="381">
        <f>+B37</f>
        <v>0.17575000000000002</v>
      </c>
      <c r="J129" s="383">
        <f>+I129</f>
        <v>0.17575000000000002</v>
      </c>
      <c r="K129" s="382">
        <f>+J129*H129</f>
        <v>5.2316725114595015E-2</v>
      </c>
    </row>
    <row r="130" spans="3:11" ht="14.7" thickBot="1">
      <c r="F130" s="216"/>
      <c r="G130" s="218">
        <f>SUM(G128:G129)</f>
        <v>3821065</v>
      </c>
      <c r="H130" s="368">
        <f>SUM(H128:H129)</f>
        <v>1</v>
      </c>
      <c r="I130" s="384"/>
      <c r="J130" s="385"/>
      <c r="K130" s="386">
        <f>SUM(K128:K129)</f>
        <v>7.7520623480124909E-2</v>
      </c>
    </row>
  </sheetData>
  <mergeCells count="19">
    <mergeCell ref="B71:C71"/>
    <mergeCell ref="B72:C72"/>
    <mergeCell ref="B83:C83"/>
    <mergeCell ref="B91:D91"/>
    <mergeCell ref="E91:H91"/>
    <mergeCell ref="M49:N49"/>
    <mergeCell ref="B77:C77"/>
    <mergeCell ref="B70:C70"/>
    <mergeCell ref="B73:C73"/>
    <mergeCell ref="B74:C74"/>
    <mergeCell ref="B75:C75"/>
    <mergeCell ref="B76:C76"/>
    <mergeCell ref="B84:C84"/>
    <mergeCell ref="B85:C85"/>
    <mergeCell ref="B78:C78"/>
    <mergeCell ref="B79:C79"/>
    <mergeCell ref="B80:C80"/>
    <mergeCell ref="B81:C81"/>
    <mergeCell ref="B82:C82"/>
  </mergeCells>
  <hyperlinks>
    <hyperlink ref="C1" r:id="rId1" xr:uid="{C7AEFBB4-87F0-41DD-8CB5-3721A78EFE8B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C32FB-3CD9-4D3C-8C7C-C039EFA8591A}">
  <dimension ref="A1:P102"/>
  <sheetViews>
    <sheetView zoomScale="90" zoomScaleNormal="90" workbookViewId="0">
      <selection activeCell="D4" sqref="D4"/>
    </sheetView>
  </sheetViews>
  <sheetFormatPr defaultRowHeight="14.35"/>
  <cols>
    <col min="1" max="1" width="4" customWidth="1"/>
    <col min="2" max="2" width="1.1171875" customWidth="1"/>
    <col min="3" max="3" width="33.703125" customWidth="1"/>
    <col min="4" max="4" width="12.5859375" customWidth="1"/>
    <col min="5" max="5" width="11.5859375" customWidth="1"/>
    <col min="6" max="6" width="10.41015625" customWidth="1"/>
    <col min="7" max="7" width="13.703125" customWidth="1"/>
    <col min="8" max="8" width="13.5859375" customWidth="1"/>
    <col min="9" max="9" width="13.41015625" customWidth="1"/>
    <col min="10" max="11" width="13.5859375" customWidth="1"/>
    <col min="12" max="12" width="13.703125" customWidth="1"/>
    <col min="13" max="13" width="13.41015625" customWidth="1"/>
    <col min="14" max="14" width="16.41015625" customWidth="1"/>
    <col min="15" max="15" width="12.29296875" customWidth="1"/>
    <col min="16" max="16" width="14.29296875" customWidth="1"/>
    <col min="17" max="21" width="12.41015625" customWidth="1"/>
    <col min="253" max="253" width="4" customWidth="1"/>
    <col min="254" max="254" width="1.1171875" customWidth="1"/>
    <col min="255" max="255" width="33.703125" customWidth="1"/>
    <col min="256" max="256" width="12.5859375" customWidth="1"/>
    <col min="257" max="257" width="11.5859375" customWidth="1"/>
    <col min="258" max="258" width="10.41015625" customWidth="1"/>
    <col min="259" max="259" width="13.703125" customWidth="1"/>
    <col min="260" max="260" width="13.5859375" customWidth="1"/>
    <col min="261" max="261" width="13.41015625" customWidth="1"/>
    <col min="262" max="263" width="13.5859375" customWidth="1"/>
    <col min="264" max="264" width="13.703125" customWidth="1"/>
    <col min="265" max="265" width="13.41015625" customWidth="1"/>
    <col min="266" max="266" width="16.41015625" customWidth="1"/>
    <col min="267" max="267" width="12.29296875" customWidth="1"/>
    <col min="268" max="268" width="13.41015625" customWidth="1"/>
    <col min="269" max="270" width="12.29296875" customWidth="1"/>
    <col min="271" max="271" width="12.703125" customWidth="1"/>
    <col min="272" max="272" width="14.29296875" customWidth="1"/>
    <col min="273" max="277" width="12.41015625" customWidth="1"/>
    <col min="509" max="509" width="4" customWidth="1"/>
    <col min="510" max="510" width="1.1171875" customWidth="1"/>
    <col min="511" max="511" width="33.703125" customWidth="1"/>
    <col min="512" max="512" width="12.5859375" customWidth="1"/>
    <col min="513" max="513" width="11.5859375" customWidth="1"/>
    <col min="514" max="514" width="10.41015625" customWidth="1"/>
    <col min="515" max="515" width="13.703125" customWidth="1"/>
    <col min="516" max="516" width="13.5859375" customWidth="1"/>
    <col min="517" max="517" width="13.41015625" customWidth="1"/>
    <col min="518" max="519" width="13.5859375" customWidth="1"/>
    <col min="520" max="520" width="13.703125" customWidth="1"/>
    <col min="521" max="521" width="13.41015625" customWidth="1"/>
    <col min="522" max="522" width="16.41015625" customWidth="1"/>
    <col min="523" max="523" width="12.29296875" customWidth="1"/>
    <col min="524" max="524" width="13.41015625" customWidth="1"/>
    <col min="525" max="526" width="12.29296875" customWidth="1"/>
    <col min="527" max="527" width="12.703125" customWidth="1"/>
    <col min="528" max="528" width="14.29296875" customWidth="1"/>
    <col min="529" max="533" width="12.41015625" customWidth="1"/>
    <col min="765" max="765" width="4" customWidth="1"/>
    <col min="766" max="766" width="1.1171875" customWidth="1"/>
    <col min="767" max="767" width="33.703125" customWidth="1"/>
    <col min="768" max="768" width="12.5859375" customWidth="1"/>
    <col min="769" max="769" width="11.5859375" customWidth="1"/>
    <col min="770" max="770" width="10.41015625" customWidth="1"/>
    <col min="771" max="771" width="13.703125" customWidth="1"/>
    <col min="772" max="772" width="13.5859375" customWidth="1"/>
    <col min="773" max="773" width="13.41015625" customWidth="1"/>
    <col min="774" max="775" width="13.5859375" customWidth="1"/>
    <col min="776" max="776" width="13.703125" customWidth="1"/>
    <col min="777" max="777" width="13.41015625" customWidth="1"/>
    <col min="778" max="778" width="16.41015625" customWidth="1"/>
    <col min="779" max="779" width="12.29296875" customWidth="1"/>
    <col min="780" max="780" width="13.41015625" customWidth="1"/>
    <col min="781" max="782" width="12.29296875" customWidth="1"/>
    <col min="783" max="783" width="12.703125" customWidth="1"/>
    <col min="784" max="784" width="14.29296875" customWidth="1"/>
    <col min="785" max="789" width="12.41015625" customWidth="1"/>
    <col min="1021" max="1021" width="4" customWidth="1"/>
    <col min="1022" max="1022" width="1.1171875" customWidth="1"/>
    <col min="1023" max="1023" width="33.703125" customWidth="1"/>
    <col min="1024" max="1024" width="12.5859375" customWidth="1"/>
    <col min="1025" max="1025" width="11.5859375" customWidth="1"/>
    <col min="1026" max="1026" width="10.41015625" customWidth="1"/>
    <col min="1027" max="1027" width="13.703125" customWidth="1"/>
    <col min="1028" max="1028" width="13.5859375" customWidth="1"/>
    <col min="1029" max="1029" width="13.41015625" customWidth="1"/>
    <col min="1030" max="1031" width="13.5859375" customWidth="1"/>
    <col min="1032" max="1032" width="13.703125" customWidth="1"/>
    <col min="1033" max="1033" width="13.41015625" customWidth="1"/>
    <col min="1034" max="1034" width="16.41015625" customWidth="1"/>
    <col min="1035" max="1035" width="12.29296875" customWidth="1"/>
    <col min="1036" max="1036" width="13.41015625" customWidth="1"/>
    <col min="1037" max="1038" width="12.29296875" customWidth="1"/>
    <col min="1039" max="1039" width="12.703125" customWidth="1"/>
    <col min="1040" max="1040" width="14.29296875" customWidth="1"/>
    <col min="1041" max="1045" width="12.41015625" customWidth="1"/>
    <col min="1277" max="1277" width="4" customWidth="1"/>
    <col min="1278" max="1278" width="1.1171875" customWidth="1"/>
    <col min="1279" max="1279" width="33.703125" customWidth="1"/>
    <col min="1280" max="1280" width="12.5859375" customWidth="1"/>
    <col min="1281" max="1281" width="11.5859375" customWidth="1"/>
    <col min="1282" max="1282" width="10.41015625" customWidth="1"/>
    <col min="1283" max="1283" width="13.703125" customWidth="1"/>
    <col min="1284" max="1284" width="13.5859375" customWidth="1"/>
    <col min="1285" max="1285" width="13.41015625" customWidth="1"/>
    <col min="1286" max="1287" width="13.5859375" customWidth="1"/>
    <col min="1288" max="1288" width="13.703125" customWidth="1"/>
    <col min="1289" max="1289" width="13.41015625" customWidth="1"/>
    <col min="1290" max="1290" width="16.41015625" customWidth="1"/>
    <col min="1291" max="1291" width="12.29296875" customWidth="1"/>
    <col min="1292" max="1292" width="13.41015625" customWidth="1"/>
    <col min="1293" max="1294" width="12.29296875" customWidth="1"/>
    <col min="1295" max="1295" width="12.703125" customWidth="1"/>
    <col min="1296" max="1296" width="14.29296875" customWidth="1"/>
    <col min="1297" max="1301" width="12.41015625" customWidth="1"/>
    <col min="1533" max="1533" width="4" customWidth="1"/>
    <col min="1534" max="1534" width="1.1171875" customWidth="1"/>
    <col min="1535" max="1535" width="33.703125" customWidth="1"/>
    <col min="1536" max="1536" width="12.5859375" customWidth="1"/>
    <col min="1537" max="1537" width="11.5859375" customWidth="1"/>
    <col min="1538" max="1538" width="10.41015625" customWidth="1"/>
    <col min="1539" max="1539" width="13.703125" customWidth="1"/>
    <col min="1540" max="1540" width="13.5859375" customWidth="1"/>
    <col min="1541" max="1541" width="13.41015625" customWidth="1"/>
    <col min="1542" max="1543" width="13.5859375" customWidth="1"/>
    <col min="1544" max="1544" width="13.703125" customWidth="1"/>
    <col min="1545" max="1545" width="13.41015625" customWidth="1"/>
    <col min="1546" max="1546" width="16.41015625" customWidth="1"/>
    <col min="1547" max="1547" width="12.29296875" customWidth="1"/>
    <col min="1548" max="1548" width="13.41015625" customWidth="1"/>
    <col min="1549" max="1550" width="12.29296875" customWidth="1"/>
    <col min="1551" max="1551" width="12.703125" customWidth="1"/>
    <col min="1552" max="1552" width="14.29296875" customWidth="1"/>
    <col min="1553" max="1557" width="12.41015625" customWidth="1"/>
    <col min="1789" max="1789" width="4" customWidth="1"/>
    <col min="1790" max="1790" width="1.1171875" customWidth="1"/>
    <col min="1791" max="1791" width="33.703125" customWidth="1"/>
    <col min="1792" max="1792" width="12.5859375" customWidth="1"/>
    <col min="1793" max="1793" width="11.5859375" customWidth="1"/>
    <col min="1794" max="1794" width="10.41015625" customWidth="1"/>
    <col min="1795" max="1795" width="13.703125" customWidth="1"/>
    <col min="1796" max="1796" width="13.5859375" customWidth="1"/>
    <col min="1797" max="1797" width="13.41015625" customWidth="1"/>
    <col min="1798" max="1799" width="13.5859375" customWidth="1"/>
    <col min="1800" max="1800" width="13.703125" customWidth="1"/>
    <col min="1801" max="1801" width="13.41015625" customWidth="1"/>
    <col min="1802" max="1802" width="16.41015625" customWidth="1"/>
    <col min="1803" max="1803" width="12.29296875" customWidth="1"/>
    <col min="1804" max="1804" width="13.41015625" customWidth="1"/>
    <col min="1805" max="1806" width="12.29296875" customWidth="1"/>
    <col min="1807" max="1807" width="12.703125" customWidth="1"/>
    <col min="1808" max="1808" width="14.29296875" customWidth="1"/>
    <col min="1809" max="1813" width="12.41015625" customWidth="1"/>
    <col min="2045" max="2045" width="4" customWidth="1"/>
    <col min="2046" max="2046" width="1.1171875" customWidth="1"/>
    <col min="2047" max="2047" width="33.703125" customWidth="1"/>
    <col min="2048" max="2048" width="12.5859375" customWidth="1"/>
    <col min="2049" max="2049" width="11.5859375" customWidth="1"/>
    <col min="2050" max="2050" width="10.41015625" customWidth="1"/>
    <col min="2051" max="2051" width="13.703125" customWidth="1"/>
    <col min="2052" max="2052" width="13.5859375" customWidth="1"/>
    <col min="2053" max="2053" width="13.41015625" customWidth="1"/>
    <col min="2054" max="2055" width="13.5859375" customWidth="1"/>
    <col min="2056" max="2056" width="13.703125" customWidth="1"/>
    <col min="2057" max="2057" width="13.41015625" customWidth="1"/>
    <col min="2058" max="2058" width="16.41015625" customWidth="1"/>
    <col min="2059" max="2059" width="12.29296875" customWidth="1"/>
    <col min="2060" max="2060" width="13.41015625" customWidth="1"/>
    <col min="2061" max="2062" width="12.29296875" customWidth="1"/>
    <col min="2063" max="2063" width="12.703125" customWidth="1"/>
    <col min="2064" max="2064" width="14.29296875" customWidth="1"/>
    <col min="2065" max="2069" width="12.41015625" customWidth="1"/>
    <col min="2301" max="2301" width="4" customWidth="1"/>
    <col min="2302" max="2302" width="1.1171875" customWidth="1"/>
    <col min="2303" max="2303" width="33.703125" customWidth="1"/>
    <col min="2304" max="2304" width="12.5859375" customWidth="1"/>
    <col min="2305" max="2305" width="11.5859375" customWidth="1"/>
    <col min="2306" max="2306" width="10.41015625" customWidth="1"/>
    <col min="2307" max="2307" width="13.703125" customWidth="1"/>
    <col min="2308" max="2308" width="13.5859375" customWidth="1"/>
    <col min="2309" max="2309" width="13.41015625" customWidth="1"/>
    <col min="2310" max="2311" width="13.5859375" customWidth="1"/>
    <col min="2312" max="2312" width="13.703125" customWidth="1"/>
    <col min="2313" max="2313" width="13.41015625" customWidth="1"/>
    <col min="2314" max="2314" width="16.41015625" customWidth="1"/>
    <col min="2315" max="2315" width="12.29296875" customWidth="1"/>
    <col min="2316" max="2316" width="13.41015625" customWidth="1"/>
    <col min="2317" max="2318" width="12.29296875" customWidth="1"/>
    <col min="2319" max="2319" width="12.703125" customWidth="1"/>
    <col min="2320" max="2320" width="14.29296875" customWidth="1"/>
    <col min="2321" max="2325" width="12.41015625" customWidth="1"/>
    <col min="2557" max="2557" width="4" customWidth="1"/>
    <col min="2558" max="2558" width="1.1171875" customWidth="1"/>
    <col min="2559" max="2559" width="33.703125" customWidth="1"/>
    <col min="2560" max="2560" width="12.5859375" customWidth="1"/>
    <col min="2561" max="2561" width="11.5859375" customWidth="1"/>
    <col min="2562" max="2562" width="10.41015625" customWidth="1"/>
    <col min="2563" max="2563" width="13.703125" customWidth="1"/>
    <col min="2564" max="2564" width="13.5859375" customWidth="1"/>
    <col min="2565" max="2565" width="13.41015625" customWidth="1"/>
    <col min="2566" max="2567" width="13.5859375" customWidth="1"/>
    <col min="2568" max="2568" width="13.703125" customWidth="1"/>
    <col min="2569" max="2569" width="13.41015625" customWidth="1"/>
    <col min="2570" max="2570" width="16.41015625" customWidth="1"/>
    <col min="2571" max="2571" width="12.29296875" customWidth="1"/>
    <col min="2572" max="2572" width="13.41015625" customWidth="1"/>
    <col min="2573" max="2574" width="12.29296875" customWidth="1"/>
    <col min="2575" max="2575" width="12.703125" customWidth="1"/>
    <col min="2576" max="2576" width="14.29296875" customWidth="1"/>
    <col min="2577" max="2581" width="12.41015625" customWidth="1"/>
    <col min="2813" max="2813" width="4" customWidth="1"/>
    <col min="2814" max="2814" width="1.1171875" customWidth="1"/>
    <col min="2815" max="2815" width="33.703125" customWidth="1"/>
    <col min="2816" max="2816" width="12.5859375" customWidth="1"/>
    <col min="2817" max="2817" width="11.5859375" customWidth="1"/>
    <col min="2818" max="2818" width="10.41015625" customWidth="1"/>
    <col min="2819" max="2819" width="13.703125" customWidth="1"/>
    <col min="2820" max="2820" width="13.5859375" customWidth="1"/>
    <col min="2821" max="2821" width="13.41015625" customWidth="1"/>
    <col min="2822" max="2823" width="13.5859375" customWidth="1"/>
    <col min="2824" max="2824" width="13.703125" customWidth="1"/>
    <col min="2825" max="2825" width="13.41015625" customWidth="1"/>
    <col min="2826" max="2826" width="16.41015625" customWidth="1"/>
    <col min="2827" max="2827" width="12.29296875" customWidth="1"/>
    <col min="2828" max="2828" width="13.41015625" customWidth="1"/>
    <col min="2829" max="2830" width="12.29296875" customWidth="1"/>
    <col min="2831" max="2831" width="12.703125" customWidth="1"/>
    <col min="2832" max="2832" width="14.29296875" customWidth="1"/>
    <col min="2833" max="2837" width="12.41015625" customWidth="1"/>
    <col min="3069" max="3069" width="4" customWidth="1"/>
    <col min="3070" max="3070" width="1.1171875" customWidth="1"/>
    <col min="3071" max="3071" width="33.703125" customWidth="1"/>
    <col min="3072" max="3072" width="12.5859375" customWidth="1"/>
    <col min="3073" max="3073" width="11.5859375" customWidth="1"/>
    <col min="3074" max="3074" width="10.41015625" customWidth="1"/>
    <col min="3075" max="3075" width="13.703125" customWidth="1"/>
    <col min="3076" max="3076" width="13.5859375" customWidth="1"/>
    <col min="3077" max="3077" width="13.41015625" customWidth="1"/>
    <col min="3078" max="3079" width="13.5859375" customWidth="1"/>
    <col min="3080" max="3080" width="13.703125" customWidth="1"/>
    <col min="3081" max="3081" width="13.41015625" customWidth="1"/>
    <col min="3082" max="3082" width="16.41015625" customWidth="1"/>
    <col min="3083" max="3083" width="12.29296875" customWidth="1"/>
    <col min="3084" max="3084" width="13.41015625" customWidth="1"/>
    <col min="3085" max="3086" width="12.29296875" customWidth="1"/>
    <col min="3087" max="3087" width="12.703125" customWidth="1"/>
    <col min="3088" max="3088" width="14.29296875" customWidth="1"/>
    <col min="3089" max="3093" width="12.41015625" customWidth="1"/>
    <col min="3325" max="3325" width="4" customWidth="1"/>
    <col min="3326" max="3326" width="1.1171875" customWidth="1"/>
    <col min="3327" max="3327" width="33.703125" customWidth="1"/>
    <col min="3328" max="3328" width="12.5859375" customWidth="1"/>
    <col min="3329" max="3329" width="11.5859375" customWidth="1"/>
    <col min="3330" max="3330" width="10.41015625" customWidth="1"/>
    <col min="3331" max="3331" width="13.703125" customWidth="1"/>
    <col min="3332" max="3332" width="13.5859375" customWidth="1"/>
    <col min="3333" max="3333" width="13.41015625" customWidth="1"/>
    <col min="3334" max="3335" width="13.5859375" customWidth="1"/>
    <col min="3336" max="3336" width="13.703125" customWidth="1"/>
    <col min="3337" max="3337" width="13.41015625" customWidth="1"/>
    <col min="3338" max="3338" width="16.41015625" customWidth="1"/>
    <col min="3339" max="3339" width="12.29296875" customWidth="1"/>
    <col min="3340" max="3340" width="13.41015625" customWidth="1"/>
    <col min="3341" max="3342" width="12.29296875" customWidth="1"/>
    <col min="3343" max="3343" width="12.703125" customWidth="1"/>
    <col min="3344" max="3344" width="14.29296875" customWidth="1"/>
    <col min="3345" max="3349" width="12.41015625" customWidth="1"/>
    <col min="3581" max="3581" width="4" customWidth="1"/>
    <col min="3582" max="3582" width="1.1171875" customWidth="1"/>
    <col min="3583" max="3583" width="33.703125" customWidth="1"/>
    <col min="3584" max="3584" width="12.5859375" customWidth="1"/>
    <col min="3585" max="3585" width="11.5859375" customWidth="1"/>
    <col min="3586" max="3586" width="10.41015625" customWidth="1"/>
    <col min="3587" max="3587" width="13.703125" customWidth="1"/>
    <col min="3588" max="3588" width="13.5859375" customWidth="1"/>
    <col min="3589" max="3589" width="13.41015625" customWidth="1"/>
    <col min="3590" max="3591" width="13.5859375" customWidth="1"/>
    <col min="3592" max="3592" width="13.703125" customWidth="1"/>
    <col min="3593" max="3593" width="13.41015625" customWidth="1"/>
    <col min="3594" max="3594" width="16.41015625" customWidth="1"/>
    <col min="3595" max="3595" width="12.29296875" customWidth="1"/>
    <col min="3596" max="3596" width="13.41015625" customWidth="1"/>
    <col min="3597" max="3598" width="12.29296875" customWidth="1"/>
    <col min="3599" max="3599" width="12.703125" customWidth="1"/>
    <col min="3600" max="3600" width="14.29296875" customWidth="1"/>
    <col min="3601" max="3605" width="12.41015625" customWidth="1"/>
    <col min="3837" max="3837" width="4" customWidth="1"/>
    <col min="3838" max="3838" width="1.1171875" customWidth="1"/>
    <col min="3839" max="3839" width="33.703125" customWidth="1"/>
    <col min="3840" max="3840" width="12.5859375" customWidth="1"/>
    <col min="3841" max="3841" width="11.5859375" customWidth="1"/>
    <col min="3842" max="3842" width="10.41015625" customWidth="1"/>
    <col min="3843" max="3843" width="13.703125" customWidth="1"/>
    <col min="3844" max="3844" width="13.5859375" customWidth="1"/>
    <col min="3845" max="3845" width="13.41015625" customWidth="1"/>
    <col min="3846" max="3847" width="13.5859375" customWidth="1"/>
    <col min="3848" max="3848" width="13.703125" customWidth="1"/>
    <col min="3849" max="3849" width="13.41015625" customWidth="1"/>
    <col min="3850" max="3850" width="16.41015625" customWidth="1"/>
    <col min="3851" max="3851" width="12.29296875" customWidth="1"/>
    <col min="3852" max="3852" width="13.41015625" customWidth="1"/>
    <col min="3853" max="3854" width="12.29296875" customWidth="1"/>
    <col min="3855" max="3855" width="12.703125" customWidth="1"/>
    <col min="3856" max="3856" width="14.29296875" customWidth="1"/>
    <col min="3857" max="3861" width="12.41015625" customWidth="1"/>
    <col min="4093" max="4093" width="4" customWidth="1"/>
    <col min="4094" max="4094" width="1.1171875" customWidth="1"/>
    <col min="4095" max="4095" width="33.703125" customWidth="1"/>
    <col min="4096" max="4096" width="12.5859375" customWidth="1"/>
    <col min="4097" max="4097" width="11.5859375" customWidth="1"/>
    <col min="4098" max="4098" width="10.41015625" customWidth="1"/>
    <col min="4099" max="4099" width="13.703125" customWidth="1"/>
    <col min="4100" max="4100" width="13.5859375" customWidth="1"/>
    <col min="4101" max="4101" width="13.41015625" customWidth="1"/>
    <col min="4102" max="4103" width="13.5859375" customWidth="1"/>
    <col min="4104" max="4104" width="13.703125" customWidth="1"/>
    <col min="4105" max="4105" width="13.41015625" customWidth="1"/>
    <col min="4106" max="4106" width="16.41015625" customWidth="1"/>
    <col min="4107" max="4107" width="12.29296875" customWidth="1"/>
    <col min="4108" max="4108" width="13.41015625" customWidth="1"/>
    <col min="4109" max="4110" width="12.29296875" customWidth="1"/>
    <col min="4111" max="4111" width="12.703125" customWidth="1"/>
    <col min="4112" max="4112" width="14.29296875" customWidth="1"/>
    <col min="4113" max="4117" width="12.41015625" customWidth="1"/>
    <col min="4349" max="4349" width="4" customWidth="1"/>
    <col min="4350" max="4350" width="1.1171875" customWidth="1"/>
    <col min="4351" max="4351" width="33.703125" customWidth="1"/>
    <col min="4352" max="4352" width="12.5859375" customWidth="1"/>
    <col min="4353" max="4353" width="11.5859375" customWidth="1"/>
    <col min="4354" max="4354" width="10.41015625" customWidth="1"/>
    <col min="4355" max="4355" width="13.703125" customWidth="1"/>
    <col min="4356" max="4356" width="13.5859375" customWidth="1"/>
    <col min="4357" max="4357" width="13.41015625" customWidth="1"/>
    <col min="4358" max="4359" width="13.5859375" customWidth="1"/>
    <col min="4360" max="4360" width="13.703125" customWidth="1"/>
    <col min="4361" max="4361" width="13.41015625" customWidth="1"/>
    <col min="4362" max="4362" width="16.41015625" customWidth="1"/>
    <col min="4363" max="4363" width="12.29296875" customWidth="1"/>
    <col min="4364" max="4364" width="13.41015625" customWidth="1"/>
    <col min="4365" max="4366" width="12.29296875" customWidth="1"/>
    <col min="4367" max="4367" width="12.703125" customWidth="1"/>
    <col min="4368" max="4368" width="14.29296875" customWidth="1"/>
    <col min="4369" max="4373" width="12.41015625" customWidth="1"/>
    <col min="4605" max="4605" width="4" customWidth="1"/>
    <col min="4606" max="4606" width="1.1171875" customWidth="1"/>
    <col min="4607" max="4607" width="33.703125" customWidth="1"/>
    <col min="4608" max="4608" width="12.5859375" customWidth="1"/>
    <col min="4609" max="4609" width="11.5859375" customWidth="1"/>
    <col min="4610" max="4610" width="10.41015625" customWidth="1"/>
    <col min="4611" max="4611" width="13.703125" customWidth="1"/>
    <col min="4612" max="4612" width="13.5859375" customWidth="1"/>
    <col min="4613" max="4613" width="13.41015625" customWidth="1"/>
    <col min="4614" max="4615" width="13.5859375" customWidth="1"/>
    <col min="4616" max="4616" width="13.703125" customWidth="1"/>
    <col min="4617" max="4617" width="13.41015625" customWidth="1"/>
    <col min="4618" max="4618" width="16.41015625" customWidth="1"/>
    <col min="4619" max="4619" width="12.29296875" customWidth="1"/>
    <col min="4620" max="4620" width="13.41015625" customWidth="1"/>
    <col min="4621" max="4622" width="12.29296875" customWidth="1"/>
    <col min="4623" max="4623" width="12.703125" customWidth="1"/>
    <col min="4624" max="4624" width="14.29296875" customWidth="1"/>
    <col min="4625" max="4629" width="12.41015625" customWidth="1"/>
    <col min="4861" max="4861" width="4" customWidth="1"/>
    <col min="4862" max="4862" width="1.1171875" customWidth="1"/>
    <col min="4863" max="4863" width="33.703125" customWidth="1"/>
    <col min="4864" max="4864" width="12.5859375" customWidth="1"/>
    <col min="4865" max="4865" width="11.5859375" customWidth="1"/>
    <col min="4866" max="4866" width="10.41015625" customWidth="1"/>
    <col min="4867" max="4867" width="13.703125" customWidth="1"/>
    <col min="4868" max="4868" width="13.5859375" customWidth="1"/>
    <col min="4869" max="4869" width="13.41015625" customWidth="1"/>
    <col min="4870" max="4871" width="13.5859375" customWidth="1"/>
    <col min="4872" max="4872" width="13.703125" customWidth="1"/>
    <col min="4873" max="4873" width="13.41015625" customWidth="1"/>
    <col min="4874" max="4874" width="16.41015625" customWidth="1"/>
    <col min="4875" max="4875" width="12.29296875" customWidth="1"/>
    <col min="4876" max="4876" width="13.41015625" customWidth="1"/>
    <col min="4877" max="4878" width="12.29296875" customWidth="1"/>
    <col min="4879" max="4879" width="12.703125" customWidth="1"/>
    <col min="4880" max="4880" width="14.29296875" customWidth="1"/>
    <col min="4881" max="4885" width="12.41015625" customWidth="1"/>
    <col min="5117" max="5117" width="4" customWidth="1"/>
    <col min="5118" max="5118" width="1.1171875" customWidth="1"/>
    <col min="5119" max="5119" width="33.703125" customWidth="1"/>
    <col min="5120" max="5120" width="12.5859375" customWidth="1"/>
    <col min="5121" max="5121" width="11.5859375" customWidth="1"/>
    <col min="5122" max="5122" width="10.41015625" customWidth="1"/>
    <col min="5123" max="5123" width="13.703125" customWidth="1"/>
    <col min="5124" max="5124" width="13.5859375" customWidth="1"/>
    <col min="5125" max="5125" width="13.41015625" customWidth="1"/>
    <col min="5126" max="5127" width="13.5859375" customWidth="1"/>
    <col min="5128" max="5128" width="13.703125" customWidth="1"/>
    <col min="5129" max="5129" width="13.41015625" customWidth="1"/>
    <col min="5130" max="5130" width="16.41015625" customWidth="1"/>
    <col min="5131" max="5131" width="12.29296875" customWidth="1"/>
    <col min="5132" max="5132" width="13.41015625" customWidth="1"/>
    <col min="5133" max="5134" width="12.29296875" customWidth="1"/>
    <col min="5135" max="5135" width="12.703125" customWidth="1"/>
    <col min="5136" max="5136" width="14.29296875" customWidth="1"/>
    <col min="5137" max="5141" width="12.41015625" customWidth="1"/>
    <col min="5373" max="5373" width="4" customWidth="1"/>
    <col min="5374" max="5374" width="1.1171875" customWidth="1"/>
    <col min="5375" max="5375" width="33.703125" customWidth="1"/>
    <col min="5376" max="5376" width="12.5859375" customWidth="1"/>
    <col min="5377" max="5377" width="11.5859375" customWidth="1"/>
    <col min="5378" max="5378" width="10.41015625" customWidth="1"/>
    <col min="5379" max="5379" width="13.703125" customWidth="1"/>
    <col min="5380" max="5380" width="13.5859375" customWidth="1"/>
    <col min="5381" max="5381" width="13.41015625" customWidth="1"/>
    <col min="5382" max="5383" width="13.5859375" customWidth="1"/>
    <col min="5384" max="5384" width="13.703125" customWidth="1"/>
    <col min="5385" max="5385" width="13.41015625" customWidth="1"/>
    <col min="5386" max="5386" width="16.41015625" customWidth="1"/>
    <col min="5387" max="5387" width="12.29296875" customWidth="1"/>
    <col min="5388" max="5388" width="13.41015625" customWidth="1"/>
    <col min="5389" max="5390" width="12.29296875" customWidth="1"/>
    <col min="5391" max="5391" width="12.703125" customWidth="1"/>
    <col min="5392" max="5392" width="14.29296875" customWidth="1"/>
    <col min="5393" max="5397" width="12.41015625" customWidth="1"/>
    <col min="5629" max="5629" width="4" customWidth="1"/>
    <col min="5630" max="5630" width="1.1171875" customWidth="1"/>
    <col min="5631" max="5631" width="33.703125" customWidth="1"/>
    <col min="5632" max="5632" width="12.5859375" customWidth="1"/>
    <col min="5633" max="5633" width="11.5859375" customWidth="1"/>
    <col min="5634" max="5634" width="10.41015625" customWidth="1"/>
    <col min="5635" max="5635" width="13.703125" customWidth="1"/>
    <col min="5636" max="5636" width="13.5859375" customWidth="1"/>
    <col min="5637" max="5637" width="13.41015625" customWidth="1"/>
    <col min="5638" max="5639" width="13.5859375" customWidth="1"/>
    <col min="5640" max="5640" width="13.703125" customWidth="1"/>
    <col min="5641" max="5641" width="13.41015625" customWidth="1"/>
    <col min="5642" max="5642" width="16.41015625" customWidth="1"/>
    <col min="5643" max="5643" width="12.29296875" customWidth="1"/>
    <col min="5644" max="5644" width="13.41015625" customWidth="1"/>
    <col min="5645" max="5646" width="12.29296875" customWidth="1"/>
    <col min="5647" max="5647" width="12.703125" customWidth="1"/>
    <col min="5648" max="5648" width="14.29296875" customWidth="1"/>
    <col min="5649" max="5653" width="12.41015625" customWidth="1"/>
    <col min="5885" max="5885" width="4" customWidth="1"/>
    <col min="5886" max="5886" width="1.1171875" customWidth="1"/>
    <col min="5887" max="5887" width="33.703125" customWidth="1"/>
    <col min="5888" max="5888" width="12.5859375" customWidth="1"/>
    <col min="5889" max="5889" width="11.5859375" customWidth="1"/>
    <col min="5890" max="5890" width="10.41015625" customWidth="1"/>
    <col min="5891" max="5891" width="13.703125" customWidth="1"/>
    <col min="5892" max="5892" width="13.5859375" customWidth="1"/>
    <col min="5893" max="5893" width="13.41015625" customWidth="1"/>
    <col min="5894" max="5895" width="13.5859375" customWidth="1"/>
    <col min="5896" max="5896" width="13.703125" customWidth="1"/>
    <col min="5897" max="5897" width="13.41015625" customWidth="1"/>
    <col min="5898" max="5898" width="16.41015625" customWidth="1"/>
    <col min="5899" max="5899" width="12.29296875" customWidth="1"/>
    <col min="5900" max="5900" width="13.41015625" customWidth="1"/>
    <col min="5901" max="5902" width="12.29296875" customWidth="1"/>
    <col min="5903" max="5903" width="12.703125" customWidth="1"/>
    <col min="5904" max="5904" width="14.29296875" customWidth="1"/>
    <col min="5905" max="5909" width="12.41015625" customWidth="1"/>
    <col min="6141" max="6141" width="4" customWidth="1"/>
    <col min="6142" max="6142" width="1.1171875" customWidth="1"/>
    <col min="6143" max="6143" width="33.703125" customWidth="1"/>
    <col min="6144" max="6144" width="12.5859375" customWidth="1"/>
    <col min="6145" max="6145" width="11.5859375" customWidth="1"/>
    <col min="6146" max="6146" width="10.41015625" customWidth="1"/>
    <col min="6147" max="6147" width="13.703125" customWidth="1"/>
    <col min="6148" max="6148" width="13.5859375" customWidth="1"/>
    <col min="6149" max="6149" width="13.41015625" customWidth="1"/>
    <col min="6150" max="6151" width="13.5859375" customWidth="1"/>
    <col min="6152" max="6152" width="13.703125" customWidth="1"/>
    <col min="6153" max="6153" width="13.41015625" customWidth="1"/>
    <col min="6154" max="6154" width="16.41015625" customWidth="1"/>
    <col min="6155" max="6155" width="12.29296875" customWidth="1"/>
    <col min="6156" max="6156" width="13.41015625" customWidth="1"/>
    <col min="6157" max="6158" width="12.29296875" customWidth="1"/>
    <col min="6159" max="6159" width="12.703125" customWidth="1"/>
    <col min="6160" max="6160" width="14.29296875" customWidth="1"/>
    <col min="6161" max="6165" width="12.41015625" customWidth="1"/>
    <col min="6397" max="6397" width="4" customWidth="1"/>
    <col min="6398" max="6398" width="1.1171875" customWidth="1"/>
    <col min="6399" max="6399" width="33.703125" customWidth="1"/>
    <col min="6400" max="6400" width="12.5859375" customWidth="1"/>
    <col min="6401" max="6401" width="11.5859375" customWidth="1"/>
    <col min="6402" max="6402" width="10.41015625" customWidth="1"/>
    <col min="6403" max="6403" width="13.703125" customWidth="1"/>
    <col min="6404" max="6404" width="13.5859375" customWidth="1"/>
    <col min="6405" max="6405" width="13.41015625" customWidth="1"/>
    <col min="6406" max="6407" width="13.5859375" customWidth="1"/>
    <col min="6408" max="6408" width="13.703125" customWidth="1"/>
    <col min="6409" max="6409" width="13.41015625" customWidth="1"/>
    <col min="6410" max="6410" width="16.41015625" customWidth="1"/>
    <col min="6411" max="6411" width="12.29296875" customWidth="1"/>
    <col min="6412" max="6412" width="13.41015625" customWidth="1"/>
    <col min="6413" max="6414" width="12.29296875" customWidth="1"/>
    <col min="6415" max="6415" width="12.703125" customWidth="1"/>
    <col min="6416" max="6416" width="14.29296875" customWidth="1"/>
    <col min="6417" max="6421" width="12.41015625" customWidth="1"/>
    <col min="6653" max="6653" width="4" customWidth="1"/>
    <col min="6654" max="6654" width="1.1171875" customWidth="1"/>
    <col min="6655" max="6655" width="33.703125" customWidth="1"/>
    <col min="6656" max="6656" width="12.5859375" customWidth="1"/>
    <col min="6657" max="6657" width="11.5859375" customWidth="1"/>
    <col min="6658" max="6658" width="10.41015625" customWidth="1"/>
    <col min="6659" max="6659" width="13.703125" customWidth="1"/>
    <col min="6660" max="6660" width="13.5859375" customWidth="1"/>
    <col min="6661" max="6661" width="13.41015625" customWidth="1"/>
    <col min="6662" max="6663" width="13.5859375" customWidth="1"/>
    <col min="6664" max="6664" width="13.703125" customWidth="1"/>
    <col min="6665" max="6665" width="13.41015625" customWidth="1"/>
    <col min="6666" max="6666" width="16.41015625" customWidth="1"/>
    <col min="6667" max="6667" width="12.29296875" customWidth="1"/>
    <col min="6668" max="6668" width="13.41015625" customWidth="1"/>
    <col min="6669" max="6670" width="12.29296875" customWidth="1"/>
    <col min="6671" max="6671" width="12.703125" customWidth="1"/>
    <col min="6672" max="6672" width="14.29296875" customWidth="1"/>
    <col min="6673" max="6677" width="12.41015625" customWidth="1"/>
    <col min="6909" max="6909" width="4" customWidth="1"/>
    <col min="6910" max="6910" width="1.1171875" customWidth="1"/>
    <col min="6911" max="6911" width="33.703125" customWidth="1"/>
    <col min="6912" max="6912" width="12.5859375" customWidth="1"/>
    <col min="6913" max="6913" width="11.5859375" customWidth="1"/>
    <col min="6914" max="6914" width="10.41015625" customWidth="1"/>
    <col min="6915" max="6915" width="13.703125" customWidth="1"/>
    <col min="6916" max="6916" width="13.5859375" customWidth="1"/>
    <col min="6917" max="6917" width="13.41015625" customWidth="1"/>
    <col min="6918" max="6919" width="13.5859375" customWidth="1"/>
    <col min="6920" max="6920" width="13.703125" customWidth="1"/>
    <col min="6921" max="6921" width="13.41015625" customWidth="1"/>
    <col min="6922" max="6922" width="16.41015625" customWidth="1"/>
    <col min="6923" max="6923" width="12.29296875" customWidth="1"/>
    <col min="6924" max="6924" width="13.41015625" customWidth="1"/>
    <col min="6925" max="6926" width="12.29296875" customWidth="1"/>
    <col min="6927" max="6927" width="12.703125" customWidth="1"/>
    <col min="6928" max="6928" width="14.29296875" customWidth="1"/>
    <col min="6929" max="6933" width="12.41015625" customWidth="1"/>
    <col min="7165" max="7165" width="4" customWidth="1"/>
    <col min="7166" max="7166" width="1.1171875" customWidth="1"/>
    <col min="7167" max="7167" width="33.703125" customWidth="1"/>
    <col min="7168" max="7168" width="12.5859375" customWidth="1"/>
    <col min="7169" max="7169" width="11.5859375" customWidth="1"/>
    <col min="7170" max="7170" width="10.41015625" customWidth="1"/>
    <col min="7171" max="7171" width="13.703125" customWidth="1"/>
    <col min="7172" max="7172" width="13.5859375" customWidth="1"/>
    <col min="7173" max="7173" width="13.41015625" customWidth="1"/>
    <col min="7174" max="7175" width="13.5859375" customWidth="1"/>
    <col min="7176" max="7176" width="13.703125" customWidth="1"/>
    <col min="7177" max="7177" width="13.41015625" customWidth="1"/>
    <col min="7178" max="7178" width="16.41015625" customWidth="1"/>
    <col min="7179" max="7179" width="12.29296875" customWidth="1"/>
    <col min="7180" max="7180" width="13.41015625" customWidth="1"/>
    <col min="7181" max="7182" width="12.29296875" customWidth="1"/>
    <col min="7183" max="7183" width="12.703125" customWidth="1"/>
    <col min="7184" max="7184" width="14.29296875" customWidth="1"/>
    <col min="7185" max="7189" width="12.41015625" customWidth="1"/>
    <col min="7421" max="7421" width="4" customWidth="1"/>
    <col min="7422" max="7422" width="1.1171875" customWidth="1"/>
    <col min="7423" max="7423" width="33.703125" customWidth="1"/>
    <col min="7424" max="7424" width="12.5859375" customWidth="1"/>
    <col min="7425" max="7425" width="11.5859375" customWidth="1"/>
    <col min="7426" max="7426" width="10.41015625" customWidth="1"/>
    <col min="7427" max="7427" width="13.703125" customWidth="1"/>
    <col min="7428" max="7428" width="13.5859375" customWidth="1"/>
    <col min="7429" max="7429" width="13.41015625" customWidth="1"/>
    <col min="7430" max="7431" width="13.5859375" customWidth="1"/>
    <col min="7432" max="7432" width="13.703125" customWidth="1"/>
    <col min="7433" max="7433" width="13.41015625" customWidth="1"/>
    <col min="7434" max="7434" width="16.41015625" customWidth="1"/>
    <col min="7435" max="7435" width="12.29296875" customWidth="1"/>
    <col min="7436" max="7436" width="13.41015625" customWidth="1"/>
    <col min="7437" max="7438" width="12.29296875" customWidth="1"/>
    <col min="7439" max="7439" width="12.703125" customWidth="1"/>
    <col min="7440" max="7440" width="14.29296875" customWidth="1"/>
    <col min="7441" max="7445" width="12.41015625" customWidth="1"/>
    <col min="7677" max="7677" width="4" customWidth="1"/>
    <col min="7678" max="7678" width="1.1171875" customWidth="1"/>
    <col min="7679" max="7679" width="33.703125" customWidth="1"/>
    <col min="7680" max="7680" width="12.5859375" customWidth="1"/>
    <col min="7681" max="7681" width="11.5859375" customWidth="1"/>
    <col min="7682" max="7682" width="10.41015625" customWidth="1"/>
    <col min="7683" max="7683" width="13.703125" customWidth="1"/>
    <col min="7684" max="7684" width="13.5859375" customWidth="1"/>
    <col min="7685" max="7685" width="13.41015625" customWidth="1"/>
    <col min="7686" max="7687" width="13.5859375" customWidth="1"/>
    <col min="7688" max="7688" width="13.703125" customWidth="1"/>
    <col min="7689" max="7689" width="13.41015625" customWidth="1"/>
    <col min="7690" max="7690" width="16.41015625" customWidth="1"/>
    <col min="7691" max="7691" width="12.29296875" customWidth="1"/>
    <col min="7692" max="7692" width="13.41015625" customWidth="1"/>
    <col min="7693" max="7694" width="12.29296875" customWidth="1"/>
    <col min="7695" max="7695" width="12.703125" customWidth="1"/>
    <col min="7696" max="7696" width="14.29296875" customWidth="1"/>
    <col min="7697" max="7701" width="12.41015625" customWidth="1"/>
    <col min="7933" max="7933" width="4" customWidth="1"/>
    <col min="7934" max="7934" width="1.1171875" customWidth="1"/>
    <col min="7935" max="7935" width="33.703125" customWidth="1"/>
    <col min="7936" max="7936" width="12.5859375" customWidth="1"/>
    <col min="7937" max="7937" width="11.5859375" customWidth="1"/>
    <col min="7938" max="7938" width="10.41015625" customWidth="1"/>
    <col min="7939" max="7939" width="13.703125" customWidth="1"/>
    <col min="7940" max="7940" width="13.5859375" customWidth="1"/>
    <col min="7941" max="7941" width="13.41015625" customWidth="1"/>
    <col min="7942" max="7943" width="13.5859375" customWidth="1"/>
    <col min="7944" max="7944" width="13.703125" customWidth="1"/>
    <col min="7945" max="7945" width="13.41015625" customWidth="1"/>
    <col min="7946" max="7946" width="16.41015625" customWidth="1"/>
    <col min="7947" max="7947" width="12.29296875" customWidth="1"/>
    <col min="7948" max="7948" width="13.41015625" customWidth="1"/>
    <col min="7949" max="7950" width="12.29296875" customWidth="1"/>
    <col min="7951" max="7951" width="12.703125" customWidth="1"/>
    <col min="7952" max="7952" width="14.29296875" customWidth="1"/>
    <col min="7953" max="7957" width="12.41015625" customWidth="1"/>
    <col min="8189" max="8189" width="4" customWidth="1"/>
    <col min="8190" max="8190" width="1.1171875" customWidth="1"/>
    <col min="8191" max="8191" width="33.703125" customWidth="1"/>
    <col min="8192" max="8192" width="12.5859375" customWidth="1"/>
    <col min="8193" max="8193" width="11.5859375" customWidth="1"/>
    <col min="8194" max="8194" width="10.41015625" customWidth="1"/>
    <col min="8195" max="8195" width="13.703125" customWidth="1"/>
    <col min="8196" max="8196" width="13.5859375" customWidth="1"/>
    <col min="8197" max="8197" width="13.41015625" customWidth="1"/>
    <col min="8198" max="8199" width="13.5859375" customWidth="1"/>
    <col min="8200" max="8200" width="13.703125" customWidth="1"/>
    <col min="8201" max="8201" width="13.41015625" customWidth="1"/>
    <col min="8202" max="8202" width="16.41015625" customWidth="1"/>
    <col min="8203" max="8203" width="12.29296875" customWidth="1"/>
    <col min="8204" max="8204" width="13.41015625" customWidth="1"/>
    <col min="8205" max="8206" width="12.29296875" customWidth="1"/>
    <col min="8207" max="8207" width="12.703125" customWidth="1"/>
    <col min="8208" max="8208" width="14.29296875" customWidth="1"/>
    <col min="8209" max="8213" width="12.41015625" customWidth="1"/>
    <col min="8445" max="8445" width="4" customWidth="1"/>
    <col min="8446" max="8446" width="1.1171875" customWidth="1"/>
    <col min="8447" max="8447" width="33.703125" customWidth="1"/>
    <col min="8448" max="8448" width="12.5859375" customWidth="1"/>
    <col min="8449" max="8449" width="11.5859375" customWidth="1"/>
    <col min="8450" max="8450" width="10.41015625" customWidth="1"/>
    <col min="8451" max="8451" width="13.703125" customWidth="1"/>
    <col min="8452" max="8452" width="13.5859375" customWidth="1"/>
    <col min="8453" max="8453" width="13.41015625" customWidth="1"/>
    <col min="8454" max="8455" width="13.5859375" customWidth="1"/>
    <col min="8456" max="8456" width="13.703125" customWidth="1"/>
    <col min="8457" max="8457" width="13.41015625" customWidth="1"/>
    <col min="8458" max="8458" width="16.41015625" customWidth="1"/>
    <col min="8459" max="8459" width="12.29296875" customWidth="1"/>
    <col min="8460" max="8460" width="13.41015625" customWidth="1"/>
    <col min="8461" max="8462" width="12.29296875" customWidth="1"/>
    <col min="8463" max="8463" width="12.703125" customWidth="1"/>
    <col min="8464" max="8464" width="14.29296875" customWidth="1"/>
    <col min="8465" max="8469" width="12.41015625" customWidth="1"/>
    <col min="8701" max="8701" width="4" customWidth="1"/>
    <col min="8702" max="8702" width="1.1171875" customWidth="1"/>
    <col min="8703" max="8703" width="33.703125" customWidth="1"/>
    <col min="8704" max="8704" width="12.5859375" customWidth="1"/>
    <col min="8705" max="8705" width="11.5859375" customWidth="1"/>
    <col min="8706" max="8706" width="10.41015625" customWidth="1"/>
    <col min="8707" max="8707" width="13.703125" customWidth="1"/>
    <col min="8708" max="8708" width="13.5859375" customWidth="1"/>
    <col min="8709" max="8709" width="13.41015625" customWidth="1"/>
    <col min="8710" max="8711" width="13.5859375" customWidth="1"/>
    <col min="8712" max="8712" width="13.703125" customWidth="1"/>
    <col min="8713" max="8713" width="13.41015625" customWidth="1"/>
    <col min="8714" max="8714" width="16.41015625" customWidth="1"/>
    <col min="8715" max="8715" width="12.29296875" customWidth="1"/>
    <col min="8716" max="8716" width="13.41015625" customWidth="1"/>
    <col min="8717" max="8718" width="12.29296875" customWidth="1"/>
    <col min="8719" max="8719" width="12.703125" customWidth="1"/>
    <col min="8720" max="8720" width="14.29296875" customWidth="1"/>
    <col min="8721" max="8725" width="12.41015625" customWidth="1"/>
    <col min="8957" max="8957" width="4" customWidth="1"/>
    <col min="8958" max="8958" width="1.1171875" customWidth="1"/>
    <col min="8959" max="8959" width="33.703125" customWidth="1"/>
    <col min="8960" max="8960" width="12.5859375" customWidth="1"/>
    <col min="8961" max="8961" width="11.5859375" customWidth="1"/>
    <col min="8962" max="8962" width="10.41015625" customWidth="1"/>
    <col min="8963" max="8963" width="13.703125" customWidth="1"/>
    <col min="8964" max="8964" width="13.5859375" customWidth="1"/>
    <col min="8965" max="8965" width="13.41015625" customWidth="1"/>
    <col min="8966" max="8967" width="13.5859375" customWidth="1"/>
    <col min="8968" max="8968" width="13.703125" customWidth="1"/>
    <col min="8969" max="8969" width="13.41015625" customWidth="1"/>
    <col min="8970" max="8970" width="16.41015625" customWidth="1"/>
    <col min="8971" max="8971" width="12.29296875" customWidth="1"/>
    <col min="8972" max="8972" width="13.41015625" customWidth="1"/>
    <col min="8973" max="8974" width="12.29296875" customWidth="1"/>
    <col min="8975" max="8975" width="12.703125" customWidth="1"/>
    <col min="8976" max="8976" width="14.29296875" customWidth="1"/>
    <col min="8977" max="8981" width="12.41015625" customWidth="1"/>
    <col min="9213" max="9213" width="4" customWidth="1"/>
    <col min="9214" max="9214" width="1.1171875" customWidth="1"/>
    <col min="9215" max="9215" width="33.703125" customWidth="1"/>
    <col min="9216" max="9216" width="12.5859375" customWidth="1"/>
    <col min="9217" max="9217" width="11.5859375" customWidth="1"/>
    <col min="9218" max="9218" width="10.41015625" customWidth="1"/>
    <col min="9219" max="9219" width="13.703125" customWidth="1"/>
    <col min="9220" max="9220" width="13.5859375" customWidth="1"/>
    <col min="9221" max="9221" width="13.41015625" customWidth="1"/>
    <col min="9222" max="9223" width="13.5859375" customWidth="1"/>
    <col min="9224" max="9224" width="13.703125" customWidth="1"/>
    <col min="9225" max="9225" width="13.41015625" customWidth="1"/>
    <col min="9226" max="9226" width="16.41015625" customWidth="1"/>
    <col min="9227" max="9227" width="12.29296875" customWidth="1"/>
    <col min="9228" max="9228" width="13.41015625" customWidth="1"/>
    <col min="9229" max="9230" width="12.29296875" customWidth="1"/>
    <col min="9231" max="9231" width="12.703125" customWidth="1"/>
    <col min="9232" max="9232" width="14.29296875" customWidth="1"/>
    <col min="9233" max="9237" width="12.41015625" customWidth="1"/>
    <col min="9469" max="9469" width="4" customWidth="1"/>
    <col min="9470" max="9470" width="1.1171875" customWidth="1"/>
    <col min="9471" max="9471" width="33.703125" customWidth="1"/>
    <col min="9472" max="9472" width="12.5859375" customWidth="1"/>
    <col min="9473" max="9473" width="11.5859375" customWidth="1"/>
    <col min="9474" max="9474" width="10.41015625" customWidth="1"/>
    <col min="9475" max="9475" width="13.703125" customWidth="1"/>
    <col min="9476" max="9476" width="13.5859375" customWidth="1"/>
    <col min="9477" max="9477" width="13.41015625" customWidth="1"/>
    <col min="9478" max="9479" width="13.5859375" customWidth="1"/>
    <col min="9480" max="9480" width="13.703125" customWidth="1"/>
    <col min="9481" max="9481" width="13.41015625" customWidth="1"/>
    <col min="9482" max="9482" width="16.41015625" customWidth="1"/>
    <col min="9483" max="9483" width="12.29296875" customWidth="1"/>
    <col min="9484" max="9484" width="13.41015625" customWidth="1"/>
    <col min="9485" max="9486" width="12.29296875" customWidth="1"/>
    <col min="9487" max="9487" width="12.703125" customWidth="1"/>
    <col min="9488" max="9488" width="14.29296875" customWidth="1"/>
    <col min="9489" max="9493" width="12.41015625" customWidth="1"/>
    <col min="9725" max="9725" width="4" customWidth="1"/>
    <col min="9726" max="9726" width="1.1171875" customWidth="1"/>
    <col min="9727" max="9727" width="33.703125" customWidth="1"/>
    <col min="9728" max="9728" width="12.5859375" customWidth="1"/>
    <col min="9729" max="9729" width="11.5859375" customWidth="1"/>
    <col min="9730" max="9730" width="10.41015625" customWidth="1"/>
    <col min="9731" max="9731" width="13.703125" customWidth="1"/>
    <col min="9732" max="9732" width="13.5859375" customWidth="1"/>
    <col min="9733" max="9733" width="13.41015625" customWidth="1"/>
    <col min="9734" max="9735" width="13.5859375" customWidth="1"/>
    <col min="9736" max="9736" width="13.703125" customWidth="1"/>
    <col min="9737" max="9737" width="13.41015625" customWidth="1"/>
    <col min="9738" max="9738" width="16.41015625" customWidth="1"/>
    <col min="9739" max="9739" width="12.29296875" customWidth="1"/>
    <col min="9740" max="9740" width="13.41015625" customWidth="1"/>
    <col min="9741" max="9742" width="12.29296875" customWidth="1"/>
    <col min="9743" max="9743" width="12.703125" customWidth="1"/>
    <col min="9744" max="9744" width="14.29296875" customWidth="1"/>
    <col min="9745" max="9749" width="12.41015625" customWidth="1"/>
    <col min="9981" max="9981" width="4" customWidth="1"/>
    <col min="9982" max="9982" width="1.1171875" customWidth="1"/>
    <col min="9983" max="9983" width="33.703125" customWidth="1"/>
    <col min="9984" max="9984" width="12.5859375" customWidth="1"/>
    <col min="9985" max="9985" width="11.5859375" customWidth="1"/>
    <col min="9986" max="9986" width="10.41015625" customWidth="1"/>
    <col min="9987" max="9987" width="13.703125" customWidth="1"/>
    <col min="9988" max="9988" width="13.5859375" customWidth="1"/>
    <col min="9989" max="9989" width="13.41015625" customWidth="1"/>
    <col min="9990" max="9991" width="13.5859375" customWidth="1"/>
    <col min="9992" max="9992" width="13.703125" customWidth="1"/>
    <col min="9993" max="9993" width="13.41015625" customWidth="1"/>
    <col min="9994" max="9994" width="16.41015625" customWidth="1"/>
    <col min="9995" max="9995" width="12.29296875" customWidth="1"/>
    <col min="9996" max="9996" width="13.41015625" customWidth="1"/>
    <col min="9997" max="9998" width="12.29296875" customWidth="1"/>
    <col min="9999" max="9999" width="12.703125" customWidth="1"/>
    <col min="10000" max="10000" width="14.29296875" customWidth="1"/>
    <col min="10001" max="10005" width="12.41015625" customWidth="1"/>
    <col min="10237" max="10237" width="4" customWidth="1"/>
    <col min="10238" max="10238" width="1.1171875" customWidth="1"/>
    <col min="10239" max="10239" width="33.703125" customWidth="1"/>
    <col min="10240" max="10240" width="12.5859375" customWidth="1"/>
    <col min="10241" max="10241" width="11.5859375" customWidth="1"/>
    <col min="10242" max="10242" width="10.41015625" customWidth="1"/>
    <col min="10243" max="10243" width="13.703125" customWidth="1"/>
    <col min="10244" max="10244" width="13.5859375" customWidth="1"/>
    <col min="10245" max="10245" width="13.41015625" customWidth="1"/>
    <col min="10246" max="10247" width="13.5859375" customWidth="1"/>
    <col min="10248" max="10248" width="13.703125" customWidth="1"/>
    <col min="10249" max="10249" width="13.41015625" customWidth="1"/>
    <col min="10250" max="10250" width="16.41015625" customWidth="1"/>
    <col min="10251" max="10251" width="12.29296875" customWidth="1"/>
    <col min="10252" max="10252" width="13.41015625" customWidth="1"/>
    <col min="10253" max="10254" width="12.29296875" customWidth="1"/>
    <col min="10255" max="10255" width="12.703125" customWidth="1"/>
    <col min="10256" max="10256" width="14.29296875" customWidth="1"/>
    <col min="10257" max="10261" width="12.41015625" customWidth="1"/>
    <col min="10493" max="10493" width="4" customWidth="1"/>
    <col min="10494" max="10494" width="1.1171875" customWidth="1"/>
    <col min="10495" max="10495" width="33.703125" customWidth="1"/>
    <col min="10496" max="10496" width="12.5859375" customWidth="1"/>
    <col min="10497" max="10497" width="11.5859375" customWidth="1"/>
    <col min="10498" max="10498" width="10.41015625" customWidth="1"/>
    <col min="10499" max="10499" width="13.703125" customWidth="1"/>
    <col min="10500" max="10500" width="13.5859375" customWidth="1"/>
    <col min="10501" max="10501" width="13.41015625" customWidth="1"/>
    <col min="10502" max="10503" width="13.5859375" customWidth="1"/>
    <col min="10504" max="10504" width="13.703125" customWidth="1"/>
    <col min="10505" max="10505" width="13.41015625" customWidth="1"/>
    <col min="10506" max="10506" width="16.41015625" customWidth="1"/>
    <col min="10507" max="10507" width="12.29296875" customWidth="1"/>
    <col min="10508" max="10508" width="13.41015625" customWidth="1"/>
    <col min="10509" max="10510" width="12.29296875" customWidth="1"/>
    <col min="10511" max="10511" width="12.703125" customWidth="1"/>
    <col min="10512" max="10512" width="14.29296875" customWidth="1"/>
    <col min="10513" max="10517" width="12.41015625" customWidth="1"/>
    <col min="10749" max="10749" width="4" customWidth="1"/>
    <col min="10750" max="10750" width="1.1171875" customWidth="1"/>
    <col min="10751" max="10751" width="33.703125" customWidth="1"/>
    <col min="10752" max="10752" width="12.5859375" customWidth="1"/>
    <col min="10753" max="10753" width="11.5859375" customWidth="1"/>
    <col min="10754" max="10754" width="10.41015625" customWidth="1"/>
    <col min="10755" max="10755" width="13.703125" customWidth="1"/>
    <col min="10756" max="10756" width="13.5859375" customWidth="1"/>
    <col min="10757" max="10757" width="13.41015625" customWidth="1"/>
    <col min="10758" max="10759" width="13.5859375" customWidth="1"/>
    <col min="10760" max="10760" width="13.703125" customWidth="1"/>
    <col min="10761" max="10761" width="13.41015625" customWidth="1"/>
    <col min="10762" max="10762" width="16.41015625" customWidth="1"/>
    <col min="10763" max="10763" width="12.29296875" customWidth="1"/>
    <col min="10764" max="10764" width="13.41015625" customWidth="1"/>
    <col min="10765" max="10766" width="12.29296875" customWidth="1"/>
    <col min="10767" max="10767" width="12.703125" customWidth="1"/>
    <col min="10768" max="10768" width="14.29296875" customWidth="1"/>
    <col min="10769" max="10773" width="12.41015625" customWidth="1"/>
    <col min="11005" max="11005" width="4" customWidth="1"/>
    <col min="11006" max="11006" width="1.1171875" customWidth="1"/>
    <col min="11007" max="11007" width="33.703125" customWidth="1"/>
    <col min="11008" max="11008" width="12.5859375" customWidth="1"/>
    <col min="11009" max="11009" width="11.5859375" customWidth="1"/>
    <col min="11010" max="11010" width="10.41015625" customWidth="1"/>
    <col min="11011" max="11011" width="13.703125" customWidth="1"/>
    <col min="11012" max="11012" width="13.5859375" customWidth="1"/>
    <col min="11013" max="11013" width="13.41015625" customWidth="1"/>
    <col min="11014" max="11015" width="13.5859375" customWidth="1"/>
    <col min="11016" max="11016" width="13.703125" customWidth="1"/>
    <col min="11017" max="11017" width="13.41015625" customWidth="1"/>
    <col min="11018" max="11018" width="16.41015625" customWidth="1"/>
    <col min="11019" max="11019" width="12.29296875" customWidth="1"/>
    <col min="11020" max="11020" width="13.41015625" customWidth="1"/>
    <col min="11021" max="11022" width="12.29296875" customWidth="1"/>
    <col min="11023" max="11023" width="12.703125" customWidth="1"/>
    <col min="11024" max="11024" width="14.29296875" customWidth="1"/>
    <col min="11025" max="11029" width="12.41015625" customWidth="1"/>
    <col min="11261" max="11261" width="4" customWidth="1"/>
    <col min="11262" max="11262" width="1.1171875" customWidth="1"/>
    <col min="11263" max="11263" width="33.703125" customWidth="1"/>
    <col min="11264" max="11264" width="12.5859375" customWidth="1"/>
    <col min="11265" max="11265" width="11.5859375" customWidth="1"/>
    <col min="11266" max="11266" width="10.41015625" customWidth="1"/>
    <col min="11267" max="11267" width="13.703125" customWidth="1"/>
    <col min="11268" max="11268" width="13.5859375" customWidth="1"/>
    <col min="11269" max="11269" width="13.41015625" customWidth="1"/>
    <col min="11270" max="11271" width="13.5859375" customWidth="1"/>
    <col min="11272" max="11272" width="13.703125" customWidth="1"/>
    <col min="11273" max="11273" width="13.41015625" customWidth="1"/>
    <col min="11274" max="11274" width="16.41015625" customWidth="1"/>
    <col min="11275" max="11275" width="12.29296875" customWidth="1"/>
    <col min="11276" max="11276" width="13.41015625" customWidth="1"/>
    <col min="11277" max="11278" width="12.29296875" customWidth="1"/>
    <col min="11279" max="11279" width="12.703125" customWidth="1"/>
    <col min="11280" max="11280" width="14.29296875" customWidth="1"/>
    <col min="11281" max="11285" width="12.41015625" customWidth="1"/>
    <col min="11517" max="11517" width="4" customWidth="1"/>
    <col min="11518" max="11518" width="1.1171875" customWidth="1"/>
    <col min="11519" max="11519" width="33.703125" customWidth="1"/>
    <col min="11520" max="11520" width="12.5859375" customWidth="1"/>
    <col min="11521" max="11521" width="11.5859375" customWidth="1"/>
    <col min="11522" max="11522" width="10.41015625" customWidth="1"/>
    <col min="11523" max="11523" width="13.703125" customWidth="1"/>
    <col min="11524" max="11524" width="13.5859375" customWidth="1"/>
    <col min="11525" max="11525" width="13.41015625" customWidth="1"/>
    <col min="11526" max="11527" width="13.5859375" customWidth="1"/>
    <col min="11528" max="11528" width="13.703125" customWidth="1"/>
    <col min="11529" max="11529" width="13.41015625" customWidth="1"/>
    <col min="11530" max="11530" width="16.41015625" customWidth="1"/>
    <col min="11531" max="11531" width="12.29296875" customWidth="1"/>
    <col min="11532" max="11532" width="13.41015625" customWidth="1"/>
    <col min="11533" max="11534" width="12.29296875" customWidth="1"/>
    <col min="11535" max="11535" width="12.703125" customWidth="1"/>
    <col min="11536" max="11536" width="14.29296875" customWidth="1"/>
    <col min="11537" max="11541" width="12.41015625" customWidth="1"/>
    <col min="11773" max="11773" width="4" customWidth="1"/>
    <col min="11774" max="11774" width="1.1171875" customWidth="1"/>
    <col min="11775" max="11775" width="33.703125" customWidth="1"/>
    <col min="11776" max="11776" width="12.5859375" customWidth="1"/>
    <col min="11777" max="11777" width="11.5859375" customWidth="1"/>
    <col min="11778" max="11778" width="10.41015625" customWidth="1"/>
    <col min="11779" max="11779" width="13.703125" customWidth="1"/>
    <col min="11780" max="11780" width="13.5859375" customWidth="1"/>
    <col min="11781" max="11781" width="13.41015625" customWidth="1"/>
    <col min="11782" max="11783" width="13.5859375" customWidth="1"/>
    <col min="11784" max="11784" width="13.703125" customWidth="1"/>
    <col min="11785" max="11785" width="13.41015625" customWidth="1"/>
    <col min="11786" max="11786" width="16.41015625" customWidth="1"/>
    <col min="11787" max="11787" width="12.29296875" customWidth="1"/>
    <col min="11788" max="11788" width="13.41015625" customWidth="1"/>
    <col min="11789" max="11790" width="12.29296875" customWidth="1"/>
    <col min="11791" max="11791" width="12.703125" customWidth="1"/>
    <col min="11792" max="11792" width="14.29296875" customWidth="1"/>
    <col min="11793" max="11797" width="12.41015625" customWidth="1"/>
    <col min="12029" max="12029" width="4" customWidth="1"/>
    <col min="12030" max="12030" width="1.1171875" customWidth="1"/>
    <col min="12031" max="12031" width="33.703125" customWidth="1"/>
    <col min="12032" max="12032" width="12.5859375" customWidth="1"/>
    <col min="12033" max="12033" width="11.5859375" customWidth="1"/>
    <col min="12034" max="12034" width="10.41015625" customWidth="1"/>
    <col min="12035" max="12035" width="13.703125" customWidth="1"/>
    <col min="12036" max="12036" width="13.5859375" customWidth="1"/>
    <col min="12037" max="12037" width="13.41015625" customWidth="1"/>
    <col min="12038" max="12039" width="13.5859375" customWidth="1"/>
    <col min="12040" max="12040" width="13.703125" customWidth="1"/>
    <col min="12041" max="12041" width="13.41015625" customWidth="1"/>
    <col min="12042" max="12042" width="16.41015625" customWidth="1"/>
    <col min="12043" max="12043" width="12.29296875" customWidth="1"/>
    <col min="12044" max="12044" width="13.41015625" customWidth="1"/>
    <col min="12045" max="12046" width="12.29296875" customWidth="1"/>
    <col min="12047" max="12047" width="12.703125" customWidth="1"/>
    <col min="12048" max="12048" width="14.29296875" customWidth="1"/>
    <col min="12049" max="12053" width="12.41015625" customWidth="1"/>
    <col min="12285" max="12285" width="4" customWidth="1"/>
    <col min="12286" max="12286" width="1.1171875" customWidth="1"/>
    <col min="12287" max="12287" width="33.703125" customWidth="1"/>
    <col min="12288" max="12288" width="12.5859375" customWidth="1"/>
    <col min="12289" max="12289" width="11.5859375" customWidth="1"/>
    <col min="12290" max="12290" width="10.41015625" customWidth="1"/>
    <col min="12291" max="12291" width="13.703125" customWidth="1"/>
    <col min="12292" max="12292" width="13.5859375" customWidth="1"/>
    <col min="12293" max="12293" width="13.41015625" customWidth="1"/>
    <col min="12294" max="12295" width="13.5859375" customWidth="1"/>
    <col min="12296" max="12296" width="13.703125" customWidth="1"/>
    <col min="12297" max="12297" width="13.41015625" customWidth="1"/>
    <col min="12298" max="12298" width="16.41015625" customWidth="1"/>
    <col min="12299" max="12299" width="12.29296875" customWidth="1"/>
    <col min="12300" max="12300" width="13.41015625" customWidth="1"/>
    <col min="12301" max="12302" width="12.29296875" customWidth="1"/>
    <col min="12303" max="12303" width="12.703125" customWidth="1"/>
    <col min="12304" max="12304" width="14.29296875" customWidth="1"/>
    <col min="12305" max="12309" width="12.41015625" customWidth="1"/>
    <col min="12541" max="12541" width="4" customWidth="1"/>
    <col min="12542" max="12542" width="1.1171875" customWidth="1"/>
    <col min="12543" max="12543" width="33.703125" customWidth="1"/>
    <col min="12544" max="12544" width="12.5859375" customWidth="1"/>
    <col min="12545" max="12545" width="11.5859375" customWidth="1"/>
    <col min="12546" max="12546" width="10.41015625" customWidth="1"/>
    <col min="12547" max="12547" width="13.703125" customWidth="1"/>
    <col min="12548" max="12548" width="13.5859375" customWidth="1"/>
    <col min="12549" max="12549" width="13.41015625" customWidth="1"/>
    <col min="12550" max="12551" width="13.5859375" customWidth="1"/>
    <col min="12552" max="12552" width="13.703125" customWidth="1"/>
    <col min="12553" max="12553" width="13.41015625" customWidth="1"/>
    <col min="12554" max="12554" width="16.41015625" customWidth="1"/>
    <col min="12555" max="12555" width="12.29296875" customWidth="1"/>
    <col min="12556" max="12556" width="13.41015625" customWidth="1"/>
    <col min="12557" max="12558" width="12.29296875" customWidth="1"/>
    <col min="12559" max="12559" width="12.703125" customWidth="1"/>
    <col min="12560" max="12560" width="14.29296875" customWidth="1"/>
    <col min="12561" max="12565" width="12.41015625" customWidth="1"/>
    <col min="12797" max="12797" width="4" customWidth="1"/>
    <col min="12798" max="12798" width="1.1171875" customWidth="1"/>
    <col min="12799" max="12799" width="33.703125" customWidth="1"/>
    <col min="12800" max="12800" width="12.5859375" customWidth="1"/>
    <col min="12801" max="12801" width="11.5859375" customWidth="1"/>
    <col min="12802" max="12802" width="10.41015625" customWidth="1"/>
    <col min="12803" max="12803" width="13.703125" customWidth="1"/>
    <col min="12804" max="12804" width="13.5859375" customWidth="1"/>
    <col min="12805" max="12805" width="13.41015625" customWidth="1"/>
    <col min="12806" max="12807" width="13.5859375" customWidth="1"/>
    <col min="12808" max="12808" width="13.703125" customWidth="1"/>
    <col min="12809" max="12809" width="13.41015625" customWidth="1"/>
    <col min="12810" max="12810" width="16.41015625" customWidth="1"/>
    <col min="12811" max="12811" width="12.29296875" customWidth="1"/>
    <col min="12812" max="12812" width="13.41015625" customWidth="1"/>
    <col min="12813" max="12814" width="12.29296875" customWidth="1"/>
    <col min="12815" max="12815" width="12.703125" customWidth="1"/>
    <col min="12816" max="12816" width="14.29296875" customWidth="1"/>
    <col min="12817" max="12821" width="12.41015625" customWidth="1"/>
    <col min="13053" max="13053" width="4" customWidth="1"/>
    <col min="13054" max="13054" width="1.1171875" customWidth="1"/>
    <col min="13055" max="13055" width="33.703125" customWidth="1"/>
    <col min="13056" max="13056" width="12.5859375" customWidth="1"/>
    <col min="13057" max="13057" width="11.5859375" customWidth="1"/>
    <col min="13058" max="13058" width="10.41015625" customWidth="1"/>
    <col min="13059" max="13059" width="13.703125" customWidth="1"/>
    <col min="13060" max="13060" width="13.5859375" customWidth="1"/>
    <col min="13061" max="13061" width="13.41015625" customWidth="1"/>
    <col min="13062" max="13063" width="13.5859375" customWidth="1"/>
    <col min="13064" max="13064" width="13.703125" customWidth="1"/>
    <col min="13065" max="13065" width="13.41015625" customWidth="1"/>
    <col min="13066" max="13066" width="16.41015625" customWidth="1"/>
    <col min="13067" max="13067" width="12.29296875" customWidth="1"/>
    <col min="13068" max="13068" width="13.41015625" customWidth="1"/>
    <col min="13069" max="13070" width="12.29296875" customWidth="1"/>
    <col min="13071" max="13071" width="12.703125" customWidth="1"/>
    <col min="13072" max="13072" width="14.29296875" customWidth="1"/>
    <col min="13073" max="13077" width="12.41015625" customWidth="1"/>
    <col min="13309" max="13309" width="4" customWidth="1"/>
    <col min="13310" max="13310" width="1.1171875" customWidth="1"/>
    <col min="13311" max="13311" width="33.703125" customWidth="1"/>
    <col min="13312" max="13312" width="12.5859375" customWidth="1"/>
    <col min="13313" max="13313" width="11.5859375" customWidth="1"/>
    <col min="13314" max="13314" width="10.41015625" customWidth="1"/>
    <col min="13315" max="13315" width="13.703125" customWidth="1"/>
    <col min="13316" max="13316" width="13.5859375" customWidth="1"/>
    <col min="13317" max="13317" width="13.41015625" customWidth="1"/>
    <col min="13318" max="13319" width="13.5859375" customWidth="1"/>
    <col min="13320" max="13320" width="13.703125" customWidth="1"/>
    <col min="13321" max="13321" width="13.41015625" customWidth="1"/>
    <col min="13322" max="13322" width="16.41015625" customWidth="1"/>
    <col min="13323" max="13323" width="12.29296875" customWidth="1"/>
    <col min="13324" max="13324" width="13.41015625" customWidth="1"/>
    <col min="13325" max="13326" width="12.29296875" customWidth="1"/>
    <col min="13327" max="13327" width="12.703125" customWidth="1"/>
    <col min="13328" max="13328" width="14.29296875" customWidth="1"/>
    <col min="13329" max="13333" width="12.41015625" customWidth="1"/>
    <col min="13565" max="13565" width="4" customWidth="1"/>
    <col min="13566" max="13566" width="1.1171875" customWidth="1"/>
    <col min="13567" max="13567" width="33.703125" customWidth="1"/>
    <col min="13568" max="13568" width="12.5859375" customWidth="1"/>
    <col min="13569" max="13569" width="11.5859375" customWidth="1"/>
    <col min="13570" max="13570" width="10.41015625" customWidth="1"/>
    <col min="13571" max="13571" width="13.703125" customWidth="1"/>
    <col min="13572" max="13572" width="13.5859375" customWidth="1"/>
    <col min="13573" max="13573" width="13.41015625" customWidth="1"/>
    <col min="13574" max="13575" width="13.5859375" customWidth="1"/>
    <col min="13576" max="13576" width="13.703125" customWidth="1"/>
    <col min="13577" max="13577" width="13.41015625" customWidth="1"/>
    <col min="13578" max="13578" width="16.41015625" customWidth="1"/>
    <col min="13579" max="13579" width="12.29296875" customWidth="1"/>
    <col min="13580" max="13580" width="13.41015625" customWidth="1"/>
    <col min="13581" max="13582" width="12.29296875" customWidth="1"/>
    <col min="13583" max="13583" width="12.703125" customWidth="1"/>
    <col min="13584" max="13584" width="14.29296875" customWidth="1"/>
    <col min="13585" max="13589" width="12.41015625" customWidth="1"/>
    <col min="13821" max="13821" width="4" customWidth="1"/>
    <col min="13822" max="13822" width="1.1171875" customWidth="1"/>
    <col min="13823" max="13823" width="33.703125" customWidth="1"/>
    <col min="13824" max="13824" width="12.5859375" customWidth="1"/>
    <col min="13825" max="13825" width="11.5859375" customWidth="1"/>
    <col min="13826" max="13826" width="10.41015625" customWidth="1"/>
    <col min="13827" max="13827" width="13.703125" customWidth="1"/>
    <col min="13828" max="13828" width="13.5859375" customWidth="1"/>
    <col min="13829" max="13829" width="13.41015625" customWidth="1"/>
    <col min="13830" max="13831" width="13.5859375" customWidth="1"/>
    <col min="13832" max="13832" width="13.703125" customWidth="1"/>
    <col min="13833" max="13833" width="13.41015625" customWidth="1"/>
    <col min="13834" max="13834" width="16.41015625" customWidth="1"/>
    <col min="13835" max="13835" width="12.29296875" customWidth="1"/>
    <col min="13836" max="13836" width="13.41015625" customWidth="1"/>
    <col min="13837" max="13838" width="12.29296875" customWidth="1"/>
    <col min="13839" max="13839" width="12.703125" customWidth="1"/>
    <col min="13840" max="13840" width="14.29296875" customWidth="1"/>
    <col min="13841" max="13845" width="12.41015625" customWidth="1"/>
    <col min="14077" max="14077" width="4" customWidth="1"/>
    <col min="14078" max="14078" width="1.1171875" customWidth="1"/>
    <col min="14079" max="14079" width="33.703125" customWidth="1"/>
    <col min="14080" max="14080" width="12.5859375" customWidth="1"/>
    <col min="14081" max="14081" width="11.5859375" customWidth="1"/>
    <col min="14082" max="14082" width="10.41015625" customWidth="1"/>
    <col min="14083" max="14083" width="13.703125" customWidth="1"/>
    <col min="14084" max="14084" width="13.5859375" customWidth="1"/>
    <col min="14085" max="14085" width="13.41015625" customWidth="1"/>
    <col min="14086" max="14087" width="13.5859375" customWidth="1"/>
    <col min="14088" max="14088" width="13.703125" customWidth="1"/>
    <col min="14089" max="14089" width="13.41015625" customWidth="1"/>
    <col min="14090" max="14090" width="16.41015625" customWidth="1"/>
    <col min="14091" max="14091" width="12.29296875" customWidth="1"/>
    <col min="14092" max="14092" width="13.41015625" customWidth="1"/>
    <col min="14093" max="14094" width="12.29296875" customWidth="1"/>
    <col min="14095" max="14095" width="12.703125" customWidth="1"/>
    <col min="14096" max="14096" width="14.29296875" customWidth="1"/>
    <col min="14097" max="14101" width="12.41015625" customWidth="1"/>
    <col min="14333" max="14333" width="4" customWidth="1"/>
    <col min="14334" max="14334" width="1.1171875" customWidth="1"/>
    <col min="14335" max="14335" width="33.703125" customWidth="1"/>
    <col min="14336" max="14336" width="12.5859375" customWidth="1"/>
    <col min="14337" max="14337" width="11.5859375" customWidth="1"/>
    <col min="14338" max="14338" width="10.41015625" customWidth="1"/>
    <col min="14339" max="14339" width="13.703125" customWidth="1"/>
    <col min="14340" max="14340" width="13.5859375" customWidth="1"/>
    <col min="14341" max="14341" width="13.41015625" customWidth="1"/>
    <col min="14342" max="14343" width="13.5859375" customWidth="1"/>
    <col min="14344" max="14344" width="13.703125" customWidth="1"/>
    <col min="14345" max="14345" width="13.41015625" customWidth="1"/>
    <col min="14346" max="14346" width="16.41015625" customWidth="1"/>
    <col min="14347" max="14347" width="12.29296875" customWidth="1"/>
    <col min="14348" max="14348" width="13.41015625" customWidth="1"/>
    <col min="14349" max="14350" width="12.29296875" customWidth="1"/>
    <col min="14351" max="14351" width="12.703125" customWidth="1"/>
    <col min="14352" max="14352" width="14.29296875" customWidth="1"/>
    <col min="14353" max="14357" width="12.41015625" customWidth="1"/>
    <col min="14589" max="14589" width="4" customWidth="1"/>
    <col min="14590" max="14590" width="1.1171875" customWidth="1"/>
    <col min="14591" max="14591" width="33.703125" customWidth="1"/>
    <col min="14592" max="14592" width="12.5859375" customWidth="1"/>
    <col min="14593" max="14593" width="11.5859375" customWidth="1"/>
    <col min="14594" max="14594" width="10.41015625" customWidth="1"/>
    <col min="14595" max="14595" width="13.703125" customWidth="1"/>
    <col min="14596" max="14596" width="13.5859375" customWidth="1"/>
    <col min="14597" max="14597" width="13.41015625" customWidth="1"/>
    <col min="14598" max="14599" width="13.5859375" customWidth="1"/>
    <col min="14600" max="14600" width="13.703125" customWidth="1"/>
    <col min="14601" max="14601" width="13.41015625" customWidth="1"/>
    <col min="14602" max="14602" width="16.41015625" customWidth="1"/>
    <col min="14603" max="14603" width="12.29296875" customWidth="1"/>
    <col min="14604" max="14604" width="13.41015625" customWidth="1"/>
    <col min="14605" max="14606" width="12.29296875" customWidth="1"/>
    <col min="14607" max="14607" width="12.703125" customWidth="1"/>
    <col min="14608" max="14608" width="14.29296875" customWidth="1"/>
    <col min="14609" max="14613" width="12.41015625" customWidth="1"/>
    <col min="14845" max="14845" width="4" customWidth="1"/>
    <col min="14846" max="14846" width="1.1171875" customWidth="1"/>
    <col min="14847" max="14847" width="33.703125" customWidth="1"/>
    <col min="14848" max="14848" width="12.5859375" customWidth="1"/>
    <col min="14849" max="14849" width="11.5859375" customWidth="1"/>
    <col min="14850" max="14850" width="10.41015625" customWidth="1"/>
    <col min="14851" max="14851" width="13.703125" customWidth="1"/>
    <col min="14852" max="14852" width="13.5859375" customWidth="1"/>
    <col min="14853" max="14853" width="13.41015625" customWidth="1"/>
    <col min="14854" max="14855" width="13.5859375" customWidth="1"/>
    <col min="14856" max="14856" width="13.703125" customWidth="1"/>
    <col min="14857" max="14857" width="13.41015625" customWidth="1"/>
    <col min="14858" max="14858" width="16.41015625" customWidth="1"/>
    <col min="14859" max="14859" width="12.29296875" customWidth="1"/>
    <col min="14860" max="14860" width="13.41015625" customWidth="1"/>
    <col min="14861" max="14862" width="12.29296875" customWidth="1"/>
    <col min="14863" max="14863" width="12.703125" customWidth="1"/>
    <col min="14864" max="14864" width="14.29296875" customWidth="1"/>
    <col min="14865" max="14869" width="12.41015625" customWidth="1"/>
    <col min="15101" max="15101" width="4" customWidth="1"/>
    <col min="15102" max="15102" width="1.1171875" customWidth="1"/>
    <col min="15103" max="15103" width="33.703125" customWidth="1"/>
    <col min="15104" max="15104" width="12.5859375" customWidth="1"/>
    <col min="15105" max="15105" width="11.5859375" customWidth="1"/>
    <col min="15106" max="15106" width="10.41015625" customWidth="1"/>
    <col min="15107" max="15107" width="13.703125" customWidth="1"/>
    <col min="15108" max="15108" width="13.5859375" customWidth="1"/>
    <col min="15109" max="15109" width="13.41015625" customWidth="1"/>
    <col min="15110" max="15111" width="13.5859375" customWidth="1"/>
    <col min="15112" max="15112" width="13.703125" customWidth="1"/>
    <col min="15113" max="15113" width="13.41015625" customWidth="1"/>
    <col min="15114" max="15114" width="16.41015625" customWidth="1"/>
    <col min="15115" max="15115" width="12.29296875" customWidth="1"/>
    <col min="15116" max="15116" width="13.41015625" customWidth="1"/>
    <col min="15117" max="15118" width="12.29296875" customWidth="1"/>
    <col min="15119" max="15119" width="12.703125" customWidth="1"/>
    <col min="15120" max="15120" width="14.29296875" customWidth="1"/>
    <col min="15121" max="15125" width="12.41015625" customWidth="1"/>
    <col min="15357" max="15357" width="4" customWidth="1"/>
    <col min="15358" max="15358" width="1.1171875" customWidth="1"/>
    <col min="15359" max="15359" width="33.703125" customWidth="1"/>
    <col min="15360" max="15360" width="12.5859375" customWidth="1"/>
    <col min="15361" max="15361" width="11.5859375" customWidth="1"/>
    <col min="15362" max="15362" width="10.41015625" customWidth="1"/>
    <col min="15363" max="15363" width="13.703125" customWidth="1"/>
    <col min="15364" max="15364" width="13.5859375" customWidth="1"/>
    <col min="15365" max="15365" width="13.41015625" customWidth="1"/>
    <col min="15366" max="15367" width="13.5859375" customWidth="1"/>
    <col min="15368" max="15368" width="13.703125" customWidth="1"/>
    <col min="15369" max="15369" width="13.41015625" customWidth="1"/>
    <col min="15370" max="15370" width="16.41015625" customWidth="1"/>
    <col min="15371" max="15371" width="12.29296875" customWidth="1"/>
    <col min="15372" max="15372" width="13.41015625" customWidth="1"/>
    <col min="15373" max="15374" width="12.29296875" customWidth="1"/>
    <col min="15375" max="15375" width="12.703125" customWidth="1"/>
    <col min="15376" max="15376" width="14.29296875" customWidth="1"/>
    <col min="15377" max="15381" width="12.41015625" customWidth="1"/>
    <col min="15613" max="15613" width="4" customWidth="1"/>
    <col min="15614" max="15614" width="1.1171875" customWidth="1"/>
    <col min="15615" max="15615" width="33.703125" customWidth="1"/>
    <col min="15616" max="15616" width="12.5859375" customWidth="1"/>
    <col min="15617" max="15617" width="11.5859375" customWidth="1"/>
    <col min="15618" max="15618" width="10.41015625" customWidth="1"/>
    <col min="15619" max="15619" width="13.703125" customWidth="1"/>
    <col min="15620" max="15620" width="13.5859375" customWidth="1"/>
    <col min="15621" max="15621" width="13.41015625" customWidth="1"/>
    <col min="15622" max="15623" width="13.5859375" customWidth="1"/>
    <col min="15624" max="15624" width="13.703125" customWidth="1"/>
    <col min="15625" max="15625" width="13.41015625" customWidth="1"/>
    <col min="15626" max="15626" width="16.41015625" customWidth="1"/>
    <col min="15627" max="15627" width="12.29296875" customWidth="1"/>
    <col min="15628" max="15628" width="13.41015625" customWidth="1"/>
    <col min="15629" max="15630" width="12.29296875" customWidth="1"/>
    <col min="15631" max="15631" width="12.703125" customWidth="1"/>
    <col min="15632" max="15632" width="14.29296875" customWidth="1"/>
    <col min="15633" max="15637" width="12.41015625" customWidth="1"/>
    <col min="15869" max="15869" width="4" customWidth="1"/>
    <col min="15870" max="15870" width="1.1171875" customWidth="1"/>
    <col min="15871" max="15871" width="33.703125" customWidth="1"/>
    <col min="15872" max="15872" width="12.5859375" customWidth="1"/>
    <col min="15873" max="15873" width="11.5859375" customWidth="1"/>
    <col min="15874" max="15874" width="10.41015625" customWidth="1"/>
    <col min="15875" max="15875" width="13.703125" customWidth="1"/>
    <col min="15876" max="15876" width="13.5859375" customWidth="1"/>
    <col min="15877" max="15877" width="13.41015625" customWidth="1"/>
    <col min="15878" max="15879" width="13.5859375" customWidth="1"/>
    <col min="15880" max="15880" width="13.703125" customWidth="1"/>
    <col min="15881" max="15881" width="13.41015625" customWidth="1"/>
    <col min="15882" max="15882" width="16.41015625" customWidth="1"/>
    <col min="15883" max="15883" width="12.29296875" customWidth="1"/>
    <col min="15884" max="15884" width="13.41015625" customWidth="1"/>
    <col min="15885" max="15886" width="12.29296875" customWidth="1"/>
    <col min="15887" max="15887" width="12.703125" customWidth="1"/>
    <col min="15888" max="15888" width="14.29296875" customWidth="1"/>
    <col min="15889" max="15893" width="12.41015625" customWidth="1"/>
    <col min="16125" max="16125" width="4" customWidth="1"/>
    <col min="16126" max="16126" width="1.1171875" customWidth="1"/>
    <col min="16127" max="16127" width="33.703125" customWidth="1"/>
    <col min="16128" max="16128" width="12.5859375" customWidth="1"/>
    <col min="16129" max="16129" width="11.5859375" customWidth="1"/>
    <col min="16130" max="16130" width="10.41015625" customWidth="1"/>
    <col min="16131" max="16131" width="13.703125" customWidth="1"/>
    <col min="16132" max="16132" width="13.5859375" customWidth="1"/>
    <col min="16133" max="16133" width="13.41015625" customWidth="1"/>
    <col min="16134" max="16135" width="13.5859375" customWidth="1"/>
    <col min="16136" max="16136" width="13.703125" customWidth="1"/>
    <col min="16137" max="16137" width="13.41015625" customWidth="1"/>
    <col min="16138" max="16138" width="16.41015625" customWidth="1"/>
    <col min="16139" max="16139" width="12.29296875" customWidth="1"/>
    <col min="16140" max="16140" width="13.41015625" customWidth="1"/>
    <col min="16141" max="16142" width="12.29296875" customWidth="1"/>
    <col min="16143" max="16143" width="12.703125" customWidth="1"/>
    <col min="16144" max="16144" width="14.29296875" customWidth="1"/>
    <col min="16145" max="16149" width="12.41015625" customWidth="1"/>
  </cols>
  <sheetData>
    <row r="1" spans="1:15" ht="22.7">
      <c r="C1" s="392" t="str">
        <f>+'Historical Analysis'!B1</f>
        <v>EXTENDED STAY AMERICA</v>
      </c>
      <c r="D1" s="392"/>
      <c r="E1" s="392"/>
      <c r="F1" s="392"/>
      <c r="G1" s="392"/>
    </row>
    <row r="2" spans="1:15" ht="12.75" customHeight="1" thickBot="1">
      <c r="C2" s="68" t="s">
        <v>542</v>
      </c>
      <c r="D2" s="68"/>
      <c r="E2" s="68"/>
      <c r="F2" s="393"/>
      <c r="G2" s="44"/>
      <c r="H2" s="44"/>
      <c r="I2" s="394"/>
      <c r="J2" s="44"/>
      <c r="K2" s="395"/>
    </row>
    <row r="3" spans="1:15" ht="18" customHeight="1" thickBot="1">
      <c r="A3" s="396">
        <f>ROW()</f>
        <v>3</v>
      </c>
      <c r="C3" s="519" t="s">
        <v>543</v>
      </c>
      <c r="D3" s="519"/>
      <c r="E3" s="519"/>
      <c r="F3" s="519"/>
      <c r="G3" s="520"/>
      <c r="H3" s="520"/>
      <c r="I3" s="520"/>
      <c r="J3" s="520"/>
      <c r="K3" s="520"/>
      <c r="L3" s="520"/>
      <c r="M3" s="521" t="s">
        <v>544</v>
      </c>
      <c r="N3" s="491"/>
      <c r="O3" s="522"/>
    </row>
    <row r="4" spans="1:15" ht="43.5" customHeight="1" thickBot="1">
      <c r="A4" s="396">
        <f>ROW()</f>
        <v>4</v>
      </c>
      <c r="C4" s="397" t="s">
        <v>545</v>
      </c>
      <c r="D4" s="397"/>
      <c r="E4" s="397"/>
      <c r="F4" s="319" t="s">
        <v>546</v>
      </c>
      <c r="G4" s="320" t="s">
        <v>547</v>
      </c>
      <c r="H4" s="502" t="s">
        <v>548</v>
      </c>
      <c r="I4" s="320" t="s">
        <v>549</v>
      </c>
      <c r="J4" s="320" t="s">
        <v>550</v>
      </c>
      <c r="K4" s="320" t="s">
        <v>551</v>
      </c>
      <c r="L4" s="320" t="s">
        <v>184</v>
      </c>
      <c r="M4" s="553" t="s">
        <v>552</v>
      </c>
      <c r="N4" s="554"/>
      <c r="O4" s="555"/>
    </row>
    <row r="5" spans="1:15" ht="32.25" customHeight="1" thickBot="1">
      <c r="A5" s="396">
        <f>ROW()</f>
        <v>5</v>
      </c>
      <c r="C5" t="s">
        <v>553</v>
      </c>
      <c r="F5" s="398">
        <v>3.5</v>
      </c>
      <c r="G5" s="279">
        <f>+F5*L15</f>
        <v>1826667.5</v>
      </c>
      <c r="H5" s="399">
        <f>+G5/$G$9</f>
        <v>0.27998144704809358</v>
      </c>
      <c r="I5" s="400">
        <f>+F23</f>
        <v>6.5630030122191485E-2</v>
      </c>
      <c r="J5" s="400">
        <f>+I5*(1-$L$14)</f>
        <v>5.1191423495309363E-2</v>
      </c>
      <c r="K5" s="401">
        <f>+J5*H5</f>
        <v>1.4332648826668492E-2</v>
      </c>
      <c r="L5" s="402"/>
      <c r="M5" s="319" t="s">
        <v>554</v>
      </c>
      <c r="N5" s="319" t="s">
        <v>555</v>
      </c>
      <c r="O5" s="503" t="s">
        <v>556</v>
      </c>
    </row>
    <row r="6" spans="1:15" ht="14.7" thickBot="1">
      <c r="A6" s="396">
        <f>ROW()</f>
        <v>6</v>
      </c>
      <c r="C6" t="s">
        <v>557</v>
      </c>
      <c r="F6" s="403"/>
      <c r="G6" s="404">
        <f>+G7-G5</f>
        <v>1304762.5</v>
      </c>
      <c r="H6" s="405">
        <f>+G6/$G$9</f>
        <v>0.19998674789149543</v>
      </c>
      <c r="I6" s="406">
        <f>+F32</f>
        <v>8.0000000000000071E-2</v>
      </c>
      <c r="J6" s="406">
        <f>+I6*(1-$L$14)</f>
        <v>6.240000000000006E-2</v>
      </c>
      <c r="K6" s="407">
        <f>+J6*H6</f>
        <v>1.2479173068429326E-2</v>
      </c>
      <c r="L6" s="408"/>
      <c r="M6" s="409">
        <v>5.0000000000000001E-3</v>
      </c>
      <c r="N6" s="410">
        <v>4.4999999999999998E-2</v>
      </c>
      <c r="O6" s="411">
        <f>+N6+M6</f>
        <v>4.9999999999999996E-2</v>
      </c>
    </row>
    <row r="7" spans="1:15" ht="14.7" thickBot="1">
      <c r="A7" s="396">
        <f>ROW()</f>
        <v>7</v>
      </c>
      <c r="C7" t="s">
        <v>558</v>
      </c>
      <c r="F7" s="412">
        <v>6</v>
      </c>
      <c r="G7" s="279">
        <f>+F7*L15</f>
        <v>3131430</v>
      </c>
      <c r="H7" s="399">
        <f>+G7/$G$9</f>
        <v>0.47996819493958903</v>
      </c>
      <c r="I7" s="99"/>
      <c r="J7" s="99"/>
      <c r="K7" s="401">
        <f>+K6+K5</f>
        <v>2.6811821895097818E-2</v>
      </c>
      <c r="L7" s="413"/>
      <c r="M7" s="51"/>
    </row>
    <row r="8" spans="1:15" ht="15" customHeight="1" thickBot="1">
      <c r="A8" s="396">
        <f>ROW()</f>
        <v>8</v>
      </c>
      <c r="C8" t="s">
        <v>559</v>
      </c>
      <c r="F8" s="414"/>
      <c r="G8" s="404">
        <f>+G16-G7</f>
        <v>3392814.8</v>
      </c>
      <c r="H8" s="405">
        <f>+G8/$G$9</f>
        <v>0.52003180506041091</v>
      </c>
      <c r="I8" s="510">
        <f>+O16</f>
        <v>0.18062500000000001</v>
      </c>
      <c r="J8" s="415">
        <f>+I8</f>
        <v>0.18062500000000001</v>
      </c>
      <c r="K8" s="401">
        <f>+J8*H8</f>
        <v>9.3930744789036721E-2</v>
      </c>
      <c r="L8" s="408"/>
      <c r="M8" s="556" t="s">
        <v>560</v>
      </c>
      <c r="N8" s="557"/>
      <c r="O8" s="558"/>
    </row>
    <row r="9" spans="1:15" ht="14.7" thickBot="1">
      <c r="A9" s="396">
        <f>ROW()</f>
        <v>9</v>
      </c>
      <c r="C9" t="s">
        <v>561</v>
      </c>
      <c r="F9" s="414">
        <f>+G9/L15</f>
        <v>12.500828311665916</v>
      </c>
      <c r="G9" s="96">
        <f>+G8+G7</f>
        <v>6524244.7999999998</v>
      </c>
      <c r="H9" s="416">
        <f>+G9/$G$9</f>
        <v>1</v>
      </c>
      <c r="K9" s="506">
        <f>+K8+K7</f>
        <v>0.12074256668413454</v>
      </c>
      <c r="L9" s="417">
        <f>+G9/L15</f>
        <v>12.500828311665916</v>
      </c>
      <c r="M9" s="418"/>
      <c r="N9" s="419">
        <v>0.08</v>
      </c>
      <c r="O9" s="420"/>
    </row>
    <row r="10" spans="1:15" ht="14.25" customHeight="1" thickTop="1" thickBot="1">
      <c r="A10" s="396">
        <f>ROW()</f>
        <v>10</v>
      </c>
      <c r="G10" s="421"/>
      <c r="H10" s="421"/>
      <c r="I10" s="185"/>
      <c r="K10" s="180"/>
      <c r="L10" s="180"/>
      <c r="M10" s="51"/>
    </row>
    <row r="11" spans="1:15" ht="41.25" customHeight="1" thickBot="1">
      <c r="A11" s="396">
        <f>ROW()</f>
        <v>11</v>
      </c>
      <c r="C11" s="422" t="s">
        <v>562</v>
      </c>
      <c r="D11" s="319" t="s">
        <v>563</v>
      </c>
      <c r="E11" s="319" t="s">
        <v>564</v>
      </c>
      <c r="F11" s="319" t="s">
        <v>565</v>
      </c>
      <c r="G11" s="320" t="s">
        <v>547</v>
      </c>
      <c r="H11" s="318" t="s">
        <v>566</v>
      </c>
      <c r="I11" s="318" t="s">
        <v>567</v>
      </c>
      <c r="K11" s="504" t="s">
        <v>568</v>
      </c>
      <c r="L11" s="505">
        <f>+(G5/G7*J5)+(G6/G7*J6)</f>
        <v>5.5861663705597156E-2</v>
      </c>
      <c r="M11" s="553" t="s">
        <v>569</v>
      </c>
      <c r="N11" s="554"/>
      <c r="O11" s="555"/>
    </row>
    <row r="12" spans="1:15" ht="14.7" thickBot="1">
      <c r="A12" s="396">
        <f>ROW()</f>
        <v>12</v>
      </c>
      <c r="C12" s="180" t="s">
        <v>633</v>
      </c>
      <c r="D12" s="423"/>
      <c r="E12" s="424">
        <v>21</v>
      </c>
      <c r="F12" s="425"/>
      <c r="G12" s="184">
        <f>+E12*I12*1000</f>
        <v>3728760</v>
      </c>
      <c r="H12" s="426">
        <f>+G12/$G$16</f>
        <v>0.5715236191014782</v>
      </c>
      <c r="I12" s="509">
        <v>177.56</v>
      </c>
      <c r="M12" s="427" t="s">
        <v>570</v>
      </c>
      <c r="O12" s="428">
        <v>0.01</v>
      </c>
    </row>
    <row r="13" spans="1:15" ht="14.7" thickBot="1">
      <c r="A13" s="396">
        <f>ROW()</f>
        <v>13</v>
      </c>
      <c r="C13" s="279" t="s">
        <v>571</v>
      </c>
      <c r="D13" s="180"/>
      <c r="E13" s="180"/>
      <c r="F13" s="180"/>
      <c r="G13" s="429">
        <f>+'Historical Analysis'!C51</f>
        <v>2683622</v>
      </c>
      <c r="H13" s="430">
        <f>+G13/$G$16</f>
        <v>0.41133067232547743</v>
      </c>
      <c r="M13" s="51" t="s">
        <v>572</v>
      </c>
      <c r="O13" s="431">
        <f>+'Valuation Analysis'!B34</f>
        <v>1.95</v>
      </c>
    </row>
    <row r="14" spans="1:15" ht="14.7" thickBot="1">
      <c r="A14" s="396">
        <f>ROW()</f>
        <v>14</v>
      </c>
      <c r="C14" s="180" t="s">
        <v>573</v>
      </c>
      <c r="D14" s="180"/>
      <c r="E14" s="180"/>
      <c r="F14" s="180"/>
      <c r="G14" s="180">
        <f>+G13+G12</f>
        <v>6412382</v>
      </c>
      <c r="H14" s="426">
        <f>+G14/$G$16</f>
        <v>0.98285429142695568</v>
      </c>
      <c r="K14" s="507" t="s">
        <v>574</v>
      </c>
      <c r="L14" s="508">
        <v>0.22</v>
      </c>
      <c r="M14" s="51" t="s">
        <v>575</v>
      </c>
      <c r="O14" s="428">
        <v>8.7499999999999994E-2</v>
      </c>
    </row>
    <row r="15" spans="1:15" ht="12.75" customHeight="1" thickBot="1">
      <c r="A15" s="396">
        <f>ROW()</f>
        <v>15</v>
      </c>
      <c r="C15" s="180" t="s">
        <v>576</v>
      </c>
      <c r="D15" s="511" t="s">
        <v>155</v>
      </c>
      <c r="E15" s="512">
        <v>0.3</v>
      </c>
      <c r="F15" s="432">
        <v>0.03</v>
      </c>
      <c r="G15" s="180">
        <f>F15*G12</f>
        <v>111862.8</v>
      </c>
      <c r="H15" s="426">
        <f>+G15/$G$16</f>
        <v>1.7145708573044347E-2</v>
      </c>
      <c r="K15" s="174" t="s">
        <v>632</v>
      </c>
      <c r="L15" s="433">
        <f>+Projections!K34</f>
        <v>521905</v>
      </c>
      <c r="M15" s="51" t="s">
        <v>577</v>
      </c>
      <c r="O15" s="428">
        <v>0</v>
      </c>
    </row>
    <row r="16" spans="1:15" ht="12.75" customHeight="1" thickBot="1">
      <c r="A16" s="396">
        <f>ROW()</f>
        <v>16</v>
      </c>
      <c r="C16" s="434" t="s">
        <v>578</v>
      </c>
      <c r="G16" s="69">
        <f>+G15+G14</f>
        <v>6524244.7999999998</v>
      </c>
      <c r="H16" s="435">
        <f>+G16/$G$16</f>
        <v>1</v>
      </c>
      <c r="M16" s="513" t="s">
        <v>579</v>
      </c>
      <c r="N16" s="514"/>
      <c r="O16" s="515">
        <f>+O12+(O13*O14)</f>
        <v>0.18062500000000001</v>
      </c>
    </row>
    <row r="17" spans="1:15" ht="12" customHeight="1" thickTop="1" thickBot="1">
      <c r="A17" s="396">
        <f>ROW()</f>
        <v>17</v>
      </c>
      <c r="C17" s="436"/>
      <c r="D17" s="436"/>
      <c r="E17" s="436"/>
      <c r="F17" s="436"/>
      <c r="G17" s="436"/>
      <c r="H17" s="437"/>
      <c r="I17" s="436"/>
      <c r="J17" s="436"/>
      <c r="K17" s="436"/>
      <c r="L17" s="437"/>
      <c r="M17" s="437"/>
      <c r="N17" s="437"/>
      <c r="O17" s="437"/>
    </row>
    <row r="18" spans="1:15" ht="15.7" customHeight="1" thickBot="1">
      <c r="A18" s="396">
        <f>ROW()</f>
        <v>18</v>
      </c>
      <c r="C18" s="490" t="s">
        <v>580</v>
      </c>
      <c r="D18" s="490"/>
      <c r="E18" s="490"/>
      <c r="F18" s="490"/>
      <c r="G18" s="491"/>
      <c r="H18" s="491"/>
      <c r="I18" s="491"/>
      <c r="J18" s="491"/>
      <c r="K18" s="491"/>
      <c r="L18" s="491"/>
      <c r="M18" s="492"/>
      <c r="N18" s="493"/>
      <c r="O18" s="491"/>
    </row>
    <row r="19" spans="1:15" ht="15.75" customHeight="1" thickBot="1">
      <c r="A19" s="396">
        <f>ROW()</f>
        <v>19</v>
      </c>
      <c r="C19" s="194" t="s">
        <v>581</v>
      </c>
      <c r="D19" s="194"/>
      <c r="E19" s="194"/>
      <c r="F19" s="494" t="s">
        <v>582</v>
      </c>
      <c r="G19" s="495" t="s">
        <v>583</v>
      </c>
      <c r="H19" s="496">
        <f t="shared" ref="H19:M19" si="0">+H39</f>
        <v>2021</v>
      </c>
      <c r="I19" s="496">
        <f t="shared" si="0"/>
        <v>2022</v>
      </c>
      <c r="J19" s="496">
        <f t="shared" si="0"/>
        <v>2023</v>
      </c>
      <c r="K19" s="496">
        <f t="shared" si="0"/>
        <v>2024</v>
      </c>
      <c r="L19" s="496">
        <f t="shared" si="0"/>
        <v>2025</v>
      </c>
      <c r="M19" s="495">
        <f t="shared" si="0"/>
        <v>2026</v>
      </c>
      <c r="N19" s="496">
        <f t="shared" ref="N19:O19" si="1">+M19+1</f>
        <v>2027</v>
      </c>
      <c r="O19" s="496">
        <f t="shared" si="1"/>
        <v>2028</v>
      </c>
    </row>
    <row r="20" spans="1:15" ht="12.75" customHeight="1">
      <c r="A20" s="396">
        <f>ROW()</f>
        <v>20</v>
      </c>
      <c r="C20" t="s">
        <v>584</v>
      </c>
      <c r="G20" s="438">
        <f>+G5</f>
        <v>1826667.5</v>
      </c>
      <c r="H20" s="63">
        <f t="shared" ref="H20:O20" si="2">+G20-H21</f>
        <v>1826667.5</v>
      </c>
      <c r="I20" s="63">
        <f t="shared" si="2"/>
        <v>1808400.825</v>
      </c>
      <c r="J20" s="63">
        <f t="shared" si="2"/>
        <v>1790134.15</v>
      </c>
      <c r="K20" s="63">
        <f t="shared" si="2"/>
        <v>1753600.7999999998</v>
      </c>
      <c r="L20" s="63">
        <f t="shared" si="2"/>
        <v>1662267.4249999998</v>
      </c>
      <c r="M20" s="439">
        <f>+L20-M21</f>
        <v>1479600.6749999998</v>
      </c>
      <c r="N20" s="63">
        <f t="shared" si="2"/>
        <v>0</v>
      </c>
      <c r="O20" s="63">
        <f t="shared" si="2"/>
        <v>0</v>
      </c>
    </row>
    <row r="21" spans="1:15">
      <c r="A21" s="396">
        <f>ROW()</f>
        <v>21</v>
      </c>
      <c r="C21" t="s">
        <v>585</v>
      </c>
      <c r="G21" s="440" t="s">
        <v>586</v>
      </c>
      <c r="H21" s="441">
        <v>0</v>
      </c>
      <c r="I21" s="442">
        <f>+G20*0.01</f>
        <v>18266.674999999999</v>
      </c>
      <c r="J21" s="442">
        <f>+G20*0.01</f>
        <v>18266.674999999999</v>
      </c>
      <c r="K21" s="442">
        <f>+G20*0.02</f>
        <v>36533.35</v>
      </c>
      <c r="L21" s="442">
        <f>+G20*0.05</f>
        <v>91333.375</v>
      </c>
      <c r="M21" s="443">
        <f>+G20*0.1</f>
        <v>182666.75</v>
      </c>
      <c r="N21" s="442">
        <f t="shared" ref="N21:O21" si="3">+M20</f>
        <v>1479600.6749999998</v>
      </c>
      <c r="O21" s="63">
        <f t="shared" si="3"/>
        <v>0</v>
      </c>
    </row>
    <row r="22" spans="1:15">
      <c r="A22" s="396">
        <f>ROW()</f>
        <v>22</v>
      </c>
      <c r="C22" t="s">
        <v>587</v>
      </c>
      <c r="G22" s="444">
        <f>+I5</f>
        <v>6.5630030122191485E-2</v>
      </c>
      <c r="H22" s="63">
        <f>+G20*H24</f>
        <v>100466.71249999999</v>
      </c>
      <c r="I22" s="63">
        <f>+H20*(I25+$N$6)</f>
        <v>109600.05</v>
      </c>
      <c r="J22" s="63">
        <f>+I20*(J25+$N$6)</f>
        <v>126588.05775000001</v>
      </c>
      <c r="K22" s="63">
        <f>+J20*(K25+$N$6)</f>
        <v>125309.39050000001</v>
      </c>
      <c r="L22" s="63">
        <f>+K20*(L25+$N$6)</f>
        <v>122752.056</v>
      </c>
      <c r="M22" s="439">
        <f>+L20*(M25+$N$6)</f>
        <v>116358.71975</v>
      </c>
      <c r="N22" s="63">
        <f t="shared" ref="N22:O22" si="4">+M20*(N25+$N$6)</f>
        <v>103572.04725</v>
      </c>
      <c r="O22" s="63">
        <f t="shared" si="4"/>
        <v>0</v>
      </c>
    </row>
    <row r="23" spans="1:15" ht="14.7" thickBot="1">
      <c r="A23" s="396">
        <f>ROW()</f>
        <v>23</v>
      </c>
      <c r="C23" t="s">
        <v>588</v>
      </c>
      <c r="F23" s="445">
        <f>IRR(G23:O23)</f>
        <v>6.5630030122191485E-2</v>
      </c>
      <c r="G23" s="446">
        <f>-G20</f>
        <v>-1826667.5</v>
      </c>
      <c r="H23" s="96">
        <f t="shared" ref="H23:O23" si="5">+H21+H22</f>
        <v>100466.71249999999</v>
      </c>
      <c r="I23" s="96">
        <f t="shared" si="5"/>
        <v>127866.72500000001</v>
      </c>
      <c r="J23" s="96">
        <f t="shared" si="5"/>
        <v>144854.73275</v>
      </c>
      <c r="K23" s="96">
        <f t="shared" si="5"/>
        <v>161842.74050000001</v>
      </c>
      <c r="L23" s="96">
        <f t="shared" si="5"/>
        <v>214085.43099999998</v>
      </c>
      <c r="M23" s="447">
        <f t="shared" si="5"/>
        <v>299025.46974999999</v>
      </c>
      <c r="N23" s="96">
        <f t="shared" si="5"/>
        <v>1583172.7222499999</v>
      </c>
      <c r="O23" s="96">
        <f t="shared" si="5"/>
        <v>0</v>
      </c>
    </row>
    <row r="24" spans="1:15" ht="14.7" thickTop="1">
      <c r="A24" s="396">
        <f>ROW()</f>
        <v>24</v>
      </c>
      <c r="C24" t="s">
        <v>589</v>
      </c>
      <c r="F24" s="445"/>
      <c r="G24" s="65"/>
      <c r="H24" s="448">
        <f>+$N$6+H25</f>
        <v>5.5E-2</v>
      </c>
      <c r="I24" s="448">
        <f>+$N$6+I25</f>
        <v>0.06</v>
      </c>
      <c r="J24" s="448">
        <f>+$N$6+J25</f>
        <v>7.0000000000000007E-2</v>
      </c>
      <c r="K24" s="448">
        <f>+$N$6+K25</f>
        <v>7.0000000000000007E-2</v>
      </c>
      <c r="L24" s="448">
        <f>+$N$6+L25</f>
        <v>7.0000000000000007E-2</v>
      </c>
      <c r="M24" s="449">
        <f t="shared" ref="M24:O24" si="6">+$N$6+M25</f>
        <v>7.0000000000000007E-2</v>
      </c>
      <c r="N24" s="448">
        <f t="shared" si="6"/>
        <v>7.0000000000000007E-2</v>
      </c>
      <c r="O24" s="448">
        <f t="shared" si="6"/>
        <v>7.0000000000000007E-2</v>
      </c>
    </row>
    <row r="25" spans="1:15">
      <c r="A25" s="396">
        <f>ROW()</f>
        <v>25</v>
      </c>
      <c r="C25" s="194" t="s">
        <v>590</v>
      </c>
      <c r="D25" s="194"/>
      <c r="E25" s="194"/>
      <c r="F25" s="450"/>
      <c r="G25" s="449">
        <f>+M6</f>
        <v>5.0000000000000001E-3</v>
      </c>
      <c r="H25" s="448">
        <f t="shared" ref="H25:O25" si="7">+G25+H26</f>
        <v>0.01</v>
      </c>
      <c r="I25" s="448">
        <f t="shared" si="7"/>
        <v>1.4999999999999999E-2</v>
      </c>
      <c r="J25" s="448">
        <f t="shared" si="7"/>
        <v>2.5000000000000001E-2</v>
      </c>
      <c r="K25" s="448">
        <f t="shared" si="7"/>
        <v>2.5000000000000001E-2</v>
      </c>
      <c r="L25" s="448">
        <f t="shared" si="7"/>
        <v>2.5000000000000001E-2</v>
      </c>
      <c r="M25" s="449">
        <f>+L25+M26</f>
        <v>2.5000000000000001E-2</v>
      </c>
      <c r="N25" s="448">
        <f t="shared" si="7"/>
        <v>2.5000000000000001E-2</v>
      </c>
      <c r="O25" s="448">
        <f t="shared" si="7"/>
        <v>2.5000000000000001E-2</v>
      </c>
    </row>
    <row r="26" spans="1:15">
      <c r="A26" s="396">
        <f>ROW()</f>
        <v>26</v>
      </c>
      <c r="C26" s="451" t="s">
        <v>591</v>
      </c>
      <c r="D26" s="451"/>
      <c r="E26" s="451"/>
      <c r="F26" s="450"/>
      <c r="G26" s="449"/>
      <c r="H26" s="452">
        <v>5.0000000000000001E-3</v>
      </c>
      <c r="I26" s="452">
        <v>5.0000000000000001E-3</v>
      </c>
      <c r="J26" s="452">
        <v>0.01</v>
      </c>
      <c r="K26" s="452">
        <v>0</v>
      </c>
      <c r="L26" s="448">
        <v>0</v>
      </c>
      <c r="M26" s="449">
        <v>0</v>
      </c>
      <c r="N26" s="448">
        <v>0</v>
      </c>
      <c r="O26" s="448">
        <v>0</v>
      </c>
    </row>
    <row r="27" spans="1:15" ht="8.25" customHeight="1">
      <c r="A27" s="396">
        <f>ROW()</f>
        <v>27</v>
      </c>
      <c r="F27" s="445"/>
      <c r="G27" s="453"/>
      <c r="M27" s="453"/>
    </row>
    <row r="28" spans="1:15">
      <c r="A28" s="396">
        <f>ROW()</f>
        <v>28</v>
      </c>
      <c r="C28" s="194" t="s">
        <v>592</v>
      </c>
      <c r="D28" s="194"/>
      <c r="E28" s="194"/>
      <c r="F28" s="454"/>
      <c r="G28" s="453"/>
      <c r="M28" s="453"/>
    </row>
    <row r="29" spans="1:15">
      <c r="A29" s="396">
        <f>ROW()</f>
        <v>29</v>
      </c>
      <c r="C29" t="s">
        <v>593</v>
      </c>
      <c r="F29" s="445"/>
      <c r="G29" s="438">
        <f>+G6</f>
        <v>1304762.5</v>
      </c>
      <c r="H29" s="63">
        <f t="shared" ref="H29:O29" si="8">+G29-H30</f>
        <v>1304762.5</v>
      </c>
      <c r="I29" s="63">
        <f t="shared" si="8"/>
        <v>1304762.5</v>
      </c>
      <c r="J29" s="63">
        <f t="shared" si="8"/>
        <v>1304762.5</v>
      </c>
      <c r="K29" s="63">
        <f t="shared" si="8"/>
        <v>1304762.5</v>
      </c>
      <c r="L29" s="63">
        <f t="shared" si="8"/>
        <v>1304762.5</v>
      </c>
      <c r="M29" s="439">
        <f>+L29-M30</f>
        <v>1304762.5</v>
      </c>
      <c r="N29" s="63">
        <f t="shared" si="8"/>
        <v>1304762.5</v>
      </c>
      <c r="O29" s="63">
        <f t="shared" si="8"/>
        <v>0</v>
      </c>
    </row>
    <row r="30" spans="1:15">
      <c r="A30" s="396">
        <f>ROW()</f>
        <v>30</v>
      </c>
      <c r="C30" t="s">
        <v>585</v>
      </c>
      <c r="F30" s="445"/>
      <c r="G30" s="440" t="s">
        <v>594</v>
      </c>
      <c r="H30" s="441">
        <v>0</v>
      </c>
      <c r="I30" s="441">
        <v>0</v>
      </c>
      <c r="J30" s="441">
        <v>0</v>
      </c>
      <c r="K30" s="441">
        <v>0</v>
      </c>
      <c r="L30" s="441">
        <v>0</v>
      </c>
      <c r="M30" s="455">
        <v>0</v>
      </c>
      <c r="N30" s="441">
        <v>0</v>
      </c>
      <c r="O30" s="441">
        <f>+N29</f>
        <v>1304762.5</v>
      </c>
    </row>
    <row r="31" spans="1:15">
      <c r="A31" s="396">
        <f>ROW()</f>
        <v>31</v>
      </c>
      <c r="C31" t="s">
        <v>587</v>
      </c>
      <c r="F31" s="445"/>
      <c r="G31" s="456">
        <f>+N9</f>
        <v>0.08</v>
      </c>
      <c r="H31" s="63">
        <f>+G29*$N$9</f>
        <v>104381</v>
      </c>
      <c r="I31" s="63">
        <f t="shared" ref="I31:O31" si="9">+H29*$G$31</f>
        <v>104381</v>
      </c>
      <c r="J31" s="63">
        <f t="shared" si="9"/>
        <v>104381</v>
      </c>
      <c r="K31" s="63">
        <f t="shared" si="9"/>
        <v>104381</v>
      </c>
      <c r="L31" s="63">
        <f>+K29*$G$31</f>
        <v>104381</v>
      </c>
      <c r="M31" s="439">
        <f>+L29*$G$31</f>
        <v>104381</v>
      </c>
      <c r="N31" s="63">
        <f t="shared" si="9"/>
        <v>104381</v>
      </c>
      <c r="O31" s="63">
        <f t="shared" si="9"/>
        <v>104381</v>
      </c>
    </row>
    <row r="32" spans="1:15" ht="14.7" thickBot="1">
      <c r="A32" s="396">
        <f>ROW()</f>
        <v>32</v>
      </c>
      <c r="C32" t="s">
        <v>588</v>
      </c>
      <c r="F32" s="445">
        <f>IRR(G32:O32)</f>
        <v>8.0000000000000071E-2</v>
      </c>
      <c r="G32" s="446">
        <f>-G29</f>
        <v>-1304762.5</v>
      </c>
      <c r="H32" s="96">
        <f t="shared" ref="H32:O32" si="10">+H30+H31</f>
        <v>104381</v>
      </c>
      <c r="I32" s="96">
        <f t="shared" si="10"/>
        <v>104381</v>
      </c>
      <c r="J32" s="96">
        <f t="shared" si="10"/>
        <v>104381</v>
      </c>
      <c r="K32" s="96">
        <f t="shared" si="10"/>
        <v>104381</v>
      </c>
      <c r="L32" s="96">
        <f t="shared" si="10"/>
        <v>104381</v>
      </c>
      <c r="M32" s="447">
        <f t="shared" si="10"/>
        <v>104381</v>
      </c>
      <c r="N32" s="96">
        <f t="shared" si="10"/>
        <v>104381</v>
      </c>
      <c r="O32" s="96">
        <f t="shared" si="10"/>
        <v>1409143.5</v>
      </c>
    </row>
    <row r="33" spans="1:16" ht="9.75" customHeight="1" thickTop="1">
      <c r="A33" s="396">
        <f>ROW()</f>
        <v>33</v>
      </c>
      <c r="G33" s="453"/>
      <c r="H33" s="180"/>
      <c r="I33" s="180"/>
      <c r="J33" s="180"/>
      <c r="K33" s="180"/>
      <c r="L33" s="180"/>
      <c r="M33" s="439"/>
      <c r="N33" s="180"/>
      <c r="O33" s="180"/>
    </row>
    <row r="34" spans="1:16">
      <c r="A34" s="396">
        <f>ROW()</f>
        <v>34</v>
      </c>
      <c r="C34" t="s">
        <v>595</v>
      </c>
      <c r="G34" s="453"/>
      <c r="H34" s="180">
        <f t="shared" ref="H34:O34" si="11">+H30+H31+H21+H22</f>
        <v>204847.71249999999</v>
      </c>
      <c r="I34" s="180">
        <f t="shared" si="11"/>
        <v>232247.72500000001</v>
      </c>
      <c r="J34" s="180">
        <f t="shared" si="11"/>
        <v>249235.73275000002</v>
      </c>
      <c r="K34" s="180">
        <f t="shared" si="11"/>
        <v>266223.74050000001</v>
      </c>
      <c r="L34" s="180">
        <f t="shared" si="11"/>
        <v>318466.43099999998</v>
      </c>
      <c r="M34" s="439">
        <f t="shared" si="11"/>
        <v>403406.46974999999</v>
      </c>
      <c r="N34" s="180">
        <f t="shared" si="11"/>
        <v>1687553.7222499999</v>
      </c>
      <c r="O34" s="180">
        <f t="shared" si="11"/>
        <v>1409143.5</v>
      </c>
    </row>
    <row r="35" spans="1:16" ht="14.7" thickBot="1">
      <c r="A35" s="396">
        <f>ROW()</f>
        <v>35</v>
      </c>
      <c r="C35" t="s">
        <v>596</v>
      </c>
      <c r="G35" s="457">
        <f>+G29+G20</f>
        <v>3131430</v>
      </c>
      <c r="H35" s="180">
        <f t="shared" ref="H35:O35" si="12">+H29+H20</f>
        <v>3131430</v>
      </c>
      <c r="I35" s="180">
        <f t="shared" si="12"/>
        <v>3113163.3250000002</v>
      </c>
      <c r="J35" s="180">
        <f t="shared" si="12"/>
        <v>3094896.65</v>
      </c>
      <c r="K35" s="180">
        <f t="shared" si="12"/>
        <v>3058363.3</v>
      </c>
      <c r="L35" s="180">
        <f t="shared" si="12"/>
        <v>2967029.9249999998</v>
      </c>
      <c r="M35" s="516">
        <f t="shared" si="12"/>
        <v>2784363.1749999998</v>
      </c>
      <c r="N35" s="180">
        <f t="shared" si="12"/>
        <v>1304762.5</v>
      </c>
      <c r="O35" s="180">
        <f t="shared" si="12"/>
        <v>0</v>
      </c>
    </row>
    <row r="36" spans="1:16" ht="12" customHeight="1" thickBot="1">
      <c r="A36" s="396">
        <f>ROW()</f>
        <v>36</v>
      </c>
      <c r="C36" s="437"/>
      <c r="D36" s="437"/>
      <c r="E36" s="437"/>
      <c r="F36" s="437"/>
      <c r="G36" s="437"/>
      <c r="H36" s="436"/>
      <c r="I36" s="436"/>
      <c r="J36" s="436"/>
      <c r="K36" s="436"/>
      <c r="L36" s="436"/>
      <c r="M36" s="458"/>
      <c r="N36" s="436"/>
      <c r="O36" s="437"/>
    </row>
    <row r="37" spans="1:16" ht="15" customHeight="1" thickBot="1">
      <c r="A37" s="396">
        <f>ROW()</f>
        <v>37</v>
      </c>
      <c r="C37" s="490" t="s">
        <v>597</v>
      </c>
      <c r="D37" s="490"/>
      <c r="E37" s="490"/>
      <c r="F37" s="490"/>
      <c r="G37" s="491"/>
      <c r="H37" s="491"/>
      <c r="I37" s="491"/>
      <c r="J37" s="491"/>
      <c r="K37" s="491"/>
      <c r="L37" s="491"/>
      <c r="M37" s="492"/>
      <c r="N37" s="493"/>
      <c r="O37" s="491"/>
    </row>
    <row r="38" spans="1:16" ht="16.5" customHeight="1">
      <c r="A38" s="396">
        <f>ROW()</f>
        <v>38</v>
      </c>
      <c r="C38" s="68" t="s">
        <v>598</v>
      </c>
      <c r="D38" s="68"/>
      <c r="E38" s="68"/>
      <c r="F38" s="68"/>
      <c r="G38" s="497" t="s">
        <v>599</v>
      </c>
      <c r="H38" s="498" t="s">
        <v>600</v>
      </c>
      <c r="I38" s="498" t="s">
        <v>601</v>
      </c>
      <c r="J38" s="498" t="s">
        <v>602</v>
      </c>
      <c r="K38" s="498" t="s">
        <v>603</v>
      </c>
      <c r="L38" s="498" t="s">
        <v>604</v>
      </c>
      <c r="M38" s="497" t="s">
        <v>605</v>
      </c>
    </row>
    <row r="39" spans="1:16" ht="14.7" thickBot="1">
      <c r="A39" s="396">
        <f>ROW()</f>
        <v>39</v>
      </c>
      <c r="G39" s="501">
        <v>2020</v>
      </c>
      <c r="H39" s="499">
        <f>+G39+1</f>
        <v>2021</v>
      </c>
      <c r="I39" s="499">
        <f t="shared" ref="I39:O39" si="13">+H39+1</f>
        <v>2022</v>
      </c>
      <c r="J39" s="499">
        <f t="shared" si="13"/>
        <v>2023</v>
      </c>
      <c r="K39" s="499">
        <f t="shared" si="13"/>
        <v>2024</v>
      </c>
      <c r="L39" s="499">
        <f>+K39+1</f>
        <v>2025</v>
      </c>
      <c r="M39" s="500">
        <f>+L39+1</f>
        <v>2026</v>
      </c>
      <c r="N39" s="499">
        <f t="shared" si="13"/>
        <v>2027</v>
      </c>
      <c r="O39" s="499">
        <f t="shared" si="13"/>
        <v>2028</v>
      </c>
    </row>
    <row r="40" spans="1:16">
      <c r="A40" s="396">
        <f>ROW()</f>
        <v>40</v>
      </c>
      <c r="C40" t="s">
        <v>228</v>
      </c>
      <c r="E40" s="264"/>
      <c r="F40" s="459"/>
      <c r="G40" s="485">
        <f>+Projections!L7</f>
        <v>1042316</v>
      </c>
      <c r="H40" s="460">
        <f>+Projections!M7</f>
        <v>1146547.6000000001</v>
      </c>
      <c r="I40" s="64">
        <f>+Projections!N7</f>
        <v>1261202.3600000001</v>
      </c>
      <c r="J40" s="64">
        <f>+Projections!O7</f>
        <v>1387322.5960000001</v>
      </c>
      <c r="K40" s="64">
        <f>+Projections!P7</f>
        <v>1526054.8556000004</v>
      </c>
      <c r="L40" s="64">
        <f>+Projections!Q7</f>
        <v>1678660.3411600005</v>
      </c>
      <c r="M40" s="65">
        <f>+Projections!R7</f>
        <v>1846526.3752760007</v>
      </c>
      <c r="N40" s="64">
        <f>+Projections!S7</f>
        <v>2031179.0128036009</v>
      </c>
      <c r="O40" s="64">
        <f>+Projections!T7</f>
        <v>2234296.9140839609</v>
      </c>
    </row>
    <row r="41" spans="1:16">
      <c r="A41" s="396">
        <f>ROW()</f>
        <v>41</v>
      </c>
      <c r="C41" t="s">
        <v>606</v>
      </c>
      <c r="E41" s="264"/>
      <c r="F41" s="459"/>
      <c r="G41" s="486">
        <f>-Projections!L10</f>
        <v>-593760</v>
      </c>
      <c r="H41" s="64">
        <f>-Projections!M10</f>
        <v>-515946.42000000004</v>
      </c>
      <c r="I41" s="64">
        <f>-Projections!N10</f>
        <v>-567541.06200000003</v>
      </c>
      <c r="J41" s="64">
        <f>-Projections!O10</f>
        <v>-624295.16820000007</v>
      </c>
      <c r="K41" s="64">
        <f>-Projections!P10</f>
        <v>-686724.68502000021</v>
      </c>
      <c r="L41" s="64">
        <f>-Projections!Q10</f>
        <v>-755397.1535220003</v>
      </c>
      <c r="M41" s="65">
        <f>-Projections!R10</f>
        <v>-830936.86887420039</v>
      </c>
      <c r="N41" s="64">
        <f>-Projections!S10</f>
        <v>-914030.5557616204</v>
      </c>
      <c r="O41" s="64">
        <f>-Projections!T10</f>
        <v>-1005433.6113377825</v>
      </c>
    </row>
    <row r="42" spans="1:16">
      <c r="A42" s="396">
        <f>ROW()</f>
        <v>42</v>
      </c>
      <c r="C42" t="s">
        <v>607</v>
      </c>
      <c r="E42" s="264"/>
      <c r="F42" s="459"/>
      <c r="G42" s="487">
        <f>-Projections!L14</f>
        <v>-298178</v>
      </c>
      <c r="H42" s="460">
        <f>-Projections!M14</f>
        <v>-229309.52000000002</v>
      </c>
      <c r="I42" s="64">
        <f>-Projections!N14</f>
        <v>-252240.47200000004</v>
      </c>
      <c r="J42" s="64">
        <f>-Projections!O14</f>
        <v>-277464.51920000004</v>
      </c>
      <c r="K42" s="64">
        <f>-Projections!P14</f>
        <v>-305210.97112000006</v>
      </c>
      <c r="L42" s="64">
        <f>-Projections!Q14</f>
        <v>-335732.06823200011</v>
      </c>
      <c r="M42" s="65">
        <f>-Projections!R14</f>
        <v>-369305.27505520015</v>
      </c>
      <c r="N42" s="64">
        <f>-Projections!S14</f>
        <v>-406235.80256072019</v>
      </c>
      <c r="O42" s="64">
        <f>-Projections!T14</f>
        <v>-446859.38281679223</v>
      </c>
    </row>
    <row r="43" spans="1:16">
      <c r="A43" s="396">
        <f>ROW()</f>
        <v>43</v>
      </c>
      <c r="C43" t="s">
        <v>608</v>
      </c>
      <c r="E43" s="264"/>
      <c r="F43" s="459"/>
      <c r="G43" s="486">
        <f>SUM(G40:G42)</f>
        <v>150378</v>
      </c>
      <c r="H43" s="462">
        <f>+H40+H41+H42</f>
        <v>401291.66000000003</v>
      </c>
      <c r="I43" s="462">
        <f t="shared" ref="I43:O43" si="14">+I40+I41+I42</f>
        <v>441420.826</v>
      </c>
      <c r="J43" s="462">
        <f t="shared" si="14"/>
        <v>485562.90860000002</v>
      </c>
      <c r="K43" s="462">
        <f t="shared" si="14"/>
        <v>534119.19946000003</v>
      </c>
      <c r="L43" s="462">
        <f t="shared" si="14"/>
        <v>587531.11940600013</v>
      </c>
      <c r="M43" s="463">
        <f t="shared" si="14"/>
        <v>646284.23134660022</v>
      </c>
      <c r="N43" s="462">
        <f t="shared" si="14"/>
        <v>710912.65448126034</v>
      </c>
      <c r="O43" s="462">
        <f t="shared" si="14"/>
        <v>782003.91992938635</v>
      </c>
    </row>
    <row r="44" spans="1:16">
      <c r="A44" s="396">
        <f>ROW()</f>
        <v>44</v>
      </c>
      <c r="C44" t="s">
        <v>609</v>
      </c>
      <c r="E44" s="264"/>
      <c r="F44" s="517">
        <v>7</v>
      </c>
      <c r="G44" s="439"/>
      <c r="H44" s="464">
        <f>-$G$15/$F$44</f>
        <v>-15980.4</v>
      </c>
      <c r="I44" s="58">
        <f t="shared" ref="I44:L44" si="15">-$G$15/$F$44</f>
        <v>-15980.4</v>
      </c>
      <c r="J44" s="58">
        <f t="shared" si="15"/>
        <v>-15980.4</v>
      </c>
      <c r="K44" s="58">
        <f t="shared" si="15"/>
        <v>-15980.4</v>
      </c>
      <c r="L44" s="58">
        <f t="shared" si="15"/>
        <v>-15980.4</v>
      </c>
      <c r="M44" s="465">
        <f>-$G$15/$F$44*2</f>
        <v>-31960.799999999999</v>
      </c>
      <c r="N44" s="58"/>
      <c r="O44" s="58"/>
    </row>
    <row r="45" spans="1:16">
      <c r="A45" s="396">
        <f>ROW()</f>
        <v>45</v>
      </c>
      <c r="C45" t="s">
        <v>343</v>
      </c>
      <c r="E45" s="264"/>
      <c r="F45" s="466"/>
      <c r="G45" s="439"/>
      <c r="H45" s="64">
        <f>+H43+H44</f>
        <v>385311.26</v>
      </c>
      <c r="I45" s="64">
        <f t="shared" ref="I45:O45" si="16">+I43+I44</f>
        <v>425440.42599999998</v>
      </c>
      <c r="J45" s="64">
        <f t="shared" si="16"/>
        <v>469582.5086</v>
      </c>
      <c r="K45" s="64">
        <f t="shared" si="16"/>
        <v>518138.79946000001</v>
      </c>
      <c r="L45" s="64">
        <f t="shared" si="16"/>
        <v>571550.71940600011</v>
      </c>
      <c r="M45" s="65">
        <f t="shared" si="16"/>
        <v>614323.43134660018</v>
      </c>
      <c r="N45" s="64">
        <f t="shared" si="16"/>
        <v>710912.65448126034</v>
      </c>
      <c r="O45" s="64">
        <f t="shared" si="16"/>
        <v>782003.91992938635</v>
      </c>
    </row>
    <row r="46" spans="1:16">
      <c r="A46" s="396">
        <f>ROW()</f>
        <v>46</v>
      </c>
      <c r="C46" s="1" t="s">
        <v>610</v>
      </c>
      <c r="E46" s="264"/>
      <c r="F46" s="466"/>
      <c r="G46" s="439"/>
      <c r="H46" s="464">
        <f>-H22-H31</f>
        <v>-204847.71249999999</v>
      </c>
      <c r="I46" s="58">
        <f t="shared" ref="I46:M46" si="17">-I22-I31</f>
        <v>-213981.05</v>
      </c>
      <c r="J46" s="58">
        <f t="shared" si="17"/>
        <v>-230969.05775000001</v>
      </c>
      <c r="K46" s="58">
        <f t="shared" si="17"/>
        <v>-229690.39050000001</v>
      </c>
      <c r="L46" s="58">
        <f t="shared" si="17"/>
        <v>-227133.05599999998</v>
      </c>
      <c r="M46" s="465">
        <f t="shared" si="17"/>
        <v>-220739.71974999999</v>
      </c>
      <c r="N46" s="58"/>
      <c r="O46" s="58"/>
      <c r="P46" s="64"/>
    </row>
    <row r="47" spans="1:16">
      <c r="A47" s="396">
        <f>ROW()</f>
        <v>47</v>
      </c>
      <c r="C47" t="s">
        <v>9</v>
      </c>
      <c r="E47" s="264"/>
      <c r="F47" s="466"/>
      <c r="G47" s="439"/>
      <c r="H47" s="64">
        <f>+H45+H46</f>
        <v>180463.54750000002</v>
      </c>
      <c r="I47" s="64">
        <f t="shared" ref="I47:O47" si="18">+I45+I46</f>
        <v>211459.37599999999</v>
      </c>
      <c r="J47" s="64">
        <f t="shared" si="18"/>
        <v>238613.45084999999</v>
      </c>
      <c r="K47" s="64">
        <f t="shared" si="18"/>
        <v>288448.40896000003</v>
      </c>
      <c r="L47" s="64">
        <f t="shared" si="18"/>
        <v>344417.66340600012</v>
      </c>
      <c r="M47" s="65">
        <f t="shared" si="18"/>
        <v>393583.71159660019</v>
      </c>
      <c r="N47" s="64">
        <f t="shared" si="18"/>
        <v>710912.65448126034</v>
      </c>
      <c r="O47" s="64">
        <f t="shared" si="18"/>
        <v>782003.91992938635</v>
      </c>
      <c r="P47" s="64"/>
    </row>
    <row r="48" spans="1:16">
      <c r="A48" s="396">
        <f>ROW()</f>
        <v>48</v>
      </c>
      <c r="C48" t="s">
        <v>611</v>
      </c>
      <c r="E48" s="264"/>
      <c r="F48" s="466">
        <v>0.22</v>
      </c>
      <c r="G48" s="467"/>
      <c r="H48" s="64">
        <f>-$F$48*H47</f>
        <v>-39701.980450000003</v>
      </c>
      <c r="I48" s="64">
        <f t="shared" ref="I48:O48" si="19">-$F$48*I47</f>
        <v>-46521.062719999994</v>
      </c>
      <c r="J48" s="64">
        <f t="shared" si="19"/>
        <v>-52494.959187</v>
      </c>
      <c r="K48" s="64">
        <f t="shared" si="19"/>
        <v>-63458.649971200008</v>
      </c>
      <c r="L48" s="64">
        <f t="shared" si="19"/>
        <v>-75771.885949320029</v>
      </c>
      <c r="M48" s="65">
        <f t="shared" si="19"/>
        <v>-86588.416551252041</v>
      </c>
      <c r="N48" s="64">
        <f t="shared" si="19"/>
        <v>-156400.78398587726</v>
      </c>
      <c r="O48" s="64">
        <f t="shared" si="19"/>
        <v>-172040.862384465</v>
      </c>
    </row>
    <row r="49" spans="1:16">
      <c r="A49" s="396">
        <f>ROW()</f>
        <v>49</v>
      </c>
      <c r="C49" t="s">
        <v>612</v>
      </c>
      <c r="E49" s="488"/>
      <c r="F49" s="466"/>
      <c r="G49" s="467"/>
      <c r="H49" s="64">
        <f>-H46</f>
        <v>204847.71249999999</v>
      </c>
      <c r="I49" s="64">
        <f t="shared" ref="I49:O49" si="20">-I46</f>
        <v>213981.05</v>
      </c>
      <c r="J49" s="64">
        <f t="shared" si="20"/>
        <v>230969.05775000001</v>
      </c>
      <c r="K49" s="64">
        <f t="shared" si="20"/>
        <v>229690.39050000001</v>
      </c>
      <c r="L49" s="64">
        <f t="shared" si="20"/>
        <v>227133.05599999998</v>
      </c>
      <c r="M49" s="65">
        <f t="shared" si="20"/>
        <v>220739.71974999999</v>
      </c>
      <c r="N49" s="64">
        <f t="shared" si="20"/>
        <v>0</v>
      </c>
      <c r="O49" s="64">
        <f t="shared" si="20"/>
        <v>0</v>
      </c>
    </row>
    <row r="50" spans="1:16">
      <c r="A50" s="396">
        <f>ROW()</f>
        <v>50</v>
      </c>
      <c r="C50" t="s">
        <v>613</v>
      </c>
      <c r="E50" s="399"/>
      <c r="F50" s="466"/>
      <c r="G50" s="461"/>
      <c r="H50" s="64">
        <f>+Projections!M24</f>
        <v>137585.712</v>
      </c>
      <c r="I50" s="64">
        <f>+Projections!N24</f>
        <v>151344.28320000001</v>
      </c>
      <c r="J50" s="64">
        <f>+Projections!O24</f>
        <v>166478.71152000001</v>
      </c>
      <c r="K50" s="64">
        <f>+Projections!P24</f>
        <v>183126.58267200005</v>
      </c>
      <c r="L50" s="64">
        <f>+Projections!Q24</f>
        <v>201439.24093920007</v>
      </c>
      <c r="M50" s="65">
        <f>+Projections!R24</f>
        <v>221583.16503312008</v>
      </c>
      <c r="N50" s="64">
        <f>+Projections!S24</f>
        <v>243741.48153643208</v>
      </c>
      <c r="O50" s="64">
        <f>+Projections!T24</f>
        <v>268115.62969007529</v>
      </c>
    </row>
    <row r="51" spans="1:16">
      <c r="A51" s="396">
        <f>ROW()</f>
        <v>51</v>
      </c>
      <c r="C51" t="s">
        <v>614</v>
      </c>
      <c r="D51" s="468"/>
      <c r="E51" s="488"/>
      <c r="F51" s="466"/>
      <c r="G51" s="469"/>
      <c r="H51" s="64">
        <f>-H44</f>
        <v>15980.4</v>
      </c>
      <c r="I51" s="64">
        <f t="shared" ref="I51:O51" si="21">-I44</f>
        <v>15980.4</v>
      </c>
      <c r="J51" s="64">
        <f t="shared" si="21"/>
        <v>15980.4</v>
      </c>
      <c r="K51" s="64">
        <f t="shared" si="21"/>
        <v>15980.4</v>
      </c>
      <c r="L51" s="64">
        <f t="shared" si="21"/>
        <v>15980.4</v>
      </c>
      <c r="M51" s="65">
        <f t="shared" si="21"/>
        <v>31960.799999999999</v>
      </c>
      <c r="N51" s="64">
        <f t="shared" si="21"/>
        <v>0</v>
      </c>
      <c r="O51" s="64">
        <f t="shared" si="21"/>
        <v>0</v>
      </c>
    </row>
    <row r="52" spans="1:16">
      <c r="A52" s="396">
        <f>ROW()</f>
        <v>52</v>
      </c>
      <c r="C52" t="s">
        <v>615</v>
      </c>
      <c r="E52" s="264"/>
      <c r="F52" s="466"/>
      <c r="G52" s="470"/>
      <c r="H52" s="64">
        <f>+Projections!M25</f>
        <v>-3498.9719517394196</v>
      </c>
      <c r="I52" s="64">
        <f>+Projections!N25</f>
        <v>-3848.8691469133619</v>
      </c>
      <c r="J52" s="64">
        <f>+Projections!O25</f>
        <v>-4233.7560616046985</v>
      </c>
      <c r="K52" s="64">
        <f>+Projections!P25</f>
        <v>-4657.1316677651685</v>
      </c>
      <c r="L52" s="64">
        <f>+Projections!Q25</f>
        <v>-5122.8448345416855</v>
      </c>
      <c r="M52" s="65">
        <f>+Projections!R25</f>
        <v>-5635.1293179958548</v>
      </c>
      <c r="N52" s="64">
        <f>+Projections!S25</f>
        <v>-6198.6422497954409</v>
      </c>
      <c r="O52" s="64">
        <f>+Projections!T25</f>
        <v>-6818.5064747749848</v>
      </c>
    </row>
    <row r="53" spans="1:16">
      <c r="A53" s="396">
        <f>ROW()</f>
        <v>53</v>
      </c>
      <c r="C53" t="s">
        <v>616</v>
      </c>
      <c r="E53" s="489"/>
      <c r="F53" s="466"/>
      <c r="G53" s="461"/>
      <c r="H53" s="64">
        <f>+Projections!M26</f>
        <v>-80258.332000000009</v>
      </c>
      <c r="I53" s="64">
        <f>+Projections!N26</f>
        <v>-88284.165200000018</v>
      </c>
      <c r="J53" s="64">
        <f>+Projections!O26</f>
        <v>-97112.581720000017</v>
      </c>
      <c r="K53" s="64">
        <f>+Projections!P26</f>
        <v>-106823.83989200003</v>
      </c>
      <c r="L53" s="64">
        <f>+Projections!Q26</f>
        <v>-117506.22388120004</v>
      </c>
      <c r="M53" s="65">
        <f>+Projections!R26</f>
        <v>-129256.84626932006</v>
      </c>
      <c r="N53" s="64">
        <f>+Projections!S26</f>
        <v>-142182.53089625208</v>
      </c>
      <c r="O53" s="64">
        <f>+Projections!T26</f>
        <v>-156400.78398587729</v>
      </c>
    </row>
    <row r="54" spans="1:16" ht="14.7" thickBot="1">
      <c r="A54" s="396">
        <f>ROW()</f>
        <v>54</v>
      </c>
      <c r="C54" t="s">
        <v>617</v>
      </c>
      <c r="F54" s="466"/>
      <c r="G54" s="469"/>
      <c r="H54" s="69">
        <f>SUM(H47:H53)</f>
        <v>415418.08759826061</v>
      </c>
      <c r="I54" s="69">
        <f t="shared" ref="I54:O54" si="22">SUM(I47:I53)</f>
        <v>454111.01213308657</v>
      </c>
      <c r="J54" s="69">
        <f t="shared" si="22"/>
        <v>498200.32315139531</v>
      </c>
      <c r="K54" s="69">
        <f t="shared" si="22"/>
        <v>542306.16060103488</v>
      </c>
      <c r="L54" s="69">
        <f t="shared" si="22"/>
        <v>590569.40568013838</v>
      </c>
      <c r="M54" s="471">
        <f t="shared" si="22"/>
        <v>646387.0042411522</v>
      </c>
      <c r="N54" s="69">
        <f t="shared" si="22"/>
        <v>649872.17888576747</v>
      </c>
      <c r="O54" s="69">
        <f t="shared" si="22"/>
        <v>714859.39677434426</v>
      </c>
    </row>
    <row r="55" spans="1:16" ht="7.5" customHeight="1" thickTop="1">
      <c r="A55" s="396">
        <f>ROW()</f>
        <v>55</v>
      </c>
      <c r="F55" s="466"/>
      <c r="G55" s="469"/>
      <c r="H55" s="64"/>
      <c r="I55" s="64"/>
      <c r="J55" s="64"/>
      <c r="K55" s="64"/>
      <c r="L55" s="64"/>
      <c r="M55" s="65"/>
      <c r="N55" s="64"/>
      <c r="O55" s="64"/>
    </row>
    <row r="56" spans="1:16">
      <c r="A56" s="396">
        <f>ROW()</f>
        <v>56</v>
      </c>
      <c r="C56" s="1" t="s">
        <v>618</v>
      </c>
      <c r="F56" s="466"/>
      <c r="G56" s="469"/>
      <c r="H56" s="64">
        <f>-H34</f>
        <v>-204847.71249999999</v>
      </c>
      <c r="I56" s="64">
        <f t="shared" ref="I56:O56" si="23">-I34</f>
        <v>-232247.72500000001</v>
      </c>
      <c r="J56" s="64">
        <f t="shared" si="23"/>
        <v>-249235.73275000002</v>
      </c>
      <c r="K56" s="64">
        <f t="shared" si="23"/>
        <v>-266223.74050000001</v>
      </c>
      <c r="L56" s="64">
        <f t="shared" si="23"/>
        <v>-318466.43099999998</v>
      </c>
      <c r="M56" s="65">
        <f t="shared" si="23"/>
        <v>-403406.46974999999</v>
      </c>
      <c r="N56" s="64">
        <f t="shared" si="23"/>
        <v>-1687553.7222499999</v>
      </c>
      <c r="O56" s="64">
        <f t="shared" si="23"/>
        <v>-1409143.5</v>
      </c>
    </row>
    <row r="57" spans="1:16" ht="14.7" thickBot="1">
      <c r="A57" s="396">
        <f>ROW()</f>
        <v>57</v>
      </c>
      <c r="C57" t="s">
        <v>248</v>
      </c>
      <c r="F57" s="466"/>
      <c r="G57" s="439"/>
      <c r="H57" s="60">
        <f>+H54+H56</f>
        <v>210570.37509826061</v>
      </c>
      <c r="I57" s="60">
        <f t="shared" ref="I57:O57" si="24">+I54+I56</f>
        <v>221863.28713308656</v>
      </c>
      <c r="J57" s="60">
        <f t="shared" si="24"/>
        <v>248964.59040139528</v>
      </c>
      <c r="K57" s="60">
        <f t="shared" si="24"/>
        <v>276082.42010103486</v>
      </c>
      <c r="L57" s="60">
        <f t="shared" si="24"/>
        <v>272102.9746801384</v>
      </c>
      <c r="M57" s="446">
        <f t="shared" si="24"/>
        <v>242980.53449115221</v>
      </c>
      <c r="N57" s="60">
        <f t="shared" si="24"/>
        <v>-1037681.5433642324</v>
      </c>
      <c r="O57" s="60">
        <f t="shared" si="24"/>
        <v>-694284.10322565574</v>
      </c>
    </row>
    <row r="58" spans="1:16" ht="9" customHeight="1" thickTop="1">
      <c r="A58" s="396">
        <f>ROW()</f>
        <v>58</v>
      </c>
      <c r="F58" s="466"/>
      <c r="G58" s="453"/>
      <c r="M58" s="453"/>
    </row>
    <row r="59" spans="1:16" ht="15" customHeight="1" thickBot="1">
      <c r="A59" s="396">
        <f>ROW()</f>
        <v>59</v>
      </c>
      <c r="C59" t="s">
        <v>116</v>
      </c>
      <c r="G59" s="446">
        <f>+G50+G43</f>
        <v>150378</v>
      </c>
      <c r="H59" s="472">
        <f>+H43+H50</f>
        <v>538877.37199999997</v>
      </c>
      <c r="I59" s="96">
        <f t="shared" ref="I59:O59" si="25">+I43+I50</f>
        <v>592765.10920000006</v>
      </c>
      <c r="J59" s="96">
        <f t="shared" si="25"/>
        <v>652041.62012000009</v>
      </c>
      <c r="K59" s="96">
        <f t="shared" si="25"/>
        <v>717245.78213200008</v>
      </c>
      <c r="L59" s="96">
        <f t="shared" si="25"/>
        <v>788970.36034520017</v>
      </c>
      <c r="M59" s="446">
        <f t="shared" si="25"/>
        <v>867867.3963797203</v>
      </c>
      <c r="N59">
        <f t="shared" si="25"/>
        <v>954654.13601769239</v>
      </c>
      <c r="O59">
        <f t="shared" si="25"/>
        <v>1050119.5496194616</v>
      </c>
    </row>
    <row r="60" spans="1:16" ht="15" thickTop="1" thickBot="1">
      <c r="A60" s="396">
        <f>ROW()</f>
        <v>60</v>
      </c>
      <c r="C60" s="397" t="s">
        <v>238</v>
      </c>
      <c r="D60" s="397"/>
      <c r="E60" s="397"/>
      <c r="F60" s="194"/>
      <c r="G60" s="453"/>
      <c r="M60" s="453"/>
    </row>
    <row r="61" spans="1:16">
      <c r="A61" s="396">
        <f>ROW()</f>
        <v>61</v>
      </c>
      <c r="C61" t="s">
        <v>619</v>
      </c>
      <c r="F61" s="523" t="s">
        <v>239</v>
      </c>
      <c r="G61" s="524">
        <f>+L9</f>
        <v>12.500828311665916</v>
      </c>
      <c r="M61" s="65">
        <f>+G61*M59</f>
        <v>10849061.319435393</v>
      </c>
    </row>
    <row r="62" spans="1:16" ht="17.25" customHeight="1" thickBot="1">
      <c r="A62" s="396">
        <f>ROW()</f>
        <v>62</v>
      </c>
      <c r="C62" t="s">
        <v>620</v>
      </c>
      <c r="F62" s="473">
        <v>0.06</v>
      </c>
      <c r="G62" s="525">
        <f>+K9</f>
        <v>0.12074256668413454</v>
      </c>
      <c r="K62" s="1" t="s">
        <v>621</v>
      </c>
      <c r="M62" s="439">
        <f>+N54/(G62-F62)</f>
        <v>10698793.520944659</v>
      </c>
    </row>
    <row r="63" spans="1:16" ht="16.5" customHeight="1" thickBot="1">
      <c r="A63" s="396">
        <f>ROW()</f>
        <v>63</v>
      </c>
      <c r="C63" s="194" t="s">
        <v>622</v>
      </c>
      <c r="D63" s="194"/>
      <c r="E63" s="194"/>
      <c r="G63" s="453"/>
      <c r="M63" s="528">
        <f>AVERAGE(M61:M62)</f>
        <v>10773927.420190025</v>
      </c>
      <c r="O63" s="559"/>
      <c r="P63" s="559"/>
    </row>
    <row r="64" spans="1:16" ht="15" thickTop="1" thickBot="1">
      <c r="A64" s="396">
        <f>ROW()</f>
        <v>64</v>
      </c>
      <c r="C64" t="s">
        <v>623</v>
      </c>
      <c r="G64" s="453"/>
      <c r="M64" s="474">
        <f>-M35</f>
        <v>-2784363.1749999998</v>
      </c>
      <c r="O64" s="484"/>
      <c r="P64" s="475"/>
    </row>
    <row r="65" spans="1:16">
      <c r="A65" s="396">
        <f>ROW()</f>
        <v>65</v>
      </c>
      <c r="C65" t="s">
        <v>624</v>
      </c>
      <c r="G65" s="65"/>
      <c r="M65" s="65">
        <f>+M63+M64</f>
        <v>7989564.2451900253</v>
      </c>
      <c r="O65" s="476"/>
      <c r="P65" s="477"/>
    </row>
    <row r="66" spans="1:16" ht="13.5" customHeight="1">
      <c r="A66" s="396">
        <f>ROW()</f>
        <v>66</v>
      </c>
      <c r="G66" s="453"/>
      <c r="M66" s="453"/>
      <c r="O66" s="551"/>
      <c r="P66" s="478"/>
    </row>
    <row r="67" spans="1:16" ht="14.7" thickBot="1">
      <c r="A67" s="396">
        <f>ROW()</f>
        <v>67</v>
      </c>
      <c r="C67" t="s">
        <v>248</v>
      </c>
      <c r="G67" s="526">
        <f>-G8</f>
        <v>-3392814.8</v>
      </c>
      <c r="H67" s="527">
        <f>+H57</f>
        <v>210570.37509826061</v>
      </c>
      <c r="I67" s="527">
        <f>+I57</f>
        <v>221863.28713308656</v>
      </c>
      <c r="J67" s="527">
        <f>+J57+J63-J64</f>
        <v>248964.59040139528</v>
      </c>
      <c r="K67" s="527">
        <f>+K57+K63-K64</f>
        <v>276082.42010103486</v>
      </c>
      <c r="L67" s="527">
        <f>+L57+L63-L64</f>
        <v>272102.9746801384</v>
      </c>
      <c r="M67" s="526">
        <f>+M65+M57</f>
        <v>8232544.7796811778</v>
      </c>
      <c r="O67" s="551"/>
      <c r="P67" s="478"/>
    </row>
    <row r="68" spans="1:16" ht="14.7" thickTop="1">
      <c r="A68" s="396">
        <f>ROW()</f>
        <v>68</v>
      </c>
      <c r="G68" s="64"/>
      <c r="H68" s="479" t="s">
        <v>625</v>
      </c>
      <c r="I68" s="479" t="s">
        <v>625</v>
      </c>
      <c r="J68" s="479" t="s">
        <v>625</v>
      </c>
      <c r="K68" s="479" t="s">
        <v>625</v>
      </c>
      <c r="L68" s="479" t="s">
        <v>625</v>
      </c>
      <c r="M68" s="480" t="s">
        <v>625</v>
      </c>
      <c r="O68" s="551"/>
      <c r="P68" s="478"/>
    </row>
    <row r="69" spans="1:16" ht="14.7" thickBot="1">
      <c r="A69" s="396">
        <f>ROW()</f>
        <v>69</v>
      </c>
      <c r="C69" s="174" t="s">
        <v>626</v>
      </c>
      <c r="D69" s="174"/>
      <c r="E69" s="174"/>
      <c r="F69" s="174"/>
      <c r="G69" s="481">
        <f>+I8</f>
        <v>0.18062500000000001</v>
      </c>
      <c r="H69" s="482">
        <f>(1/(1+$G69))^1</f>
        <v>0.84700899947061936</v>
      </c>
      <c r="I69" s="482">
        <f>(1/(1+$G69))^2</f>
        <v>0.71742424518421966</v>
      </c>
      <c r="J69" s="482">
        <f>(1/(1+$G69))^3</f>
        <v>0.60766479210945024</v>
      </c>
      <c r="K69" s="482">
        <f>(1/(1+$G69))^4</f>
        <v>0.51469754757814734</v>
      </c>
      <c r="L69" s="482">
        <f>(1/(1+$G69))^5</f>
        <v>0.4359534548041481</v>
      </c>
      <c r="M69" s="482">
        <f>(1/(1+$G69))^6</f>
        <v>0.36925649956942136</v>
      </c>
      <c r="O69" s="551"/>
      <c r="P69" s="478"/>
    </row>
    <row r="70" spans="1:16" ht="14.7" thickBot="1">
      <c r="A70" s="396">
        <f>ROW()</f>
        <v>70</v>
      </c>
      <c r="C70" s="174" t="s">
        <v>627</v>
      </c>
      <c r="D70" s="174"/>
      <c r="E70" s="174"/>
      <c r="F70" s="174"/>
      <c r="G70" s="530">
        <f>SUM(H70:M70)</f>
        <v>3789455.9644278726</v>
      </c>
      <c r="H70" s="483">
        <f t="shared" ref="H70:M70" si="26">+H69*H67</f>
        <v>178355.00273013074</v>
      </c>
      <c r="I70" s="483">
        <f t="shared" si="26"/>
        <v>159170.10130554441</v>
      </c>
      <c r="J70" s="483">
        <f t="shared" si="26"/>
        <v>151287.01606887829</v>
      </c>
      <c r="K70" s="483">
        <f t="shared" si="26"/>
        <v>142098.94455544246</v>
      </c>
      <c r="L70" s="483">
        <f t="shared" si="26"/>
        <v>118624.23187429197</v>
      </c>
      <c r="M70" s="483">
        <f t="shared" si="26"/>
        <v>3039920.6678935848</v>
      </c>
      <c r="O70" s="551"/>
      <c r="P70" s="478"/>
    </row>
    <row r="71" spans="1:16" ht="12.75" customHeight="1">
      <c r="A71" s="396">
        <f>ROW()</f>
        <v>71</v>
      </c>
      <c r="C71" s="174"/>
      <c r="D71" s="174"/>
      <c r="E71" s="174"/>
      <c r="F71" s="174"/>
      <c r="G71" s="174"/>
      <c r="H71" s="483"/>
      <c r="I71" s="483"/>
      <c r="J71" s="483"/>
      <c r="K71" s="483"/>
      <c r="L71" s="483"/>
      <c r="M71" s="483"/>
      <c r="O71" s="551"/>
      <c r="P71" s="478"/>
    </row>
    <row r="72" spans="1:16">
      <c r="A72" s="396">
        <f>ROW()</f>
        <v>72</v>
      </c>
      <c r="C72" s="174" t="s">
        <v>628</v>
      </c>
      <c r="D72" s="174"/>
      <c r="E72" s="174"/>
      <c r="F72" s="174"/>
      <c r="G72" s="190">
        <f>+G67</f>
        <v>-3392814.8</v>
      </c>
      <c r="H72" s="107"/>
      <c r="O72" s="551"/>
      <c r="P72" s="478"/>
    </row>
    <row r="73" spans="1:16" ht="14.7" thickBot="1">
      <c r="A73" s="396">
        <f>ROW()</f>
        <v>73</v>
      </c>
      <c r="C73" s="174" t="s">
        <v>629</v>
      </c>
      <c r="D73" s="174"/>
      <c r="E73" s="174"/>
      <c r="F73" s="174"/>
      <c r="G73" s="69">
        <f>+G70+G72</f>
        <v>396641.16442787275</v>
      </c>
      <c r="O73" s="551"/>
      <c r="P73" s="478"/>
    </row>
    <row r="74" spans="1:16" ht="14.25" customHeight="1" thickTop="1" thickBot="1">
      <c r="A74" s="396">
        <f>ROW()</f>
        <v>74</v>
      </c>
      <c r="C74" s="174"/>
      <c r="D74" s="174"/>
      <c r="E74" s="174"/>
      <c r="F74" s="174"/>
      <c r="G74" s="205"/>
      <c r="H74" s="107"/>
      <c r="O74" s="551"/>
      <c r="P74" s="478"/>
    </row>
    <row r="75" spans="1:16" ht="12.75" customHeight="1" thickBot="1">
      <c r="A75" s="396">
        <f>ROW()</f>
        <v>75</v>
      </c>
      <c r="C75" s="174" t="s">
        <v>630</v>
      </c>
      <c r="D75" s="174"/>
      <c r="E75" s="174"/>
      <c r="F75" s="174"/>
      <c r="G75" s="529">
        <f>IRR(G67:M67)</f>
        <v>0.20527958535663293</v>
      </c>
      <c r="O75" s="552"/>
      <c r="P75" s="478"/>
    </row>
    <row r="76" spans="1:16">
      <c r="A76" s="518"/>
      <c r="B76" s="264"/>
      <c r="C76" s="264"/>
      <c r="H76" s="63"/>
    </row>
    <row r="77" spans="1:16">
      <c r="A77" s="518"/>
      <c r="B77" s="264"/>
      <c r="C77" s="264"/>
      <c r="H77" s="63"/>
    </row>
    <row r="78" spans="1:16">
      <c r="A78" s="518"/>
      <c r="B78" s="264"/>
      <c r="C78" s="264"/>
      <c r="H78" s="63"/>
    </row>
    <row r="79" spans="1:16">
      <c r="A79" s="518"/>
      <c r="B79" s="264"/>
      <c r="C79" s="264"/>
      <c r="H79" s="63"/>
    </row>
    <row r="80" spans="1:16">
      <c r="A80" s="518"/>
      <c r="B80" s="264"/>
      <c r="C80" s="264"/>
      <c r="H80" s="63"/>
    </row>
    <row r="81" spans="1:8">
      <c r="A81" s="518"/>
      <c r="B81" s="264"/>
      <c r="C81" s="264"/>
      <c r="H81" s="63"/>
    </row>
    <row r="82" spans="1:8">
      <c r="A82" s="518"/>
      <c r="B82" s="264"/>
      <c r="C82" s="264"/>
      <c r="H82" s="63"/>
    </row>
    <row r="83" spans="1:8">
      <c r="A83" s="518"/>
      <c r="B83" s="264"/>
      <c r="C83" s="264"/>
      <c r="H83" s="63"/>
    </row>
    <row r="84" spans="1:8">
      <c r="A84" s="518"/>
      <c r="B84" s="264"/>
      <c r="C84" s="264"/>
      <c r="H84" s="63"/>
    </row>
    <row r="85" spans="1:8">
      <c r="A85" s="518"/>
      <c r="B85" s="264"/>
      <c r="C85" s="264"/>
      <c r="H85" s="63"/>
    </row>
    <row r="86" spans="1:8">
      <c r="A86" s="518"/>
      <c r="B86" s="264"/>
      <c r="C86" s="264"/>
      <c r="H86" s="63"/>
    </row>
    <row r="87" spans="1:8">
      <c r="A87" s="518"/>
      <c r="B87" s="264"/>
      <c r="C87" s="264"/>
      <c r="H87" s="63"/>
    </row>
    <row r="88" spans="1:8">
      <c r="A88" s="518"/>
      <c r="B88" s="264"/>
      <c r="C88" s="264"/>
      <c r="H88" s="63"/>
    </row>
    <row r="89" spans="1:8">
      <c r="A89" s="518"/>
      <c r="B89" s="264"/>
      <c r="C89" s="264"/>
      <c r="H89" s="63"/>
    </row>
    <row r="90" spans="1:8">
      <c r="A90" s="518"/>
      <c r="B90" s="264"/>
      <c r="C90" s="264"/>
      <c r="H90" s="63"/>
    </row>
    <row r="91" spans="1:8">
      <c r="A91" s="518"/>
      <c r="B91" s="264"/>
      <c r="C91" s="264"/>
      <c r="H91" s="63"/>
    </row>
    <row r="92" spans="1:8">
      <c r="A92" s="518"/>
      <c r="B92" s="264"/>
      <c r="C92" s="264"/>
      <c r="H92" s="63"/>
    </row>
    <row r="93" spans="1:8">
      <c r="A93" s="518"/>
      <c r="B93" s="264"/>
      <c r="C93" s="264"/>
      <c r="H93" s="63"/>
    </row>
    <row r="94" spans="1:8">
      <c r="A94" s="518"/>
      <c r="B94" s="264"/>
      <c r="C94" s="264"/>
      <c r="H94" s="63"/>
    </row>
    <row r="95" spans="1:8">
      <c r="A95" s="518"/>
      <c r="B95" s="264"/>
      <c r="C95" s="264"/>
      <c r="H95" s="63"/>
    </row>
    <row r="96" spans="1:8">
      <c r="A96" s="518"/>
      <c r="B96" s="264"/>
      <c r="C96" s="264"/>
      <c r="H96" s="63"/>
    </row>
    <row r="97" spans="8:8">
      <c r="H97" s="63"/>
    </row>
    <row r="98" spans="8:8">
      <c r="H98" s="63"/>
    </row>
    <row r="99" spans="8:8">
      <c r="H99" s="63"/>
    </row>
    <row r="100" spans="8:8">
      <c r="H100" s="63"/>
    </row>
    <row r="101" spans="8:8">
      <c r="H101" s="63"/>
    </row>
    <row r="102" spans="8:8">
      <c r="H102" s="63"/>
    </row>
  </sheetData>
  <mergeCells count="5">
    <mergeCell ref="O66:O75"/>
    <mergeCell ref="M4:O4"/>
    <mergeCell ref="M8:O8"/>
    <mergeCell ref="M11:O11"/>
    <mergeCell ref="O63:P6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2064F-496F-4672-A27B-C24FAFADFE9A}">
  <dimension ref="A1:V60"/>
  <sheetViews>
    <sheetView topLeftCell="D1" workbookViewId="0">
      <selection activeCell="I19" sqref="I19"/>
    </sheetView>
  </sheetViews>
  <sheetFormatPr defaultRowHeight="14.35"/>
  <cols>
    <col min="1" max="1" width="49.41015625" bestFit="1" customWidth="1"/>
    <col min="2" max="12" width="12.17578125" bestFit="1" customWidth="1"/>
    <col min="13" max="13" width="12.8203125" bestFit="1" customWidth="1"/>
    <col min="14" max="20" width="10.703125" bestFit="1" customWidth="1"/>
    <col min="21" max="22" width="10.29296875" bestFit="1" customWidth="1"/>
    <col min="23" max="28" width="9.05859375" customWidth="1"/>
  </cols>
  <sheetData>
    <row r="1" spans="1:22">
      <c r="A1" t="s">
        <v>297</v>
      </c>
      <c r="B1" t="s">
        <v>298</v>
      </c>
      <c r="C1" s="227">
        <v>44196</v>
      </c>
      <c r="D1" s="227">
        <v>43830</v>
      </c>
      <c r="E1" s="227">
        <v>43465</v>
      </c>
      <c r="F1" s="227">
        <v>43100</v>
      </c>
      <c r="G1" s="227">
        <v>42735</v>
      </c>
      <c r="H1" s="227">
        <v>42369</v>
      </c>
      <c r="I1" s="227">
        <v>42004</v>
      </c>
      <c r="J1" s="227">
        <v>41639</v>
      </c>
      <c r="K1" s="227">
        <v>41274</v>
      </c>
      <c r="L1" s="227">
        <v>40908</v>
      </c>
      <c r="M1" s="227">
        <v>40543</v>
      </c>
      <c r="N1" s="227">
        <v>37986</v>
      </c>
      <c r="O1" s="227">
        <v>37621</v>
      </c>
      <c r="P1" s="227">
        <v>37256</v>
      </c>
      <c r="Q1" s="227">
        <v>36891</v>
      </c>
      <c r="R1" s="227">
        <v>36525</v>
      </c>
      <c r="S1" s="227">
        <v>36160</v>
      </c>
      <c r="T1" s="227">
        <v>35795</v>
      </c>
      <c r="U1" s="227">
        <v>35430</v>
      </c>
      <c r="V1" s="227">
        <v>35064</v>
      </c>
    </row>
    <row r="2" spans="1:22">
      <c r="A2" t="s">
        <v>299</v>
      </c>
      <c r="B2" s="55">
        <v>1042316000</v>
      </c>
      <c r="C2" s="55">
        <v>1042316000</v>
      </c>
      <c r="D2" s="55">
        <v>1218219000</v>
      </c>
      <c r="E2" s="55">
        <v>1275059000</v>
      </c>
      <c r="F2" s="55">
        <v>1282725000</v>
      </c>
      <c r="G2" s="55">
        <v>1270593000</v>
      </c>
      <c r="H2" s="55">
        <v>1284753000</v>
      </c>
      <c r="I2" s="55">
        <v>1213475000</v>
      </c>
      <c r="J2" s="55">
        <v>1132818000</v>
      </c>
      <c r="K2" s="55">
        <v>1011462000</v>
      </c>
      <c r="L2" s="55">
        <v>942728000</v>
      </c>
      <c r="M2" s="55">
        <v>875983000</v>
      </c>
      <c r="N2" s="55">
        <v>549720000</v>
      </c>
      <c r="O2" s="55">
        <v>547910000</v>
      </c>
      <c r="P2" s="55">
        <v>541535000</v>
      </c>
      <c r="Q2" s="55">
        <v>518033000</v>
      </c>
      <c r="R2" s="55">
        <v>417662000</v>
      </c>
      <c r="S2" s="55">
        <v>283087000</v>
      </c>
      <c r="T2" s="55">
        <v>130800000</v>
      </c>
      <c r="U2" s="55">
        <v>15745000</v>
      </c>
      <c r="V2" s="55">
        <v>900000</v>
      </c>
    </row>
    <row r="3" spans="1:22">
      <c r="A3" t="s">
        <v>300</v>
      </c>
      <c r="B3" s="55">
        <v>1027455000</v>
      </c>
      <c r="C3" s="55">
        <v>1027455000</v>
      </c>
      <c r="D3" s="55">
        <v>1201503000</v>
      </c>
      <c r="E3" s="55">
        <v>1262492000</v>
      </c>
      <c r="F3" s="55">
        <v>1282725000</v>
      </c>
      <c r="G3" s="55">
        <v>1270593000</v>
      </c>
      <c r="H3" s="55">
        <v>1284753000</v>
      </c>
      <c r="I3" s="55">
        <v>1213475000</v>
      </c>
      <c r="J3" s="55">
        <v>1132818000</v>
      </c>
      <c r="K3" s="55">
        <v>1011462000</v>
      </c>
      <c r="L3" s="55">
        <v>942728000</v>
      </c>
      <c r="M3" s="55">
        <v>875983000</v>
      </c>
      <c r="N3" s="55">
        <v>549720000</v>
      </c>
      <c r="O3" s="55">
        <v>547910000</v>
      </c>
      <c r="P3" s="55">
        <v>541535000</v>
      </c>
      <c r="Q3" s="55">
        <v>518033000</v>
      </c>
      <c r="R3" s="55">
        <v>417662000</v>
      </c>
      <c r="S3" s="55">
        <v>283087000</v>
      </c>
      <c r="T3" s="55">
        <v>130800000</v>
      </c>
      <c r="U3" s="55">
        <v>15745000</v>
      </c>
      <c r="V3" s="55">
        <v>900000</v>
      </c>
    </row>
    <row r="4" spans="1:22">
      <c r="A4" t="s">
        <v>301</v>
      </c>
      <c r="B4" s="55">
        <v>593760000</v>
      </c>
      <c r="C4" s="55">
        <v>593760000</v>
      </c>
      <c r="D4" s="55">
        <v>601191000</v>
      </c>
      <c r="E4" s="55">
        <v>596246000</v>
      </c>
      <c r="F4" s="55">
        <v>585545000</v>
      </c>
      <c r="G4" s="55">
        <v>580772000</v>
      </c>
      <c r="H4" s="55">
        <v>604087000</v>
      </c>
      <c r="I4" s="55">
        <v>592101000</v>
      </c>
      <c r="J4" s="55">
        <v>540551000</v>
      </c>
      <c r="K4" s="55">
        <v>493635000</v>
      </c>
      <c r="L4" s="55">
        <v>464379000</v>
      </c>
      <c r="M4" s="55">
        <v>454119000</v>
      </c>
      <c r="V4" s="55">
        <v>800000</v>
      </c>
    </row>
    <row r="5" spans="1:22">
      <c r="A5" t="s">
        <v>302</v>
      </c>
      <c r="B5" s="55">
        <v>448556000</v>
      </c>
      <c r="C5" s="55">
        <v>448556000</v>
      </c>
      <c r="D5" s="55">
        <v>617028000</v>
      </c>
      <c r="E5" s="55">
        <v>678813000</v>
      </c>
      <c r="F5" s="55">
        <v>697180000</v>
      </c>
      <c r="G5" s="55">
        <v>689821000</v>
      </c>
      <c r="H5" s="55">
        <v>680666000</v>
      </c>
      <c r="I5" s="55">
        <v>621374000</v>
      </c>
      <c r="J5" s="55">
        <v>592267000</v>
      </c>
      <c r="K5" s="55">
        <v>517827000</v>
      </c>
      <c r="L5" s="55">
        <v>478349000</v>
      </c>
      <c r="M5" s="55">
        <v>421864000</v>
      </c>
      <c r="V5" s="55">
        <v>100000</v>
      </c>
    </row>
    <row r="6" spans="1:22">
      <c r="A6" t="s">
        <v>303</v>
      </c>
      <c r="B6" s="55">
        <v>298178000</v>
      </c>
      <c r="C6" s="55">
        <v>298178000</v>
      </c>
      <c r="D6" s="55">
        <v>292523000</v>
      </c>
      <c r="E6" s="55">
        <v>299754000</v>
      </c>
      <c r="F6" s="55">
        <v>320909000</v>
      </c>
      <c r="G6" s="55">
        <v>319329000</v>
      </c>
      <c r="H6" s="55">
        <v>302477000</v>
      </c>
      <c r="I6" s="55">
        <v>271200000</v>
      </c>
      <c r="J6" s="55">
        <v>275972000</v>
      </c>
      <c r="K6" s="55">
        <v>224697000</v>
      </c>
      <c r="L6" s="55">
        <v>201656000</v>
      </c>
      <c r="M6" s="55">
        <v>406937000</v>
      </c>
      <c r="N6" s="55">
        <v>405304000</v>
      </c>
      <c r="O6" s="55">
        <v>380075000</v>
      </c>
      <c r="P6" s="55">
        <v>358843000</v>
      </c>
      <c r="Q6" s="55">
        <v>325202000</v>
      </c>
      <c r="R6" s="55">
        <v>281580000</v>
      </c>
      <c r="S6" s="55">
        <v>215835000</v>
      </c>
      <c r="T6" s="55">
        <v>131568000</v>
      </c>
      <c r="U6" s="55">
        <v>22377000</v>
      </c>
      <c r="V6" s="55">
        <v>2100000</v>
      </c>
    </row>
    <row r="7" spans="1:22">
      <c r="A7" t="s">
        <v>304</v>
      </c>
      <c r="B7" s="55">
        <v>92173000</v>
      </c>
      <c r="C7" s="55">
        <v>92173000</v>
      </c>
      <c r="D7" s="55">
        <v>95155000</v>
      </c>
      <c r="E7" s="55">
        <v>91094000</v>
      </c>
      <c r="F7" s="55">
        <v>94652000</v>
      </c>
      <c r="G7" s="55">
        <v>98045000</v>
      </c>
      <c r="H7" s="55">
        <v>98625000</v>
      </c>
      <c r="I7" s="55">
        <v>84381000</v>
      </c>
      <c r="J7" s="55">
        <v>109053000</v>
      </c>
      <c r="K7" s="55">
        <v>95143000</v>
      </c>
      <c r="L7" s="55">
        <v>81450000</v>
      </c>
      <c r="M7" s="55">
        <v>90793000</v>
      </c>
      <c r="V7" s="55">
        <v>2000000</v>
      </c>
    </row>
    <row r="8" spans="1:22">
      <c r="A8" t="s">
        <v>510</v>
      </c>
      <c r="B8" s="55">
        <v>92173000</v>
      </c>
      <c r="C8" s="55">
        <v>92173000</v>
      </c>
      <c r="D8" s="55">
        <v>95155000</v>
      </c>
      <c r="E8" s="55">
        <v>91094000</v>
      </c>
      <c r="F8" s="55">
        <v>94652000</v>
      </c>
      <c r="G8" s="55">
        <v>98045000</v>
      </c>
      <c r="H8" s="55">
        <v>98625000</v>
      </c>
      <c r="I8" s="55">
        <v>84381000</v>
      </c>
      <c r="J8" s="55">
        <v>109053000</v>
      </c>
      <c r="K8" s="55">
        <v>95143000</v>
      </c>
      <c r="L8" s="55">
        <v>81450000</v>
      </c>
      <c r="M8" s="55">
        <v>90793000</v>
      </c>
    </row>
    <row r="9" spans="1:22">
      <c r="A9" t="s">
        <v>511</v>
      </c>
      <c r="H9">
        <v>0</v>
      </c>
      <c r="I9">
        <v>0</v>
      </c>
      <c r="J9" s="55">
        <v>728000</v>
      </c>
      <c r="K9" s="55">
        <v>6600000</v>
      </c>
      <c r="L9" s="55">
        <v>6409000</v>
      </c>
      <c r="M9" s="55">
        <v>6259000</v>
      </c>
    </row>
    <row r="10" spans="1:22">
      <c r="A10" t="s">
        <v>512</v>
      </c>
      <c r="B10" s="55">
        <v>92173000</v>
      </c>
      <c r="C10" s="55">
        <v>92173000</v>
      </c>
      <c r="D10" s="55">
        <v>95155000</v>
      </c>
      <c r="E10" s="55">
        <v>91094000</v>
      </c>
      <c r="F10" s="55">
        <v>94652000</v>
      </c>
      <c r="G10" s="55">
        <v>98045000</v>
      </c>
      <c r="H10" s="55">
        <v>98625000</v>
      </c>
      <c r="I10" s="55">
        <v>84381000</v>
      </c>
      <c r="J10" s="55">
        <v>108325000</v>
      </c>
      <c r="K10" s="55">
        <v>88543000</v>
      </c>
      <c r="L10" s="55">
        <v>75041000</v>
      </c>
      <c r="M10" s="55">
        <v>84534000</v>
      </c>
    </row>
    <row r="11" spans="1:22">
      <c r="A11" t="s">
        <v>305</v>
      </c>
      <c r="B11" s="55">
        <v>206013000</v>
      </c>
      <c r="C11" s="55">
        <v>206013000</v>
      </c>
      <c r="D11" s="55">
        <v>197400000</v>
      </c>
      <c r="E11" s="55">
        <v>209329000</v>
      </c>
      <c r="F11" s="55">
        <v>229216000</v>
      </c>
      <c r="G11" s="55">
        <v>221309000</v>
      </c>
      <c r="H11" s="55">
        <v>203897000</v>
      </c>
      <c r="I11" s="55">
        <v>187207000</v>
      </c>
      <c r="J11" s="55">
        <v>168053000</v>
      </c>
      <c r="K11" s="55">
        <v>129938000</v>
      </c>
      <c r="L11" s="55">
        <v>120438000</v>
      </c>
      <c r="M11" s="55">
        <v>317598000</v>
      </c>
      <c r="N11" s="55">
        <v>80433000</v>
      </c>
      <c r="O11" s="55">
        <v>78815000</v>
      </c>
      <c r="P11" s="55">
        <v>72141000</v>
      </c>
      <c r="Q11" s="55">
        <v>66269000</v>
      </c>
      <c r="R11" s="55">
        <v>60198000</v>
      </c>
      <c r="S11" s="55">
        <v>42293000</v>
      </c>
      <c r="T11" s="55">
        <v>21331000</v>
      </c>
      <c r="U11" s="55">
        <v>2803000</v>
      </c>
      <c r="V11" s="55">
        <v>100000</v>
      </c>
    </row>
    <row r="12" spans="1:22">
      <c r="A12" t="s">
        <v>306</v>
      </c>
      <c r="B12" s="55">
        <v>206013000</v>
      </c>
      <c r="C12" s="55">
        <v>206013000</v>
      </c>
      <c r="D12" s="55">
        <v>197400000</v>
      </c>
      <c r="E12" s="55">
        <v>209329000</v>
      </c>
      <c r="F12" s="55">
        <v>229216000</v>
      </c>
      <c r="G12" s="55">
        <v>221309000</v>
      </c>
      <c r="H12" s="55">
        <v>203897000</v>
      </c>
      <c r="I12" s="55">
        <v>187207000</v>
      </c>
      <c r="J12" s="55">
        <v>168053000</v>
      </c>
      <c r="K12" s="55">
        <v>129938000</v>
      </c>
      <c r="L12" s="55">
        <v>120438000</v>
      </c>
      <c r="M12" s="55">
        <v>317598000</v>
      </c>
      <c r="N12" s="55">
        <v>80433000</v>
      </c>
      <c r="O12" s="55">
        <v>78815000</v>
      </c>
      <c r="P12" s="55">
        <v>72141000</v>
      </c>
      <c r="Q12" s="55">
        <v>66269000</v>
      </c>
      <c r="R12" s="55">
        <v>60198000</v>
      </c>
      <c r="S12" s="55">
        <v>42293000</v>
      </c>
      <c r="T12" s="55">
        <v>21331000</v>
      </c>
      <c r="U12" s="55">
        <v>2803000</v>
      </c>
      <c r="V12" s="55">
        <v>100000</v>
      </c>
    </row>
    <row r="13" spans="1:22">
      <c r="A13" t="s">
        <v>513</v>
      </c>
      <c r="V13" s="55">
        <v>100000</v>
      </c>
    </row>
    <row r="14" spans="1:22">
      <c r="A14" t="s">
        <v>514</v>
      </c>
      <c r="B14" s="55">
        <v>-8000</v>
      </c>
      <c r="C14" s="55">
        <v>-8000</v>
      </c>
      <c r="D14" s="55">
        <v>-32000</v>
      </c>
      <c r="E14" s="55">
        <v>-669000</v>
      </c>
      <c r="F14" s="55">
        <v>-2959000</v>
      </c>
      <c r="G14" s="55">
        <v>-25000</v>
      </c>
      <c r="H14" s="55">
        <v>-45000</v>
      </c>
      <c r="I14" s="55">
        <v>-388000</v>
      </c>
      <c r="J14" s="55">
        <v>-1134000</v>
      </c>
      <c r="K14" s="55">
        <v>-384000</v>
      </c>
      <c r="L14" s="55">
        <v>-232000</v>
      </c>
      <c r="M14" s="55">
        <v>-1454000</v>
      </c>
      <c r="N14" s="55">
        <v>324871000</v>
      </c>
      <c r="O14" s="55">
        <v>301260000</v>
      </c>
      <c r="P14" s="55">
        <v>286702000</v>
      </c>
      <c r="Q14" s="55">
        <v>258933000</v>
      </c>
      <c r="R14" s="55">
        <v>221382000</v>
      </c>
      <c r="S14" s="55">
        <v>173542000</v>
      </c>
      <c r="T14" s="55">
        <v>110237000</v>
      </c>
      <c r="U14" s="55">
        <v>19574000</v>
      </c>
    </row>
    <row r="15" spans="1:22">
      <c r="A15" t="s">
        <v>307</v>
      </c>
      <c r="B15" s="55">
        <v>150378000</v>
      </c>
      <c r="C15" s="55">
        <v>150378000</v>
      </c>
      <c r="D15" s="55">
        <v>324505000</v>
      </c>
      <c r="E15" s="55">
        <v>379059000</v>
      </c>
      <c r="F15" s="55">
        <v>376271000</v>
      </c>
      <c r="G15" s="55">
        <v>370492000</v>
      </c>
      <c r="H15" s="55">
        <v>378189000</v>
      </c>
      <c r="I15" s="55">
        <v>350174000</v>
      </c>
      <c r="J15" s="55">
        <v>316295000</v>
      </c>
      <c r="K15" s="55">
        <v>293130000</v>
      </c>
      <c r="L15" s="55">
        <v>276693000</v>
      </c>
      <c r="M15" s="55">
        <v>14927000</v>
      </c>
      <c r="N15" s="55">
        <v>144416000</v>
      </c>
      <c r="O15" s="55">
        <v>167835000</v>
      </c>
      <c r="P15" s="55">
        <v>182692000</v>
      </c>
      <c r="Q15" s="55">
        <v>192831000</v>
      </c>
      <c r="R15" s="55">
        <v>136082000</v>
      </c>
      <c r="S15" s="55">
        <v>67252000</v>
      </c>
      <c r="T15" s="55">
        <v>-768000</v>
      </c>
      <c r="U15" s="55">
        <v>-6632000</v>
      </c>
      <c r="V15" s="55">
        <v>-2000000</v>
      </c>
    </row>
    <row r="16" spans="1:22">
      <c r="A16" t="s">
        <v>308</v>
      </c>
      <c r="B16" s="55">
        <v>-129216000</v>
      </c>
      <c r="C16" s="55">
        <v>-129216000</v>
      </c>
      <c r="D16" s="55">
        <v>-119463000</v>
      </c>
      <c r="E16" s="55">
        <v>-121840000</v>
      </c>
      <c r="F16" s="55">
        <v>-126437000</v>
      </c>
      <c r="G16" s="55">
        <v>-137102000</v>
      </c>
      <c r="H16" s="55">
        <v>-133584000</v>
      </c>
      <c r="I16" s="55">
        <v>-138136000</v>
      </c>
      <c r="J16" s="55">
        <v>-207383000</v>
      </c>
      <c r="K16" s="55">
        <v>-257349000</v>
      </c>
      <c r="L16" s="55">
        <v>-211854000</v>
      </c>
      <c r="M16" s="55">
        <v>-49484000</v>
      </c>
    </row>
    <row r="17" spans="1:22">
      <c r="A17" t="s">
        <v>309</v>
      </c>
      <c r="B17" s="55">
        <v>1317000</v>
      </c>
      <c r="C17" s="55">
        <v>1317000</v>
      </c>
      <c r="D17" s="55">
        <v>5663000</v>
      </c>
      <c r="E17" s="55">
        <v>2513000</v>
      </c>
      <c r="F17" s="55">
        <v>170000</v>
      </c>
      <c r="G17" s="55">
        <v>413000</v>
      </c>
      <c r="H17" s="55">
        <v>317000</v>
      </c>
      <c r="I17" s="55">
        <v>110000</v>
      </c>
      <c r="J17" s="55">
        <v>134000</v>
      </c>
      <c r="K17" s="55">
        <v>307000</v>
      </c>
      <c r="L17" s="55">
        <v>550000</v>
      </c>
      <c r="M17" s="55">
        <v>114000</v>
      </c>
    </row>
    <row r="18" spans="1:22">
      <c r="A18" t="s">
        <v>310</v>
      </c>
      <c r="B18" s="55">
        <v>122296000</v>
      </c>
      <c r="C18" s="55">
        <v>122296000</v>
      </c>
      <c r="D18" s="55">
        <v>117067000</v>
      </c>
      <c r="E18" s="55">
        <v>116348000</v>
      </c>
      <c r="F18" s="55">
        <v>118510000</v>
      </c>
      <c r="G18" s="55">
        <v>127633000</v>
      </c>
      <c r="H18" s="55">
        <v>123411000</v>
      </c>
      <c r="I18" s="55">
        <v>123736000</v>
      </c>
      <c r="J18" s="55">
        <v>194980000</v>
      </c>
      <c r="K18" s="55">
        <v>257656000</v>
      </c>
      <c r="L18" s="55">
        <v>201976000</v>
      </c>
      <c r="M18" s="55">
        <v>49598000</v>
      </c>
    </row>
    <row r="19" spans="1:22">
      <c r="A19" t="s">
        <v>311</v>
      </c>
      <c r="B19" s="55">
        <v>8237000</v>
      </c>
      <c r="C19" s="55">
        <v>8237000</v>
      </c>
      <c r="D19" s="55">
        <v>8059000</v>
      </c>
      <c r="E19" s="55">
        <v>8005000</v>
      </c>
      <c r="F19" s="55">
        <v>8097000</v>
      </c>
      <c r="G19" s="55">
        <v>9882000</v>
      </c>
      <c r="H19" s="55">
        <v>10490000</v>
      </c>
      <c r="I19" s="55">
        <v>14510000</v>
      </c>
      <c r="J19" s="55">
        <v>12537000</v>
      </c>
      <c r="K19" s="55">
        <v>257656000</v>
      </c>
      <c r="L19" s="55">
        <v>10428000</v>
      </c>
    </row>
    <row r="20" spans="1:22">
      <c r="A20" t="s">
        <v>312</v>
      </c>
      <c r="B20" s="55">
        <v>50594000</v>
      </c>
      <c r="C20" s="55">
        <v>50594000</v>
      </c>
      <c r="D20" s="55">
        <v>-10589000</v>
      </c>
      <c r="E20" s="55">
        <v>-3387000</v>
      </c>
      <c r="F20" s="55">
        <v>-18132000</v>
      </c>
      <c r="G20" s="55">
        <v>-35687000</v>
      </c>
      <c r="H20" s="55">
        <v>114953000</v>
      </c>
      <c r="I20" s="55">
        <v>-16427000</v>
      </c>
      <c r="J20" s="55">
        <v>-31246000</v>
      </c>
      <c r="K20" s="55">
        <v>-8858000</v>
      </c>
      <c r="L20" s="55">
        <v>-11154000</v>
      </c>
      <c r="M20" s="55">
        <v>3197378000</v>
      </c>
      <c r="N20">
        <v>0</v>
      </c>
      <c r="O20">
        <v>0</v>
      </c>
      <c r="P20">
        <v>0</v>
      </c>
      <c r="Q20">
        <v>0</v>
      </c>
      <c r="S20">
        <v>0</v>
      </c>
      <c r="U20">
        <v>0</v>
      </c>
      <c r="V20" s="55">
        <v>800000</v>
      </c>
    </row>
    <row r="21" spans="1:22">
      <c r="A21" t="s">
        <v>313</v>
      </c>
      <c r="B21" s="55">
        <v>52525000</v>
      </c>
      <c r="C21" s="55">
        <v>52525000</v>
      </c>
      <c r="E21" s="55">
        <v>42478000</v>
      </c>
      <c r="F21" s="55">
        <v>9973000</v>
      </c>
      <c r="H21" s="55">
        <v>130894000</v>
      </c>
      <c r="I21" s="55">
        <v>864000</v>
      </c>
    </row>
    <row r="22" spans="1:22">
      <c r="A22" t="s">
        <v>315</v>
      </c>
      <c r="B22" s="55">
        <v>-2012000</v>
      </c>
      <c r="C22" s="55">
        <v>-2012000</v>
      </c>
      <c r="D22" s="55">
        <v>-10980000</v>
      </c>
      <c r="E22" s="55">
        <v>-46630000</v>
      </c>
      <c r="F22" s="55">
        <v>-28504000</v>
      </c>
      <c r="G22" s="55">
        <v>-37263000</v>
      </c>
      <c r="H22" s="55">
        <v>-13209000</v>
      </c>
      <c r="I22" s="55">
        <v>-13528000</v>
      </c>
      <c r="J22" s="55">
        <v>-31246000</v>
      </c>
      <c r="K22" s="55">
        <v>-8858000</v>
      </c>
      <c r="L22" s="55">
        <v>-11154000</v>
      </c>
      <c r="M22" s="55">
        <v>3364402000</v>
      </c>
      <c r="V22" s="55">
        <v>800000</v>
      </c>
    </row>
    <row r="23" spans="1:22">
      <c r="A23" t="s">
        <v>316</v>
      </c>
      <c r="H23">
        <v>0</v>
      </c>
      <c r="I23">
        <v>0</v>
      </c>
      <c r="J23" s="55">
        <v>840000</v>
      </c>
      <c r="K23" s="55">
        <v>7438000</v>
      </c>
      <c r="L23" s="55">
        <v>11084000</v>
      </c>
      <c r="M23" s="55">
        <v>-3409007000</v>
      </c>
    </row>
    <row r="24" spans="1:22">
      <c r="A24" t="s">
        <v>317</v>
      </c>
      <c r="B24" s="55">
        <v>1095000</v>
      </c>
      <c r="C24" s="55">
        <v>1095000</v>
      </c>
      <c r="D24" s="55">
        <v>2679000</v>
      </c>
      <c r="E24" s="55">
        <v>43600000</v>
      </c>
      <c r="F24" s="55">
        <v>25169000</v>
      </c>
      <c r="G24" s="55">
        <v>9828000</v>
      </c>
      <c r="H24" s="55">
        <v>9011000</v>
      </c>
      <c r="I24" s="55">
        <v>2300000</v>
      </c>
      <c r="J24" s="55">
        <v>3330000</v>
      </c>
      <c r="K24" s="55">
        <v>1420000</v>
      </c>
      <c r="L24">
        <v>0</v>
      </c>
      <c r="M24" s="55">
        <v>44605000</v>
      </c>
    </row>
    <row r="25" spans="1:22">
      <c r="A25" t="s">
        <v>319</v>
      </c>
      <c r="B25" s="55">
        <v>917000</v>
      </c>
      <c r="C25" s="55">
        <v>917000</v>
      </c>
      <c r="D25" s="55">
        <v>8301000</v>
      </c>
      <c r="E25" s="55">
        <v>3030000</v>
      </c>
      <c r="F25" s="55">
        <v>3335000</v>
      </c>
      <c r="G25" s="55">
        <v>27435000</v>
      </c>
      <c r="H25" s="55">
        <v>4198000</v>
      </c>
      <c r="I25" s="55">
        <v>11228000</v>
      </c>
      <c r="J25" s="55">
        <v>27076000</v>
      </c>
      <c r="K25" s="55">
        <v>-384000</v>
      </c>
      <c r="L25" s="55">
        <v>70000</v>
      </c>
      <c r="M25" s="55">
        <v>82000</v>
      </c>
    </row>
    <row r="26" spans="1:22">
      <c r="A26" t="s">
        <v>320</v>
      </c>
      <c r="F26" s="55">
        <v>9973000</v>
      </c>
      <c r="G26">
        <v>0</v>
      </c>
      <c r="H26" s="55">
        <v>130894000</v>
      </c>
      <c r="I26" s="55">
        <v>864000</v>
      </c>
    </row>
    <row r="27" spans="1:22">
      <c r="A27" t="s">
        <v>321</v>
      </c>
      <c r="B27" s="55">
        <v>81000</v>
      </c>
      <c r="C27" s="55">
        <v>81000</v>
      </c>
      <c r="D27" s="55">
        <v>391000</v>
      </c>
      <c r="E27" s="55">
        <v>765000</v>
      </c>
      <c r="F27" s="55">
        <v>399000</v>
      </c>
      <c r="G27" s="55">
        <v>1576000</v>
      </c>
      <c r="H27" s="55">
        <v>-2732000</v>
      </c>
      <c r="I27" s="55">
        <v>-3763000</v>
      </c>
    </row>
    <row r="28" spans="1:22">
      <c r="A28" t="s">
        <v>322</v>
      </c>
      <c r="B28" s="55">
        <v>71756000</v>
      </c>
      <c r="C28" s="55">
        <v>71756000</v>
      </c>
      <c r="D28" s="55">
        <v>194453000</v>
      </c>
      <c r="E28" s="55">
        <v>253832000</v>
      </c>
      <c r="F28" s="55">
        <v>231702000</v>
      </c>
      <c r="G28" s="55">
        <v>197703000</v>
      </c>
      <c r="H28" s="55">
        <v>359558000</v>
      </c>
      <c r="I28" s="55">
        <v>195611000</v>
      </c>
      <c r="J28" s="55">
        <v>77666000</v>
      </c>
      <c r="K28" s="55">
        <v>26923000</v>
      </c>
      <c r="L28" s="55">
        <v>53685000</v>
      </c>
      <c r="M28" s="55">
        <v>3162821000</v>
      </c>
      <c r="N28" s="55">
        <v>66159000</v>
      </c>
      <c r="O28" s="55">
        <v>88659000</v>
      </c>
      <c r="P28" s="55">
        <v>106707000</v>
      </c>
      <c r="Q28" s="55">
        <v>116695000</v>
      </c>
      <c r="R28" s="55">
        <v>80008000</v>
      </c>
      <c r="S28" s="55">
        <v>46731000</v>
      </c>
      <c r="T28" s="55">
        <v>8474000</v>
      </c>
      <c r="U28" s="55">
        <v>4906000</v>
      </c>
    </row>
    <row r="29" spans="1:22">
      <c r="A29" t="s">
        <v>323</v>
      </c>
      <c r="B29" s="55">
        <v>-24500000</v>
      </c>
      <c r="C29" s="55">
        <v>-24500000</v>
      </c>
      <c r="D29" s="55">
        <v>29315000</v>
      </c>
      <c r="E29" s="55">
        <v>42076000</v>
      </c>
      <c r="F29" s="55">
        <v>59514000</v>
      </c>
      <c r="G29" s="55">
        <v>34351000</v>
      </c>
      <c r="H29" s="55">
        <v>76536000</v>
      </c>
      <c r="I29" s="55">
        <v>45057000</v>
      </c>
      <c r="J29" s="55">
        <v>-4990000</v>
      </c>
      <c r="K29" s="55">
        <v>4642000</v>
      </c>
      <c r="L29" s="55">
        <v>7050000</v>
      </c>
      <c r="M29" s="55">
        <v>-121949000</v>
      </c>
      <c r="N29" s="55">
        <v>25803000</v>
      </c>
      <c r="O29" s="55">
        <v>31554000</v>
      </c>
      <c r="P29" s="55">
        <v>42682000</v>
      </c>
      <c r="Q29" s="55">
        <v>46678000</v>
      </c>
      <c r="R29" s="55">
        <v>32004000</v>
      </c>
      <c r="S29" s="55">
        <v>18693000</v>
      </c>
      <c r="T29" s="55">
        <v>5838000</v>
      </c>
      <c r="U29" s="55">
        <v>1470000</v>
      </c>
    </row>
    <row r="30" spans="1:22">
      <c r="A30" t="s">
        <v>324</v>
      </c>
      <c r="B30" s="55">
        <v>23267000</v>
      </c>
      <c r="C30" s="55">
        <v>23267000</v>
      </c>
      <c r="D30" s="55">
        <v>69668000</v>
      </c>
      <c r="E30" s="55">
        <v>112864000</v>
      </c>
      <c r="F30" s="55">
        <v>78847000</v>
      </c>
      <c r="G30" s="55">
        <v>69932000</v>
      </c>
      <c r="H30" s="55">
        <v>113040000</v>
      </c>
      <c r="I30" s="55">
        <v>39596000</v>
      </c>
      <c r="J30" s="55">
        <v>86231000</v>
      </c>
      <c r="K30" s="55">
        <v>20732000</v>
      </c>
      <c r="L30" s="55">
        <v>45573000</v>
      </c>
      <c r="M30" s="55">
        <v>1767050000</v>
      </c>
      <c r="N30" s="55">
        <v>40356000</v>
      </c>
      <c r="O30" s="55">
        <v>57105000</v>
      </c>
      <c r="P30" s="55">
        <v>57444000</v>
      </c>
      <c r="Q30" s="55">
        <v>70017000</v>
      </c>
      <c r="R30" s="55">
        <v>47225000</v>
      </c>
      <c r="S30" s="55">
        <v>28038000</v>
      </c>
      <c r="T30" s="55">
        <v>2636000</v>
      </c>
      <c r="U30" s="55">
        <v>3436000</v>
      </c>
      <c r="V30" s="55">
        <v>-1300000</v>
      </c>
    </row>
    <row r="31" spans="1:22">
      <c r="A31" t="s">
        <v>325</v>
      </c>
      <c r="B31" s="55">
        <v>23267000</v>
      </c>
      <c r="C31" s="55">
        <v>23267000</v>
      </c>
      <c r="D31" s="55">
        <v>69668000</v>
      </c>
      <c r="E31" s="55">
        <v>112864000</v>
      </c>
      <c r="F31" s="55">
        <v>78847000</v>
      </c>
      <c r="G31" s="55">
        <v>69932000</v>
      </c>
      <c r="H31" s="55">
        <v>113040000</v>
      </c>
      <c r="I31" s="55">
        <v>39596000</v>
      </c>
      <c r="J31" s="55">
        <v>86231000</v>
      </c>
      <c r="K31" s="55">
        <v>20732000</v>
      </c>
      <c r="L31" s="55">
        <v>45573000</v>
      </c>
      <c r="M31" s="55">
        <v>1767050000</v>
      </c>
      <c r="N31" s="55">
        <v>40356000</v>
      </c>
      <c r="O31" s="55">
        <v>57105000</v>
      </c>
      <c r="P31" s="55">
        <v>57444000</v>
      </c>
      <c r="Q31" s="55">
        <v>70017000</v>
      </c>
      <c r="R31" s="55">
        <v>47225000</v>
      </c>
      <c r="S31" s="55">
        <v>28038000</v>
      </c>
      <c r="T31" s="55">
        <v>2636000</v>
      </c>
      <c r="U31" s="55">
        <v>3436000</v>
      </c>
      <c r="V31" s="55">
        <v>-1300000</v>
      </c>
    </row>
    <row r="32" spans="1:22">
      <c r="A32" t="s">
        <v>326</v>
      </c>
      <c r="B32" s="55">
        <v>96256000</v>
      </c>
      <c r="C32" s="55">
        <v>96256000</v>
      </c>
      <c r="D32" s="55">
        <v>165138000</v>
      </c>
      <c r="E32" s="55">
        <v>211756000</v>
      </c>
      <c r="F32" s="55">
        <v>172188000</v>
      </c>
      <c r="G32" s="55">
        <v>163352000</v>
      </c>
      <c r="H32" s="55">
        <v>283022000</v>
      </c>
      <c r="I32" s="55">
        <v>150554000</v>
      </c>
      <c r="J32" s="55">
        <v>82656000</v>
      </c>
      <c r="K32" s="55">
        <v>22281000</v>
      </c>
      <c r="L32" s="55">
        <v>46635000</v>
      </c>
      <c r="M32" s="55">
        <v>3284770000</v>
      </c>
      <c r="N32" s="55">
        <v>40356000</v>
      </c>
      <c r="O32" s="55">
        <v>57105000</v>
      </c>
      <c r="P32" s="55">
        <v>57444000</v>
      </c>
      <c r="Q32" s="55">
        <v>70017000</v>
      </c>
      <c r="R32" s="55">
        <v>47225000</v>
      </c>
      <c r="S32" s="55">
        <v>28038000</v>
      </c>
      <c r="T32" s="55">
        <v>2636000</v>
      </c>
      <c r="U32" s="55">
        <v>3436000</v>
      </c>
      <c r="V32" s="55">
        <v>-1300000</v>
      </c>
    </row>
    <row r="33" spans="1:22">
      <c r="A33" t="s">
        <v>327</v>
      </c>
      <c r="B33" s="55">
        <v>96256000</v>
      </c>
      <c r="C33" s="55">
        <v>96256000</v>
      </c>
      <c r="D33" s="55">
        <v>165138000</v>
      </c>
      <c r="E33" s="55">
        <v>211756000</v>
      </c>
      <c r="F33" s="55">
        <v>172188000</v>
      </c>
      <c r="G33" s="55">
        <v>163352000</v>
      </c>
      <c r="H33" s="55">
        <v>283022000</v>
      </c>
      <c r="I33" s="55">
        <v>150554000</v>
      </c>
      <c r="J33" s="55">
        <v>82656000</v>
      </c>
      <c r="K33" s="55">
        <v>22281000</v>
      </c>
      <c r="L33" s="55">
        <v>46635000</v>
      </c>
      <c r="M33" s="55">
        <v>3284770000</v>
      </c>
      <c r="N33" s="55">
        <v>40356000</v>
      </c>
      <c r="O33" s="55">
        <v>57105000</v>
      </c>
      <c r="P33" s="55">
        <v>64025000</v>
      </c>
      <c r="Q33" s="55">
        <v>70017000</v>
      </c>
      <c r="R33" s="55">
        <v>48004000</v>
      </c>
      <c r="S33" s="55">
        <v>28038000</v>
      </c>
      <c r="T33" s="55">
        <v>2636000</v>
      </c>
      <c r="U33" s="55">
        <v>3436000</v>
      </c>
      <c r="V33" s="55">
        <v>-1300000</v>
      </c>
    </row>
    <row r="34" spans="1:22">
      <c r="A34" t="s">
        <v>329</v>
      </c>
      <c r="N34">
        <v>0</v>
      </c>
      <c r="O34">
        <v>0</v>
      </c>
      <c r="P34" s="55">
        <v>-6611000</v>
      </c>
      <c r="Q34">
        <v>0</v>
      </c>
      <c r="R34" s="55">
        <v>-779000</v>
      </c>
      <c r="T34">
        <v>0</v>
      </c>
    </row>
    <row r="35" spans="1:22">
      <c r="A35" t="s">
        <v>331</v>
      </c>
      <c r="B35" s="55">
        <v>-72989000</v>
      </c>
      <c r="C35" s="55">
        <v>-72989000</v>
      </c>
      <c r="D35" s="55">
        <v>-95470000</v>
      </c>
      <c r="E35" s="55">
        <v>-98892000</v>
      </c>
      <c r="F35" s="55">
        <v>-93341000</v>
      </c>
      <c r="G35" s="55">
        <v>-93420000</v>
      </c>
      <c r="H35" s="55">
        <v>-169982000</v>
      </c>
      <c r="I35" s="55">
        <v>-110958000</v>
      </c>
      <c r="J35" s="55">
        <v>3575000</v>
      </c>
      <c r="K35" s="55">
        <v>-1549000</v>
      </c>
      <c r="L35" s="55">
        <v>-1062000</v>
      </c>
      <c r="M35" s="55">
        <v>-1517720000</v>
      </c>
    </row>
    <row r="36" spans="1:22">
      <c r="A36" t="s">
        <v>515</v>
      </c>
      <c r="J36" s="55">
        <v>203000</v>
      </c>
    </row>
    <row r="37" spans="1:22">
      <c r="A37" t="s">
        <v>516</v>
      </c>
      <c r="K37" s="55">
        <v>16313000</v>
      </c>
      <c r="M37">
        <v>0</v>
      </c>
    </row>
    <row r="38" spans="1:22">
      <c r="A38" t="s">
        <v>517</v>
      </c>
      <c r="B38" s="55">
        <v>-95000</v>
      </c>
      <c r="C38" s="55">
        <v>-95000</v>
      </c>
      <c r="D38" s="55">
        <v>-82000</v>
      </c>
      <c r="E38" s="55">
        <v>-128000</v>
      </c>
      <c r="F38" s="55">
        <v>-392000</v>
      </c>
      <c r="G38" s="55">
        <v>-43000</v>
      </c>
      <c r="H38" s="55">
        <v>-152000</v>
      </c>
      <c r="I38" s="55">
        <v>-315000</v>
      </c>
      <c r="J38" s="55">
        <v>-166000</v>
      </c>
      <c r="L38" s="55">
        <v>-167000</v>
      </c>
    </row>
    <row r="39" spans="1:22">
      <c r="A39" t="s">
        <v>332</v>
      </c>
      <c r="B39" s="55">
        <v>23172000</v>
      </c>
      <c r="C39" s="55">
        <v>23172000</v>
      </c>
      <c r="D39" s="55">
        <v>69586000</v>
      </c>
      <c r="E39" s="55">
        <v>112736000</v>
      </c>
      <c r="F39" s="55">
        <v>78455000</v>
      </c>
      <c r="G39" s="55">
        <v>69889000</v>
      </c>
      <c r="H39" s="55">
        <v>112888000</v>
      </c>
      <c r="I39" s="55">
        <v>39281000</v>
      </c>
      <c r="J39" s="55">
        <v>86065000</v>
      </c>
      <c r="K39" s="55">
        <v>20732000</v>
      </c>
      <c r="L39" s="55">
        <v>45406000</v>
      </c>
      <c r="M39" s="55">
        <v>1767050000</v>
      </c>
      <c r="N39" s="55">
        <v>40356000</v>
      </c>
      <c r="O39" s="55">
        <v>57105000</v>
      </c>
      <c r="P39" s="55">
        <v>57444000</v>
      </c>
      <c r="Q39" s="55">
        <v>70017000</v>
      </c>
      <c r="R39" s="55">
        <v>47225000</v>
      </c>
      <c r="S39" s="55">
        <v>28038000</v>
      </c>
      <c r="T39" s="55">
        <v>2636000</v>
      </c>
      <c r="U39" s="55">
        <v>3436000</v>
      </c>
      <c r="V39" s="55">
        <v>-1300000</v>
      </c>
    </row>
    <row r="40" spans="1:22">
      <c r="A40" t="s">
        <v>333</v>
      </c>
      <c r="D40">
        <v>0.38800000000000001</v>
      </c>
      <c r="E40">
        <v>0.6</v>
      </c>
      <c r="F40">
        <v>0.41</v>
      </c>
      <c r="G40">
        <v>0.35799999999999998</v>
      </c>
      <c r="H40">
        <v>0.55300000000000005</v>
      </c>
      <c r="I40">
        <v>0.19400000000000001</v>
      </c>
      <c r="J40">
        <v>0.42</v>
      </c>
      <c r="K40">
        <v>0.122</v>
      </c>
      <c r="L40">
        <v>0.27</v>
      </c>
      <c r="N40">
        <v>0.42</v>
      </c>
      <c r="O40">
        <v>0.61</v>
      </c>
      <c r="P40">
        <v>0.61</v>
      </c>
      <c r="Q40">
        <v>0.73</v>
      </c>
      <c r="R40">
        <v>0.49</v>
      </c>
      <c r="S40">
        <v>0.28999999999999998</v>
      </c>
      <c r="T40">
        <v>0.03</v>
      </c>
      <c r="U40">
        <v>0.06</v>
      </c>
      <c r="V40">
        <v>0.05</v>
      </c>
    </row>
    <row r="41" spans="1:22">
      <c r="A41" t="s">
        <v>334</v>
      </c>
      <c r="D41">
        <v>0.37</v>
      </c>
      <c r="E41">
        <v>0.59</v>
      </c>
      <c r="F41">
        <v>0.41</v>
      </c>
      <c r="G41">
        <v>0.35</v>
      </c>
      <c r="H41">
        <v>0.55300000000000005</v>
      </c>
      <c r="I41">
        <v>0.19400000000000001</v>
      </c>
      <c r="J41">
        <v>0.42</v>
      </c>
      <c r="K41">
        <v>0.121</v>
      </c>
      <c r="L41">
        <v>0.26</v>
      </c>
      <c r="N41">
        <v>0.42</v>
      </c>
      <c r="O41">
        <v>0.59</v>
      </c>
      <c r="P41">
        <v>0.59</v>
      </c>
      <c r="Q41">
        <v>0.72</v>
      </c>
      <c r="R41">
        <v>0.48699999999999999</v>
      </c>
      <c r="S41">
        <v>0.28999999999999998</v>
      </c>
      <c r="T41">
        <v>0.03</v>
      </c>
      <c r="U41">
        <v>0.06</v>
      </c>
      <c r="V41">
        <v>0.05</v>
      </c>
    </row>
    <row r="42" spans="1:22">
      <c r="A42" t="s">
        <v>335</v>
      </c>
      <c r="D42" s="55">
        <v>179483397</v>
      </c>
      <c r="E42" s="55">
        <v>188219605</v>
      </c>
      <c r="F42" s="55">
        <v>192099933</v>
      </c>
      <c r="G42" s="55">
        <v>195406944</v>
      </c>
      <c r="H42" s="55">
        <v>204593912</v>
      </c>
      <c r="I42" s="55">
        <v>204517265</v>
      </c>
      <c r="J42" s="55">
        <v>204788000</v>
      </c>
      <c r="K42" s="55">
        <v>170387000</v>
      </c>
      <c r="L42" s="55">
        <v>168813000</v>
      </c>
      <c r="N42" s="55">
        <v>95161000</v>
      </c>
      <c r="O42" s="55">
        <v>93689000</v>
      </c>
      <c r="P42" s="55">
        <v>94170000</v>
      </c>
      <c r="Q42" s="55">
        <v>95372000</v>
      </c>
      <c r="R42" s="55">
        <v>96254000</v>
      </c>
      <c r="S42" s="55">
        <v>95896000</v>
      </c>
      <c r="T42" s="55">
        <v>94233000</v>
      </c>
      <c r="U42" s="55">
        <v>59724000</v>
      </c>
      <c r="V42" s="55">
        <v>44262000</v>
      </c>
    </row>
    <row r="43" spans="1:22">
      <c r="A43" t="s">
        <v>336</v>
      </c>
      <c r="D43" s="55">
        <v>186822000</v>
      </c>
      <c r="E43" s="55">
        <v>189821000</v>
      </c>
      <c r="F43" s="55">
        <v>193670000</v>
      </c>
      <c r="G43" s="55">
        <v>200736000</v>
      </c>
      <c r="H43" s="55">
        <v>204593912</v>
      </c>
      <c r="I43" s="55">
        <v>204517265</v>
      </c>
      <c r="J43" s="55">
        <v>204788000</v>
      </c>
      <c r="K43" s="55">
        <v>171855000</v>
      </c>
      <c r="L43" s="55">
        <v>171345000</v>
      </c>
      <c r="N43" s="55">
        <v>96930000</v>
      </c>
      <c r="O43" s="55">
        <v>96542000</v>
      </c>
      <c r="P43" s="55">
        <v>97075000</v>
      </c>
      <c r="Q43" s="55">
        <v>96601000</v>
      </c>
      <c r="R43" s="55">
        <v>96939000</v>
      </c>
      <c r="S43" s="55">
        <v>96800000</v>
      </c>
      <c r="T43" s="55">
        <v>95744000</v>
      </c>
      <c r="U43" s="55">
        <v>59724000</v>
      </c>
      <c r="V43" s="55">
        <v>44262000</v>
      </c>
    </row>
    <row r="44" spans="1:22">
      <c r="A44" t="s">
        <v>518</v>
      </c>
      <c r="B44" s="55">
        <v>201808000</v>
      </c>
      <c r="C44" s="55">
        <v>201808000</v>
      </c>
      <c r="D44" s="55">
        <v>321826000</v>
      </c>
      <c r="E44" s="55">
        <v>377937000</v>
      </c>
      <c r="F44" s="55">
        <v>361075000</v>
      </c>
      <c r="G44" s="55">
        <v>360664000</v>
      </c>
      <c r="H44" s="55">
        <v>500072000</v>
      </c>
      <c r="I44" s="55">
        <v>348738000</v>
      </c>
      <c r="J44" s="55">
        <v>312125000</v>
      </c>
      <c r="K44" s="55">
        <v>284272000</v>
      </c>
      <c r="L44" s="55">
        <v>265609000</v>
      </c>
      <c r="M44" s="55">
        <v>-51199000</v>
      </c>
      <c r="N44" s="55">
        <v>144416000</v>
      </c>
      <c r="O44" s="55">
        <v>167835000</v>
      </c>
      <c r="P44" s="55">
        <v>182692000</v>
      </c>
      <c r="Q44" s="55">
        <v>192831000</v>
      </c>
      <c r="R44" s="55">
        <v>136082000</v>
      </c>
      <c r="S44" s="55">
        <v>67252000</v>
      </c>
      <c r="T44" s="55">
        <v>-768000</v>
      </c>
      <c r="U44" s="55">
        <v>-6632000</v>
      </c>
    </row>
    <row r="45" spans="1:22">
      <c r="A45" t="s">
        <v>337</v>
      </c>
      <c r="B45" s="55">
        <v>891938000</v>
      </c>
      <c r="C45" s="55">
        <v>891938000</v>
      </c>
      <c r="D45" s="55">
        <v>893714000</v>
      </c>
      <c r="E45" s="55">
        <v>896000000</v>
      </c>
      <c r="F45" s="55">
        <v>906454000</v>
      </c>
      <c r="G45" s="55">
        <v>900101000</v>
      </c>
      <c r="H45" s="55">
        <v>906564000</v>
      </c>
      <c r="I45" s="55">
        <v>863301000</v>
      </c>
      <c r="J45" s="55">
        <v>816523000</v>
      </c>
      <c r="K45" s="55">
        <v>718332000</v>
      </c>
      <c r="L45" s="55">
        <v>666035000</v>
      </c>
      <c r="M45" s="55">
        <v>861056000</v>
      </c>
      <c r="N45" s="55">
        <v>405304000</v>
      </c>
      <c r="O45" s="55">
        <v>380075000</v>
      </c>
      <c r="P45" s="55">
        <v>358843000</v>
      </c>
      <c r="Q45" s="55">
        <v>325202000</v>
      </c>
      <c r="R45" s="55">
        <v>281580000</v>
      </c>
      <c r="S45" s="55">
        <v>215835000</v>
      </c>
      <c r="T45" s="55">
        <v>131568000</v>
      </c>
      <c r="U45" s="55">
        <v>22377000</v>
      </c>
      <c r="V45" s="55">
        <v>2900000</v>
      </c>
    </row>
    <row r="46" spans="1:22">
      <c r="A46" t="s">
        <v>338</v>
      </c>
      <c r="B46" s="55">
        <v>23267000</v>
      </c>
      <c r="C46" s="55">
        <v>23267000</v>
      </c>
      <c r="D46" s="55">
        <v>69668000</v>
      </c>
      <c r="E46" s="55">
        <v>112864000</v>
      </c>
      <c r="F46" s="55">
        <v>78847000</v>
      </c>
      <c r="G46" s="55">
        <v>69932000</v>
      </c>
      <c r="H46" s="55">
        <v>113040000</v>
      </c>
      <c r="I46" s="55">
        <v>39596000</v>
      </c>
      <c r="J46" s="55">
        <v>86231000</v>
      </c>
      <c r="K46" s="55">
        <v>20732000</v>
      </c>
      <c r="L46" s="55">
        <v>45573000</v>
      </c>
      <c r="M46" s="55">
        <v>1767050000</v>
      </c>
      <c r="N46" s="55">
        <v>40356000</v>
      </c>
      <c r="O46" s="55">
        <v>57105000</v>
      </c>
      <c r="P46" s="55">
        <v>64055000</v>
      </c>
      <c r="Q46" s="55">
        <v>70017000</v>
      </c>
      <c r="R46" s="55">
        <v>48004000</v>
      </c>
      <c r="S46" s="55">
        <v>28038000</v>
      </c>
      <c r="T46" s="55">
        <v>2636000</v>
      </c>
      <c r="U46" s="55">
        <v>3436000</v>
      </c>
      <c r="V46" s="55">
        <v>-1300000</v>
      </c>
    </row>
    <row r="47" spans="1:22">
      <c r="A47" t="s">
        <v>339</v>
      </c>
      <c r="B47" s="55">
        <v>-13607490</v>
      </c>
      <c r="C47" s="55">
        <v>-13607490</v>
      </c>
      <c r="D47" s="55">
        <v>78990020</v>
      </c>
      <c r="E47" s="55">
        <v>116326768</v>
      </c>
      <c r="F47" s="55">
        <v>92615533</v>
      </c>
      <c r="G47" s="55">
        <v>100711238</v>
      </c>
      <c r="H47" s="55">
        <v>20421905</v>
      </c>
      <c r="I47" s="55">
        <v>49347280</v>
      </c>
      <c r="J47" s="55">
        <v>106540900</v>
      </c>
      <c r="K47" s="295">
        <v>28062724.585000001</v>
      </c>
      <c r="L47" s="295">
        <v>55262238.894000001</v>
      </c>
      <c r="M47" s="55">
        <v>-419811300</v>
      </c>
      <c r="N47" s="55">
        <v>40356000</v>
      </c>
      <c r="O47" s="55">
        <v>57105000</v>
      </c>
      <c r="P47" s="55">
        <v>64055000</v>
      </c>
      <c r="Q47" s="55">
        <v>70017000</v>
      </c>
      <c r="R47" s="55">
        <v>48004000</v>
      </c>
      <c r="S47" s="55">
        <v>28038000</v>
      </c>
      <c r="T47" s="55">
        <v>2636000</v>
      </c>
      <c r="U47" s="55">
        <v>3436000</v>
      </c>
      <c r="V47" s="55">
        <v>-1780000</v>
      </c>
    </row>
    <row r="48" spans="1:22">
      <c r="A48" t="s">
        <v>340</v>
      </c>
      <c r="B48" s="55">
        <v>1317000</v>
      </c>
      <c r="C48" s="55">
        <v>1317000</v>
      </c>
      <c r="D48" s="55">
        <v>5663000</v>
      </c>
      <c r="E48" s="55">
        <v>2513000</v>
      </c>
      <c r="F48" s="55">
        <v>170000</v>
      </c>
      <c r="G48" s="55">
        <v>413000</v>
      </c>
      <c r="H48" s="55">
        <v>317000</v>
      </c>
      <c r="I48" s="55">
        <v>110000</v>
      </c>
      <c r="J48" s="55">
        <v>134000</v>
      </c>
      <c r="K48" s="55">
        <v>307000</v>
      </c>
      <c r="L48" s="55">
        <v>550000</v>
      </c>
      <c r="M48" s="55">
        <v>114000</v>
      </c>
    </row>
    <row r="49" spans="1:22">
      <c r="A49" t="s">
        <v>341</v>
      </c>
      <c r="B49" s="55">
        <v>122296000</v>
      </c>
      <c r="C49" s="55">
        <v>122296000</v>
      </c>
      <c r="D49" s="55">
        <v>117067000</v>
      </c>
      <c r="E49" s="55">
        <v>116348000</v>
      </c>
      <c r="F49" s="55">
        <v>118510000</v>
      </c>
      <c r="G49" s="55">
        <v>127633000</v>
      </c>
      <c r="H49" s="55">
        <v>123411000</v>
      </c>
      <c r="I49" s="55">
        <v>123736000</v>
      </c>
      <c r="J49" s="55">
        <v>194980000</v>
      </c>
      <c r="K49" s="55">
        <v>257656000</v>
      </c>
      <c r="L49" s="55">
        <v>201976000</v>
      </c>
      <c r="M49" s="55">
        <v>49598000</v>
      </c>
      <c r="N49" s="55">
        <v>78257000</v>
      </c>
      <c r="O49" s="55">
        <v>79176000</v>
      </c>
      <c r="P49" s="55">
        <v>75985000</v>
      </c>
      <c r="Q49" s="55">
        <v>76136000</v>
      </c>
    </row>
    <row r="50" spans="1:22">
      <c r="A50" t="s">
        <v>342</v>
      </c>
      <c r="B50" s="55">
        <v>-129216000</v>
      </c>
      <c r="C50" s="55">
        <v>-129216000</v>
      </c>
      <c r="D50" s="55">
        <v>-119463000</v>
      </c>
      <c r="E50" s="55">
        <v>-121840000</v>
      </c>
      <c r="F50" s="55">
        <v>-126437000</v>
      </c>
      <c r="G50" s="55">
        <v>-137102000</v>
      </c>
      <c r="H50" s="55">
        <v>-133584000</v>
      </c>
      <c r="I50" s="55">
        <v>-138136000</v>
      </c>
      <c r="J50" s="55">
        <v>-207383000</v>
      </c>
      <c r="K50" s="55">
        <v>-257349000</v>
      </c>
      <c r="L50" s="55">
        <v>-211854000</v>
      </c>
      <c r="M50" s="55">
        <v>-49484000</v>
      </c>
      <c r="N50" s="55">
        <v>-78257000</v>
      </c>
      <c r="O50" s="55">
        <v>-79176000</v>
      </c>
      <c r="P50" s="55">
        <v>-75985000</v>
      </c>
      <c r="Q50" s="55">
        <v>-76136000</v>
      </c>
      <c r="S50" s="55">
        <v>-20521000</v>
      </c>
      <c r="U50" s="55">
        <v>11538000</v>
      </c>
    </row>
    <row r="51" spans="1:22">
      <c r="A51" t="s">
        <v>343</v>
      </c>
      <c r="B51" s="55">
        <v>194052000</v>
      </c>
      <c r="C51" s="55">
        <v>194052000</v>
      </c>
      <c r="D51" s="55">
        <v>311520000</v>
      </c>
      <c r="E51" s="55">
        <v>370180000</v>
      </c>
      <c r="F51" s="55">
        <v>350212000</v>
      </c>
      <c r="G51" s="55">
        <v>325336000</v>
      </c>
      <c r="H51" s="55">
        <v>482969000</v>
      </c>
      <c r="I51" s="55">
        <v>319347000</v>
      </c>
      <c r="J51" s="55">
        <v>272646000</v>
      </c>
      <c r="K51" s="55">
        <v>284579000</v>
      </c>
      <c r="L51" s="55">
        <v>255661000</v>
      </c>
      <c r="M51" s="55">
        <v>3212419000</v>
      </c>
      <c r="N51" s="55">
        <v>144416000</v>
      </c>
      <c r="O51" s="55">
        <v>167835000</v>
      </c>
      <c r="P51" s="55">
        <v>182692000</v>
      </c>
      <c r="Q51" s="55">
        <v>192831000</v>
      </c>
      <c r="R51" s="55">
        <v>136082000</v>
      </c>
      <c r="S51" s="55">
        <v>67252000</v>
      </c>
      <c r="T51" s="55">
        <v>-768000</v>
      </c>
      <c r="U51" s="55">
        <v>-6632000</v>
      </c>
      <c r="V51" s="55">
        <v>-2000000</v>
      </c>
    </row>
    <row r="52" spans="1:22">
      <c r="A52" t="s">
        <v>116</v>
      </c>
      <c r="B52" s="55">
        <v>400065000</v>
      </c>
    </row>
    <row r="53" spans="1:22">
      <c r="A53" t="s">
        <v>344</v>
      </c>
      <c r="B53" s="55">
        <v>593760000</v>
      </c>
      <c r="C53" s="55">
        <v>593760000</v>
      </c>
      <c r="D53" s="55">
        <v>601191000</v>
      </c>
      <c r="E53" s="55">
        <v>596246000</v>
      </c>
      <c r="F53" s="55">
        <v>585545000</v>
      </c>
      <c r="G53" s="55">
        <v>580772000</v>
      </c>
      <c r="H53" s="55">
        <v>604087000</v>
      </c>
      <c r="I53" s="55">
        <v>592101000</v>
      </c>
      <c r="J53" s="55">
        <v>540551000</v>
      </c>
      <c r="K53" s="55">
        <v>493635000</v>
      </c>
      <c r="L53" s="55">
        <v>464379000</v>
      </c>
      <c r="M53" s="55">
        <v>454128000</v>
      </c>
      <c r="V53" s="55">
        <v>1000000</v>
      </c>
    </row>
    <row r="54" spans="1:22">
      <c r="A54" t="s">
        <v>345</v>
      </c>
      <c r="B54" s="55">
        <v>206013000</v>
      </c>
      <c r="C54" s="55">
        <v>206013000</v>
      </c>
      <c r="D54" s="55">
        <v>197400000</v>
      </c>
      <c r="E54" s="55">
        <v>209329000</v>
      </c>
      <c r="F54" s="55">
        <v>229216000</v>
      </c>
      <c r="G54" s="55">
        <v>221309000</v>
      </c>
      <c r="H54" s="55">
        <v>203897000</v>
      </c>
      <c r="I54" s="55">
        <v>187207000</v>
      </c>
      <c r="J54" s="55">
        <v>168053000</v>
      </c>
      <c r="K54" s="55">
        <v>129938000</v>
      </c>
      <c r="L54" s="55">
        <v>120438000</v>
      </c>
      <c r="M54" s="55">
        <v>317589000</v>
      </c>
      <c r="N54" s="55">
        <v>80433000</v>
      </c>
      <c r="O54" s="55">
        <v>78815000</v>
      </c>
      <c r="P54" s="55">
        <v>72141000</v>
      </c>
      <c r="Q54" s="55">
        <v>66269000</v>
      </c>
      <c r="R54" s="55">
        <v>60198000</v>
      </c>
      <c r="S54" s="55">
        <v>42293000</v>
      </c>
      <c r="T54" s="55">
        <v>21331000</v>
      </c>
      <c r="U54" s="55">
        <v>2803000</v>
      </c>
      <c r="V54" s="55">
        <v>-100000</v>
      </c>
    </row>
    <row r="55" spans="1:22">
      <c r="A55" t="s">
        <v>346</v>
      </c>
      <c r="B55" s="55">
        <v>23267000</v>
      </c>
      <c r="C55" s="55">
        <v>23267000</v>
      </c>
      <c r="D55" s="55">
        <v>69668000</v>
      </c>
      <c r="E55" s="55">
        <v>112864000</v>
      </c>
      <c r="F55" s="55">
        <v>78847000</v>
      </c>
      <c r="G55" s="55">
        <v>69932000</v>
      </c>
      <c r="H55" s="55">
        <v>113040000</v>
      </c>
      <c r="I55" s="55">
        <v>39596000</v>
      </c>
      <c r="J55" s="55">
        <v>86231000</v>
      </c>
      <c r="K55" s="55">
        <v>20732000</v>
      </c>
      <c r="L55" s="55">
        <v>45573000</v>
      </c>
      <c r="M55" s="55">
        <v>1767050000</v>
      </c>
      <c r="N55" s="55">
        <v>40356000</v>
      </c>
      <c r="O55" s="55">
        <v>57105000</v>
      </c>
      <c r="P55" s="55">
        <v>64055000</v>
      </c>
      <c r="Q55" s="55">
        <v>70017000</v>
      </c>
      <c r="R55" s="55">
        <v>48004000</v>
      </c>
      <c r="S55" s="55">
        <v>28038000</v>
      </c>
      <c r="T55" s="55">
        <v>2636000</v>
      </c>
      <c r="U55" s="55">
        <v>3436000</v>
      </c>
      <c r="V55" s="55">
        <v>-1300000</v>
      </c>
    </row>
    <row r="56" spans="1:22">
      <c r="A56" t="s">
        <v>347</v>
      </c>
      <c r="B56" s="55">
        <v>50513000</v>
      </c>
      <c r="C56" s="55">
        <v>50513000</v>
      </c>
      <c r="D56" s="55">
        <v>-10980000</v>
      </c>
      <c r="E56" s="55">
        <v>-4152000</v>
      </c>
      <c r="F56" s="55">
        <v>-18531000</v>
      </c>
      <c r="G56" s="55">
        <v>-37263000</v>
      </c>
      <c r="H56" s="55">
        <v>117685000</v>
      </c>
      <c r="I56" s="55">
        <v>-12664000</v>
      </c>
      <c r="J56" s="55">
        <v>-31246000</v>
      </c>
      <c r="K56" s="55">
        <v>-8858000</v>
      </c>
      <c r="L56" s="55">
        <v>-11154000</v>
      </c>
      <c r="M56" s="55">
        <v>3364402000</v>
      </c>
      <c r="V56" s="55">
        <v>800000</v>
      </c>
    </row>
    <row r="57" spans="1:22">
      <c r="A57" t="s">
        <v>348</v>
      </c>
      <c r="B57" s="55">
        <v>50513000</v>
      </c>
      <c r="C57" s="55">
        <v>50513000</v>
      </c>
      <c r="D57" s="55">
        <v>-10980000</v>
      </c>
      <c r="E57" s="55">
        <v>-4152000</v>
      </c>
      <c r="F57" s="55">
        <v>-18531000</v>
      </c>
      <c r="G57" s="55">
        <v>-37263000</v>
      </c>
      <c r="H57" s="55">
        <v>117685000</v>
      </c>
      <c r="I57" s="55">
        <v>-12664000</v>
      </c>
      <c r="J57" s="55">
        <v>-31246000</v>
      </c>
      <c r="K57" s="55">
        <v>-8858000</v>
      </c>
      <c r="L57" s="55">
        <v>-11154000</v>
      </c>
      <c r="M57" s="55">
        <v>3364402000</v>
      </c>
      <c r="V57" s="55">
        <v>800000</v>
      </c>
    </row>
    <row r="58" spans="1:22">
      <c r="A58" t="s">
        <v>349</v>
      </c>
      <c r="B58" s="55">
        <v>349552000</v>
      </c>
      <c r="C58" s="55">
        <v>349552000</v>
      </c>
      <c r="D58" s="55">
        <v>519900000</v>
      </c>
      <c r="E58" s="55">
        <v>583661000</v>
      </c>
      <c r="F58" s="55">
        <v>597959000</v>
      </c>
      <c r="G58" s="55">
        <v>583908000</v>
      </c>
      <c r="H58" s="55">
        <v>569181000</v>
      </c>
      <c r="I58" s="55">
        <v>519218000</v>
      </c>
      <c r="J58" s="55">
        <v>471945000</v>
      </c>
      <c r="K58" s="55">
        <v>423375000</v>
      </c>
      <c r="L58" s="55">
        <v>387253000</v>
      </c>
      <c r="M58" s="55">
        <v>165615000</v>
      </c>
      <c r="N58" s="55">
        <v>224849000</v>
      </c>
      <c r="O58" s="55">
        <v>246650000</v>
      </c>
      <c r="P58" s="55">
        <v>254833000</v>
      </c>
      <c r="Q58" s="55">
        <v>259100000</v>
      </c>
      <c r="R58" s="55">
        <v>196280000</v>
      </c>
      <c r="S58" s="55">
        <v>109545000</v>
      </c>
      <c r="T58" s="55">
        <v>20563000</v>
      </c>
      <c r="U58" s="55">
        <v>-3829000</v>
      </c>
      <c r="V58" s="55">
        <v>-2700000</v>
      </c>
    </row>
    <row r="59" spans="1:22">
      <c r="A59" t="s">
        <v>350</v>
      </c>
      <c r="B59">
        <v>0.27</v>
      </c>
      <c r="C59">
        <v>0.27</v>
      </c>
      <c r="D59">
        <v>0.151</v>
      </c>
      <c r="E59">
        <v>0.16600000000000001</v>
      </c>
      <c r="F59">
        <v>0.25700000000000001</v>
      </c>
      <c r="G59">
        <v>0.17399999999999999</v>
      </c>
      <c r="H59">
        <v>0.21299999999999999</v>
      </c>
      <c r="I59">
        <v>0.23</v>
      </c>
      <c r="J59">
        <v>0.35</v>
      </c>
      <c r="K59">
        <v>0.17199999999999999</v>
      </c>
      <c r="L59">
        <v>0.13100000000000001</v>
      </c>
      <c r="M59">
        <v>0.35</v>
      </c>
      <c r="N59">
        <v>0.39</v>
      </c>
      <c r="O59">
        <v>0.35599999999999998</v>
      </c>
      <c r="P59">
        <v>0.4</v>
      </c>
      <c r="Q59">
        <v>0.4</v>
      </c>
      <c r="R59">
        <v>0.4</v>
      </c>
      <c r="S59">
        <v>0.4</v>
      </c>
      <c r="T59">
        <v>0.4</v>
      </c>
      <c r="U59">
        <v>0.3</v>
      </c>
      <c r="V59">
        <v>0.4</v>
      </c>
    </row>
    <row r="60" spans="1:22">
      <c r="A60" t="s">
        <v>351</v>
      </c>
      <c r="B60" s="55">
        <v>13638510</v>
      </c>
      <c r="C60" s="55">
        <v>13638510</v>
      </c>
      <c r="D60" s="55">
        <v>-1657980</v>
      </c>
      <c r="E60" s="55">
        <v>-689232</v>
      </c>
      <c r="F60" s="55">
        <v>-4762467</v>
      </c>
      <c r="G60" s="55">
        <v>-6483762</v>
      </c>
      <c r="H60" s="55">
        <v>25066905</v>
      </c>
      <c r="I60" s="55">
        <v>-2912720</v>
      </c>
      <c r="J60" s="55">
        <v>-10936100</v>
      </c>
      <c r="K60" s="295">
        <v>-1527275.415</v>
      </c>
      <c r="L60" s="295">
        <v>-1464761.1059999999</v>
      </c>
      <c r="M60" s="55">
        <v>1177540700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 s="55">
        <v>320000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EDB3F-7620-4036-BD63-A563BBF43C34}">
  <dimension ref="A1:P55"/>
  <sheetViews>
    <sheetView workbookViewId="0">
      <selection activeCell="C6" sqref="C6"/>
    </sheetView>
  </sheetViews>
  <sheetFormatPr defaultRowHeight="14.35"/>
  <cols>
    <col min="1" max="1" width="49.41015625" bestFit="1" customWidth="1"/>
    <col min="2" max="13" width="12.17578125" bestFit="1" customWidth="1"/>
    <col min="14" max="14" width="12.8203125" bestFit="1" customWidth="1"/>
    <col min="15" max="16" width="12.17578125" bestFit="1" customWidth="1"/>
  </cols>
  <sheetData>
    <row r="1" spans="1:16">
      <c r="A1" t="s">
        <v>297</v>
      </c>
      <c r="B1" t="s">
        <v>298</v>
      </c>
      <c r="C1" s="227">
        <v>44196</v>
      </c>
      <c r="D1" s="227">
        <v>43830</v>
      </c>
      <c r="E1" s="227">
        <v>43465</v>
      </c>
      <c r="F1" s="227">
        <v>43100</v>
      </c>
      <c r="G1" s="227">
        <v>42735</v>
      </c>
      <c r="H1" s="227">
        <v>42369</v>
      </c>
      <c r="I1" s="227">
        <v>42004</v>
      </c>
      <c r="J1" s="227">
        <v>41639</v>
      </c>
      <c r="K1" s="227">
        <v>41274</v>
      </c>
      <c r="L1" s="227">
        <v>40908</v>
      </c>
      <c r="M1" s="227">
        <v>40543</v>
      </c>
      <c r="N1" s="227">
        <v>40178</v>
      </c>
      <c r="O1" s="227">
        <v>39813</v>
      </c>
      <c r="P1" s="227">
        <v>39447</v>
      </c>
    </row>
    <row r="2" spans="1:16">
      <c r="A2" t="s">
        <v>299</v>
      </c>
      <c r="B2" s="55">
        <v>2066000000</v>
      </c>
      <c r="C2" s="55">
        <v>2066000000</v>
      </c>
      <c r="D2" s="55">
        <v>5020000000</v>
      </c>
      <c r="E2" s="55">
        <v>4454000000</v>
      </c>
      <c r="F2" s="55">
        <v>4685000000</v>
      </c>
      <c r="G2" s="55">
        <v>4429000000</v>
      </c>
      <c r="H2" s="55">
        <v>4328000000</v>
      </c>
      <c r="I2" s="55">
        <v>4415000000</v>
      </c>
      <c r="J2" s="55">
        <v>4184000000</v>
      </c>
      <c r="K2" s="55">
        <v>3949000000</v>
      </c>
      <c r="L2" s="55">
        <v>3698000000</v>
      </c>
      <c r="M2" s="55">
        <v>3527000000</v>
      </c>
      <c r="N2" s="55">
        <v>3332000000</v>
      </c>
      <c r="O2" s="55">
        <v>3837000000</v>
      </c>
      <c r="P2" s="55">
        <v>3738000000</v>
      </c>
    </row>
    <row r="3" spans="1:16">
      <c r="A3" t="s">
        <v>300</v>
      </c>
      <c r="B3" s="55">
        <v>752000000</v>
      </c>
      <c r="C3" s="55">
        <v>752000000</v>
      </c>
      <c r="D3" s="55">
        <v>2456000000</v>
      </c>
      <c r="E3" s="55">
        <v>2470000000</v>
      </c>
      <c r="F3" s="55">
        <v>2697000000</v>
      </c>
      <c r="G3" s="55">
        <v>2556000000</v>
      </c>
      <c r="H3" s="55">
        <v>2506000000</v>
      </c>
      <c r="I3" s="55">
        <v>2633000000</v>
      </c>
      <c r="J3" s="55">
        <v>2484000000</v>
      </c>
      <c r="K3" s="55">
        <v>2328000000</v>
      </c>
      <c r="L3" s="55">
        <v>3698000000</v>
      </c>
      <c r="M3" s="55">
        <v>3527000000</v>
      </c>
      <c r="N3" s="55">
        <v>3332000000</v>
      </c>
      <c r="O3" s="55">
        <v>3837000000</v>
      </c>
      <c r="P3" s="55">
        <v>3738000000</v>
      </c>
    </row>
    <row r="4" spans="1:16">
      <c r="A4" t="s">
        <v>301</v>
      </c>
      <c r="B4" s="55">
        <v>2067000000</v>
      </c>
      <c r="C4" s="55">
        <v>2067000000</v>
      </c>
      <c r="D4" s="55">
        <v>4077000000</v>
      </c>
      <c r="E4" s="55">
        <v>3475000000</v>
      </c>
      <c r="F4" s="55">
        <v>3638000000</v>
      </c>
      <c r="G4" s="55">
        <v>3473000000</v>
      </c>
      <c r="H4" s="55">
        <v>3377000000</v>
      </c>
      <c r="I4" s="55">
        <v>3433000000</v>
      </c>
      <c r="J4" s="55">
        <v>3283000000</v>
      </c>
      <c r="K4" s="55">
        <v>3121000000</v>
      </c>
      <c r="L4" s="55">
        <v>2957000000</v>
      </c>
      <c r="M4" s="55">
        <v>2864000000</v>
      </c>
      <c r="N4" s="55">
        <v>2753000000</v>
      </c>
      <c r="O4" s="55">
        <v>2934000000</v>
      </c>
      <c r="P4" s="55">
        <v>2847000000</v>
      </c>
    </row>
    <row r="5" spans="1:16">
      <c r="A5" t="s">
        <v>302</v>
      </c>
      <c r="B5" s="55">
        <v>-1000000</v>
      </c>
      <c r="C5" s="55">
        <v>-1000000</v>
      </c>
      <c r="D5" s="55">
        <v>943000000</v>
      </c>
      <c r="E5" s="55">
        <v>979000000</v>
      </c>
      <c r="F5" s="55">
        <v>1047000000</v>
      </c>
      <c r="G5" s="55">
        <v>956000000</v>
      </c>
      <c r="H5" s="55">
        <v>951000000</v>
      </c>
      <c r="I5" s="55">
        <v>982000000</v>
      </c>
      <c r="J5" s="55">
        <v>901000000</v>
      </c>
      <c r="K5" s="55">
        <v>828000000</v>
      </c>
      <c r="L5" s="55">
        <v>741000000</v>
      </c>
      <c r="M5" s="55">
        <v>663000000</v>
      </c>
      <c r="N5" s="55">
        <v>579000000</v>
      </c>
      <c r="O5" s="55">
        <v>903000000</v>
      </c>
      <c r="P5" s="55">
        <v>891000000</v>
      </c>
    </row>
    <row r="6" spans="1:16">
      <c r="A6" t="s">
        <v>303</v>
      </c>
      <c r="B6" s="55">
        <v>631000000</v>
      </c>
      <c r="C6" s="55">
        <v>631000000</v>
      </c>
      <c r="D6" s="55">
        <v>746000000</v>
      </c>
      <c r="E6" s="55">
        <v>647000000</v>
      </c>
      <c r="F6" s="55">
        <v>745000000</v>
      </c>
      <c r="G6" s="55">
        <v>657000000</v>
      </c>
      <c r="H6" s="55">
        <v>628000000</v>
      </c>
      <c r="I6" s="55">
        <v>703000000</v>
      </c>
      <c r="J6" s="55">
        <v>668000000</v>
      </c>
      <c r="K6" s="55">
        <v>669000000</v>
      </c>
      <c r="L6" s="55">
        <v>588000000</v>
      </c>
      <c r="M6" s="55">
        <v>555000000</v>
      </c>
      <c r="N6" s="55">
        <v>531000000</v>
      </c>
      <c r="O6" s="55">
        <v>539000000</v>
      </c>
      <c r="P6" s="55">
        <v>506000000</v>
      </c>
    </row>
    <row r="7" spans="1:16">
      <c r="A7" t="s">
        <v>304</v>
      </c>
      <c r="B7" s="55">
        <v>321000000</v>
      </c>
      <c r="C7" s="55">
        <v>321000000</v>
      </c>
      <c r="D7" s="55">
        <v>417000000</v>
      </c>
      <c r="E7" s="55">
        <v>320000000</v>
      </c>
      <c r="F7" s="55">
        <v>379000000</v>
      </c>
      <c r="G7" s="55">
        <v>315000000</v>
      </c>
      <c r="H7" s="55">
        <v>308000000</v>
      </c>
      <c r="I7" s="55">
        <v>349000000</v>
      </c>
      <c r="J7" s="55">
        <v>323000000</v>
      </c>
      <c r="K7" s="55">
        <v>316000000</v>
      </c>
      <c r="L7" s="55">
        <v>283000000</v>
      </c>
      <c r="M7" s="55">
        <v>276000000</v>
      </c>
      <c r="N7" s="55">
        <v>261000000</v>
      </c>
      <c r="O7" s="55">
        <v>290000000</v>
      </c>
      <c r="P7" s="55">
        <v>292000000</v>
      </c>
    </row>
    <row r="8" spans="1:16">
      <c r="A8" t="s">
        <v>305</v>
      </c>
      <c r="B8" s="55">
        <v>310000000</v>
      </c>
      <c r="C8" s="55">
        <v>310000000</v>
      </c>
      <c r="D8" s="55">
        <v>329000000</v>
      </c>
      <c r="E8" s="55">
        <v>327000000</v>
      </c>
      <c r="F8" s="55">
        <v>366000000</v>
      </c>
      <c r="G8" s="55">
        <v>342000000</v>
      </c>
      <c r="H8" s="55">
        <v>320000000</v>
      </c>
      <c r="I8" s="55">
        <v>354000000</v>
      </c>
      <c r="J8" s="55">
        <v>345000000</v>
      </c>
      <c r="K8" s="55">
        <v>353000000</v>
      </c>
      <c r="L8" s="55">
        <v>305000000</v>
      </c>
      <c r="M8" s="55">
        <v>279000000</v>
      </c>
      <c r="N8" s="55">
        <v>270000000</v>
      </c>
      <c r="O8" s="55">
        <v>249000000</v>
      </c>
      <c r="P8" s="55">
        <v>214000000</v>
      </c>
    </row>
    <row r="9" spans="1:16">
      <c r="A9" t="s">
        <v>306</v>
      </c>
      <c r="B9" s="55">
        <v>310000000</v>
      </c>
      <c r="C9" s="55">
        <v>310000000</v>
      </c>
      <c r="D9" s="55">
        <v>329000000</v>
      </c>
      <c r="E9" s="55">
        <v>327000000</v>
      </c>
      <c r="F9" s="55">
        <v>366000000</v>
      </c>
      <c r="G9" s="55">
        <v>342000000</v>
      </c>
      <c r="H9" s="55">
        <v>320000000</v>
      </c>
      <c r="I9" s="55">
        <v>354000000</v>
      </c>
      <c r="J9" s="55">
        <v>345000000</v>
      </c>
      <c r="K9" s="55">
        <v>353000000</v>
      </c>
      <c r="L9" s="55">
        <v>305000000</v>
      </c>
      <c r="M9" s="55">
        <v>279000000</v>
      </c>
      <c r="N9" s="55">
        <v>270000000</v>
      </c>
      <c r="O9" s="55">
        <v>249000000</v>
      </c>
      <c r="P9" s="55">
        <v>214000000</v>
      </c>
    </row>
    <row r="10" spans="1:16">
      <c r="A10" t="s">
        <v>307</v>
      </c>
      <c r="B10" s="55">
        <v>-632000000</v>
      </c>
      <c r="C10" s="55">
        <v>-632000000</v>
      </c>
      <c r="D10" s="55">
        <v>197000000</v>
      </c>
      <c r="E10" s="55">
        <v>332000000</v>
      </c>
      <c r="F10" s="55">
        <v>302000000</v>
      </c>
      <c r="G10" s="55">
        <v>299000000</v>
      </c>
      <c r="H10" s="55">
        <v>323000000</v>
      </c>
      <c r="I10" s="55">
        <v>279000000</v>
      </c>
      <c r="J10" s="55">
        <v>233000000</v>
      </c>
      <c r="K10" s="55">
        <v>159000000</v>
      </c>
      <c r="L10" s="55">
        <v>153000000</v>
      </c>
      <c r="M10" s="55">
        <v>108000000</v>
      </c>
      <c r="N10" s="55">
        <v>48000000</v>
      </c>
      <c r="O10" s="55">
        <v>364000000</v>
      </c>
      <c r="P10" s="55">
        <v>385000000</v>
      </c>
    </row>
    <row r="11" spans="1:16">
      <c r="A11" t="s">
        <v>308</v>
      </c>
      <c r="B11" s="55">
        <v>-98000000</v>
      </c>
      <c r="C11" s="55">
        <v>-98000000</v>
      </c>
      <c r="D11" s="55">
        <v>-50000000</v>
      </c>
      <c r="E11" s="55">
        <v>-48000000</v>
      </c>
      <c r="F11" s="55">
        <v>21000000</v>
      </c>
      <c r="G11" s="55">
        <v>-57000000</v>
      </c>
      <c r="H11" s="55">
        <v>-60000000</v>
      </c>
      <c r="I11" s="55">
        <v>-60000000</v>
      </c>
      <c r="J11" s="55">
        <v>-48000000</v>
      </c>
      <c r="K11" s="55">
        <v>-47000000</v>
      </c>
      <c r="L11" s="55">
        <v>-57000000</v>
      </c>
      <c r="M11" s="55">
        <v>-54000000</v>
      </c>
      <c r="N11" s="55">
        <v>-56000000</v>
      </c>
      <c r="O11" s="55">
        <v>-75000000</v>
      </c>
      <c r="P11" s="55">
        <v>-43000000</v>
      </c>
    </row>
    <row r="12" spans="1:16">
      <c r="A12" t="s">
        <v>309</v>
      </c>
      <c r="B12" s="55">
        <v>30000000</v>
      </c>
      <c r="C12" s="55">
        <v>30000000</v>
      </c>
      <c r="D12" s="55">
        <v>25000000</v>
      </c>
      <c r="E12" s="55">
        <v>28000000</v>
      </c>
      <c r="F12" s="55">
        <v>101000000</v>
      </c>
      <c r="G12" s="55">
        <v>19000000</v>
      </c>
      <c r="H12" s="55">
        <v>8000000</v>
      </c>
      <c r="I12" s="55">
        <v>11000000</v>
      </c>
      <c r="J12" s="55">
        <v>17000000</v>
      </c>
      <c r="K12" s="55">
        <v>23000000</v>
      </c>
    </row>
    <row r="13" spans="1:16">
      <c r="A13" t="s">
        <v>310</v>
      </c>
      <c r="B13" s="55">
        <v>128000000</v>
      </c>
      <c r="C13" s="55">
        <v>128000000</v>
      </c>
      <c r="D13" s="55">
        <v>75000000</v>
      </c>
      <c r="E13" s="55">
        <v>76000000</v>
      </c>
      <c r="F13" s="55">
        <v>80000000</v>
      </c>
      <c r="G13" s="55">
        <v>76000000</v>
      </c>
      <c r="H13" s="55">
        <v>68000000</v>
      </c>
      <c r="I13" s="55">
        <v>71000000</v>
      </c>
      <c r="J13" s="55">
        <v>65000000</v>
      </c>
      <c r="K13" s="55">
        <v>70000000</v>
      </c>
      <c r="L13" s="55">
        <v>57000000</v>
      </c>
      <c r="M13" s="55">
        <v>54000000</v>
      </c>
      <c r="N13" s="55">
        <v>56000000</v>
      </c>
      <c r="O13" s="55">
        <v>75000000</v>
      </c>
      <c r="P13" s="55">
        <v>43000000</v>
      </c>
    </row>
    <row r="14" spans="1:16">
      <c r="A14" t="s">
        <v>311</v>
      </c>
      <c r="D14" s="55">
        <v>-18000000</v>
      </c>
      <c r="E14" s="55">
        <v>-11000000</v>
      </c>
      <c r="F14" s="55">
        <v>-10000000</v>
      </c>
    </row>
    <row r="15" spans="1:16">
      <c r="A15" t="s">
        <v>312</v>
      </c>
      <c r="B15" s="55">
        <v>-230000000</v>
      </c>
      <c r="C15" s="55">
        <v>-230000000</v>
      </c>
      <c r="D15" s="55">
        <v>859000000</v>
      </c>
      <c r="E15" s="55">
        <v>667000000</v>
      </c>
      <c r="F15" s="55">
        <v>250000000</v>
      </c>
      <c r="G15" s="55">
        <v>47000000</v>
      </c>
      <c r="H15" s="55">
        <v>-69000000</v>
      </c>
      <c r="I15" s="55">
        <v>306000000</v>
      </c>
      <c r="J15" s="55">
        <v>136000000</v>
      </c>
      <c r="K15" s="55">
        <v>-17000000</v>
      </c>
      <c r="L15" s="55">
        <v>-13000000</v>
      </c>
      <c r="M15" s="55">
        <v>34000000</v>
      </c>
      <c r="N15" s="55">
        <v>-47000000</v>
      </c>
      <c r="O15" s="55">
        <v>-85000000</v>
      </c>
      <c r="P15" s="55">
        <v>132000000</v>
      </c>
    </row>
    <row r="16" spans="1:16">
      <c r="A16" t="s">
        <v>313</v>
      </c>
      <c r="B16" s="55">
        <v>17000000</v>
      </c>
      <c r="C16" s="55">
        <v>17000000</v>
      </c>
      <c r="D16" s="55">
        <v>814000000</v>
      </c>
      <c r="E16" s="55">
        <v>715000000</v>
      </c>
      <c r="F16" s="55">
        <v>56000000</v>
      </c>
      <c r="G16" s="55">
        <v>-9000000</v>
      </c>
      <c r="H16" s="55">
        <v>-1000000</v>
      </c>
      <c r="I16" s="55">
        <v>324000000</v>
      </c>
      <c r="J16" s="55">
        <v>206000000</v>
      </c>
      <c r="K16" s="55">
        <v>35000000</v>
      </c>
      <c r="M16" s="55">
        <v>21000000</v>
      </c>
      <c r="N16" s="55">
        <v>29000000</v>
      </c>
      <c r="O16" s="55">
        <v>-36000000</v>
      </c>
      <c r="P16" s="55">
        <v>15000000</v>
      </c>
    </row>
    <row r="17" spans="1:16">
      <c r="A17" t="s">
        <v>314</v>
      </c>
      <c r="B17" s="55">
        <v>-70000000</v>
      </c>
      <c r="C17" s="55">
        <v>-70000000</v>
      </c>
      <c r="D17" s="55">
        <v>-10000000</v>
      </c>
      <c r="E17" s="55">
        <v>8000000</v>
      </c>
      <c r="F17" s="55">
        <v>220000000</v>
      </c>
      <c r="G17" s="55">
        <v>68000000</v>
      </c>
      <c r="H17" s="55">
        <v>-64000000</v>
      </c>
      <c r="I17" s="55">
        <v>25000000</v>
      </c>
      <c r="J17" s="55">
        <v>-1000000</v>
      </c>
      <c r="K17" s="55">
        <v>-22000000</v>
      </c>
      <c r="L17" s="55">
        <v>4000000</v>
      </c>
      <c r="M17" s="55">
        <v>-40000000</v>
      </c>
      <c r="N17" s="55">
        <v>-13000000</v>
      </c>
      <c r="O17" s="55">
        <v>14000000</v>
      </c>
      <c r="P17" s="55">
        <v>11000000</v>
      </c>
    </row>
    <row r="18" spans="1:16">
      <c r="A18" t="s">
        <v>315</v>
      </c>
      <c r="B18" s="55">
        <v>-140000000</v>
      </c>
      <c r="C18" s="55">
        <v>-140000000</v>
      </c>
      <c r="D18" s="55">
        <v>53000000</v>
      </c>
      <c r="E18" s="55">
        <v>-28000000</v>
      </c>
      <c r="F18" s="55">
        <v>24000000</v>
      </c>
      <c r="G18" s="55">
        <v>-4000000</v>
      </c>
      <c r="H18" s="55">
        <v>25000000</v>
      </c>
      <c r="I18" s="55">
        <v>-17000000</v>
      </c>
      <c r="J18" s="55">
        <v>-48000000</v>
      </c>
      <c r="K18" s="55">
        <v>-25000000</v>
      </c>
      <c r="L18" s="55">
        <v>-17000000</v>
      </c>
      <c r="M18" s="55">
        <v>53000000</v>
      </c>
      <c r="N18" s="55">
        <v>-63000000</v>
      </c>
      <c r="O18" s="55">
        <v>-63000000</v>
      </c>
      <c r="P18" s="55">
        <v>106000000</v>
      </c>
    </row>
    <row r="19" spans="1:16">
      <c r="A19" t="s">
        <v>316</v>
      </c>
      <c r="B19" s="55">
        <v>72000000</v>
      </c>
      <c r="C19" s="55">
        <v>72000000</v>
      </c>
      <c r="D19" s="55">
        <v>-30000000</v>
      </c>
      <c r="H19">
        <v>0</v>
      </c>
      <c r="I19" s="55">
        <v>7000000</v>
      </c>
      <c r="J19">
        <v>0</v>
      </c>
      <c r="K19" s="55">
        <v>21000000</v>
      </c>
    </row>
    <row r="20" spans="1:16">
      <c r="A20" t="s">
        <v>317</v>
      </c>
      <c r="B20" s="55">
        <v>62000000</v>
      </c>
      <c r="C20" s="55">
        <v>62000000</v>
      </c>
      <c r="D20" s="55">
        <v>18000000</v>
      </c>
      <c r="E20" s="55">
        <v>25000000</v>
      </c>
      <c r="F20">
        <v>0</v>
      </c>
      <c r="G20">
        <v>0</v>
      </c>
      <c r="H20" s="55">
        <v>5000000</v>
      </c>
      <c r="I20" s="55">
        <v>17000000</v>
      </c>
      <c r="J20" s="55">
        <v>22000000</v>
      </c>
      <c r="K20">
        <v>0</v>
      </c>
      <c r="L20" s="55">
        <v>6000000</v>
      </c>
      <c r="M20" s="55">
        <v>44000000</v>
      </c>
      <c r="N20" s="55">
        <v>15000000</v>
      </c>
      <c r="O20" s="55">
        <v>86000000</v>
      </c>
      <c r="P20" s="55">
        <v>61000000</v>
      </c>
    </row>
    <row r="21" spans="1:16">
      <c r="A21" t="s">
        <v>318</v>
      </c>
      <c r="B21" s="55">
        <v>29000000</v>
      </c>
      <c r="C21" s="55">
        <v>29000000</v>
      </c>
      <c r="D21">
        <v>0</v>
      </c>
      <c r="E21" s="55">
        <v>22000000</v>
      </c>
      <c r="I21">
        <v>0</v>
      </c>
      <c r="J21">
        <v>0</v>
      </c>
      <c r="K21" s="55">
        <v>4000000</v>
      </c>
    </row>
    <row r="22" spans="1:16">
      <c r="A22" t="s">
        <v>319</v>
      </c>
      <c r="B22" s="55">
        <v>-23000000</v>
      </c>
      <c r="C22" s="55">
        <v>-23000000</v>
      </c>
      <c r="D22" s="55">
        <v>-25000000</v>
      </c>
      <c r="E22" s="55">
        <v>-19000000</v>
      </c>
      <c r="F22" s="55">
        <v>-24000000</v>
      </c>
      <c r="G22" s="55">
        <v>4000000</v>
      </c>
      <c r="H22" s="55">
        <v>-30000000</v>
      </c>
      <c r="I22" s="55">
        <v>-7000000</v>
      </c>
      <c r="J22" s="55">
        <v>55000000</v>
      </c>
      <c r="L22" s="55">
        <v>9000000</v>
      </c>
      <c r="M22" s="55">
        <v>-71000000</v>
      </c>
      <c r="N22" s="55">
        <v>48000000</v>
      </c>
      <c r="O22" s="55">
        <v>-23000000</v>
      </c>
      <c r="P22" s="55">
        <v>-145000000</v>
      </c>
    </row>
    <row r="23" spans="1:16">
      <c r="A23" t="s">
        <v>320</v>
      </c>
      <c r="B23">
        <v>0</v>
      </c>
      <c r="C23">
        <v>0</v>
      </c>
      <c r="D23" s="55">
        <v>16000000</v>
      </c>
      <c r="E23" s="55">
        <v>772000000</v>
      </c>
      <c r="F23" s="55">
        <v>51000000</v>
      </c>
      <c r="G23" s="55">
        <v>-23000000</v>
      </c>
      <c r="H23">
        <v>0</v>
      </c>
      <c r="I23">
        <v>0</v>
      </c>
      <c r="J23" s="55">
        <v>29000000</v>
      </c>
      <c r="K23">
        <v>0</v>
      </c>
      <c r="L23" s="55">
        <v>-2000000</v>
      </c>
      <c r="M23" s="55">
        <v>26000000</v>
      </c>
      <c r="N23">
        <v>0</v>
      </c>
      <c r="O23">
        <v>0</v>
      </c>
      <c r="P23" s="55">
        <v>22000000</v>
      </c>
    </row>
    <row r="24" spans="1:16">
      <c r="A24" t="s">
        <v>321</v>
      </c>
      <c r="B24" s="55">
        <v>-37000000</v>
      </c>
      <c r="C24" s="55">
        <v>-37000000</v>
      </c>
      <c r="D24" s="55">
        <v>2000000</v>
      </c>
      <c r="E24" s="55">
        <v>-28000000</v>
      </c>
      <c r="F24" s="55">
        <v>-50000000</v>
      </c>
      <c r="G24" s="55">
        <v>-8000000</v>
      </c>
      <c r="H24" s="55">
        <v>-29000000</v>
      </c>
      <c r="I24" s="55">
        <v>-26000000</v>
      </c>
      <c r="J24" s="55">
        <v>-21000000</v>
      </c>
      <c r="K24" s="55">
        <v>-5000000</v>
      </c>
    </row>
    <row r="25" spans="1:16">
      <c r="A25" t="s">
        <v>322</v>
      </c>
      <c r="B25" s="55">
        <v>-960000000</v>
      </c>
      <c r="C25" s="55">
        <v>-960000000</v>
      </c>
      <c r="D25" s="55">
        <v>1006000000</v>
      </c>
      <c r="E25" s="55">
        <v>951000000</v>
      </c>
      <c r="F25" s="55">
        <v>573000000</v>
      </c>
      <c r="G25" s="55">
        <v>289000000</v>
      </c>
      <c r="H25" s="55">
        <v>194000000</v>
      </c>
      <c r="I25" s="55">
        <v>525000000</v>
      </c>
      <c r="J25" s="55">
        <v>321000000</v>
      </c>
      <c r="K25" s="55">
        <v>95000000</v>
      </c>
      <c r="L25" s="55">
        <v>83000000</v>
      </c>
      <c r="M25" s="55">
        <v>88000000</v>
      </c>
      <c r="N25" s="55">
        <v>-55000000</v>
      </c>
      <c r="O25" s="55">
        <v>204000000</v>
      </c>
      <c r="P25" s="55">
        <v>474000000</v>
      </c>
    </row>
    <row r="26" spans="1:16">
      <c r="A26" t="s">
        <v>323</v>
      </c>
      <c r="B26" s="55">
        <v>-257000000</v>
      </c>
      <c r="C26" s="55">
        <v>-257000000</v>
      </c>
      <c r="D26" s="55">
        <v>240000000</v>
      </c>
      <c r="E26" s="55">
        <v>182000000</v>
      </c>
      <c r="F26" s="55">
        <v>323000000</v>
      </c>
      <c r="G26" s="55">
        <v>85000000</v>
      </c>
      <c r="H26" s="55">
        <v>70000000</v>
      </c>
      <c r="I26" s="55">
        <v>179000000</v>
      </c>
      <c r="J26" s="55">
        <v>116000000</v>
      </c>
      <c r="K26" s="55">
        <v>8000000</v>
      </c>
      <c r="L26" s="55">
        <v>-28000000</v>
      </c>
      <c r="M26" s="55">
        <v>37000000</v>
      </c>
      <c r="N26" s="55">
        <v>-10000000</v>
      </c>
      <c r="O26" s="55">
        <v>90000000</v>
      </c>
      <c r="P26" s="55">
        <v>208000000</v>
      </c>
    </row>
    <row r="27" spans="1:16">
      <c r="A27" t="s">
        <v>324</v>
      </c>
      <c r="B27" s="55">
        <v>-703000000</v>
      </c>
      <c r="C27" s="55">
        <v>-703000000</v>
      </c>
      <c r="D27" s="55">
        <v>766000000</v>
      </c>
      <c r="E27" s="55">
        <v>769000000</v>
      </c>
      <c r="F27" s="55">
        <v>249000000</v>
      </c>
      <c r="G27" s="55">
        <v>204000000</v>
      </c>
      <c r="H27" s="55">
        <v>124000000</v>
      </c>
      <c r="I27" s="55">
        <v>344000000</v>
      </c>
      <c r="J27" s="55">
        <v>207000000</v>
      </c>
      <c r="K27" s="55">
        <v>88000000</v>
      </c>
      <c r="L27" s="55">
        <v>113000000</v>
      </c>
      <c r="M27" s="55">
        <v>66000000</v>
      </c>
      <c r="N27" s="55">
        <v>-43000000</v>
      </c>
      <c r="O27" s="55">
        <v>170000000</v>
      </c>
      <c r="P27" s="55">
        <v>271000000</v>
      </c>
    </row>
    <row r="28" spans="1:16">
      <c r="A28" t="s">
        <v>325</v>
      </c>
      <c r="B28" s="55">
        <v>-703000000</v>
      </c>
      <c r="C28" s="55">
        <v>-703000000</v>
      </c>
      <c r="D28" s="55">
        <v>766000000</v>
      </c>
      <c r="E28" s="55">
        <v>769000000</v>
      </c>
      <c r="F28" s="55">
        <v>249000000</v>
      </c>
      <c r="G28" s="55">
        <v>204000000</v>
      </c>
      <c r="H28" s="55">
        <v>124000000</v>
      </c>
      <c r="I28" s="55">
        <v>344000000</v>
      </c>
      <c r="J28" s="55">
        <v>207000000</v>
      </c>
      <c r="K28" s="55">
        <v>88000000</v>
      </c>
      <c r="L28" s="55">
        <v>113000000</v>
      </c>
      <c r="M28" s="55">
        <v>66000000</v>
      </c>
      <c r="N28" s="55">
        <v>-43000000</v>
      </c>
      <c r="O28" s="55">
        <v>170000000</v>
      </c>
      <c r="P28" s="55">
        <v>271000000</v>
      </c>
    </row>
    <row r="29" spans="1:16">
      <c r="A29" t="s">
        <v>326</v>
      </c>
      <c r="B29" s="55">
        <v>-703000000</v>
      </c>
      <c r="C29" s="55">
        <v>-703000000</v>
      </c>
      <c r="D29" s="55">
        <v>766000000</v>
      </c>
      <c r="E29" s="55">
        <v>769000000</v>
      </c>
      <c r="F29" s="55">
        <v>250000000</v>
      </c>
      <c r="G29" s="55">
        <v>204000000</v>
      </c>
      <c r="H29" s="55">
        <v>124000000</v>
      </c>
      <c r="I29" s="55">
        <v>346000000</v>
      </c>
      <c r="J29" s="55">
        <v>205000000</v>
      </c>
      <c r="K29" s="55">
        <v>87000000</v>
      </c>
      <c r="L29" s="55">
        <v>111000000</v>
      </c>
      <c r="M29" s="55">
        <v>55000000</v>
      </c>
      <c r="N29" s="55">
        <v>-46000000</v>
      </c>
      <c r="O29" s="55">
        <v>168000000</v>
      </c>
      <c r="P29" s="55">
        <v>270000000</v>
      </c>
    </row>
    <row r="30" spans="1:16">
      <c r="A30" t="s">
        <v>327</v>
      </c>
      <c r="B30" s="55">
        <v>-703000000</v>
      </c>
      <c r="C30" s="55">
        <v>-703000000</v>
      </c>
      <c r="D30" s="55">
        <v>766000000</v>
      </c>
      <c r="E30" s="55">
        <v>769000000</v>
      </c>
      <c r="F30" s="55">
        <v>250000000</v>
      </c>
      <c r="G30" s="55">
        <v>204000000</v>
      </c>
      <c r="H30" s="55">
        <v>124000000</v>
      </c>
      <c r="I30" s="55">
        <v>346000000</v>
      </c>
      <c r="J30" s="55">
        <v>205000000</v>
      </c>
      <c r="K30" s="55">
        <v>87000000</v>
      </c>
      <c r="L30" s="55">
        <v>111000000</v>
      </c>
      <c r="M30" s="55">
        <v>51000000</v>
      </c>
      <c r="N30" s="55">
        <v>-45000000</v>
      </c>
      <c r="O30" s="55">
        <v>114000000</v>
      </c>
      <c r="P30" s="55">
        <v>266000000</v>
      </c>
    </row>
    <row r="31" spans="1:16">
      <c r="A31" t="s">
        <v>328</v>
      </c>
      <c r="K31">
        <v>0</v>
      </c>
      <c r="L31">
        <v>0</v>
      </c>
      <c r="M31" s="55">
        <v>4000000</v>
      </c>
      <c r="N31" s="55">
        <v>-1000000</v>
      </c>
      <c r="O31" s="55">
        <v>56000000</v>
      </c>
      <c r="P31" s="55">
        <v>5000000</v>
      </c>
    </row>
    <row r="32" spans="1:16">
      <c r="A32" t="s">
        <v>329</v>
      </c>
      <c r="O32">
        <v>0</v>
      </c>
      <c r="P32">
        <v>0</v>
      </c>
    </row>
    <row r="33" spans="1:16">
      <c r="A33" t="s">
        <v>330</v>
      </c>
      <c r="O33" s="55">
        <v>-2000000</v>
      </c>
      <c r="P33" s="55">
        <v>-1000000</v>
      </c>
    </row>
    <row r="34" spans="1:16">
      <c r="A34" t="s">
        <v>331</v>
      </c>
      <c r="B34">
        <v>0</v>
      </c>
      <c r="C34">
        <v>0</v>
      </c>
      <c r="D34">
        <v>0</v>
      </c>
      <c r="E34">
        <v>0</v>
      </c>
      <c r="F34" s="55">
        <v>-1000000</v>
      </c>
      <c r="G34">
        <v>0</v>
      </c>
      <c r="I34" s="55">
        <v>-2000000</v>
      </c>
      <c r="J34" s="55">
        <v>2000000</v>
      </c>
      <c r="K34" s="55">
        <v>1000000</v>
      </c>
      <c r="L34" s="55">
        <v>2000000</v>
      </c>
      <c r="M34" s="55">
        <v>11000000</v>
      </c>
      <c r="N34" s="55">
        <v>3000000</v>
      </c>
      <c r="O34" s="55">
        <v>-2000000</v>
      </c>
      <c r="P34" s="55">
        <v>-1000000</v>
      </c>
    </row>
    <row r="35" spans="1:16">
      <c r="A35" t="s">
        <v>332</v>
      </c>
      <c r="B35" s="55">
        <v>-703000000</v>
      </c>
      <c r="C35" s="55">
        <v>-703000000</v>
      </c>
      <c r="D35" s="55">
        <v>766000000</v>
      </c>
      <c r="E35" s="55">
        <v>769000000</v>
      </c>
      <c r="F35" s="55">
        <v>249000000</v>
      </c>
      <c r="G35" s="55">
        <v>204000000</v>
      </c>
      <c r="H35" s="55">
        <v>124000000</v>
      </c>
      <c r="I35" s="55">
        <v>344000000</v>
      </c>
      <c r="J35" s="55">
        <v>207000000</v>
      </c>
      <c r="K35" s="55">
        <v>88000000</v>
      </c>
      <c r="L35" s="55">
        <v>113000000</v>
      </c>
      <c r="M35" s="55">
        <v>66000000</v>
      </c>
      <c r="N35" s="55">
        <v>-43000000</v>
      </c>
      <c r="O35" s="55">
        <v>170000000</v>
      </c>
      <c r="P35" s="55">
        <v>271000000</v>
      </c>
    </row>
    <row r="36" spans="1:16">
      <c r="A36" t="s">
        <v>333</v>
      </c>
      <c r="D36">
        <v>7.33</v>
      </c>
      <c r="E36">
        <v>6.79</v>
      </c>
      <c r="F36">
        <v>1.99</v>
      </c>
      <c r="G36">
        <v>1.53</v>
      </c>
      <c r="H36">
        <v>0.87</v>
      </c>
      <c r="I36">
        <v>2.25</v>
      </c>
      <c r="J36">
        <v>1.3</v>
      </c>
      <c r="K36">
        <v>0.53</v>
      </c>
      <c r="L36">
        <v>0.67</v>
      </c>
      <c r="M36">
        <v>0.38</v>
      </c>
      <c r="N36">
        <v>-0.28000000000000003</v>
      </c>
      <c r="O36">
        <v>1.31</v>
      </c>
      <c r="P36">
        <v>2.0099999999999998</v>
      </c>
    </row>
    <row r="37" spans="1:16">
      <c r="A37" t="s">
        <v>334</v>
      </c>
      <c r="D37">
        <v>7.21</v>
      </c>
      <c r="E37">
        <v>6.68</v>
      </c>
      <c r="F37">
        <v>1.97</v>
      </c>
      <c r="G37">
        <v>1.52</v>
      </c>
      <c r="H37">
        <v>0.86</v>
      </c>
      <c r="I37">
        <v>2.23</v>
      </c>
      <c r="J37">
        <v>1.3</v>
      </c>
      <c r="K37">
        <v>0.53</v>
      </c>
      <c r="L37">
        <v>0.67</v>
      </c>
      <c r="M37">
        <v>0.38</v>
      </c>
      <c r="N37">
        <v>-0.28000000000000003</v>
      </c>
      <c r="O37">
        <v>1.31</v>
      </c>
      <c r="P37">
        <v>2.0099999999999998</v>
      </c>
    </row>
    <row r="38" spans="1:16">
      <c r="A38" t="s">
        <v>335</v>
      </c>
      <c r="D38" s="55">
        <v>104600000</v>
      </c>
      <c r="E38" s="55">
        <v>113300000</v>
      </c>
      <c r="F38" s="55">
        <v>124800000</v>
      </c>
      <c r="G38" s="55">
        <v>132930578</v>
      </c>
      <c r="H38" s="55">
        <v>142800000</v>
      </c>
      <c r="I38" s="55">
        <v>153100000</v>
      </c>
      <c r="J38" s="55">
        <v>158500000</v>
      </c>
      <c r="K38" s="55">
        <v>165017485</v>
      </c>
      <c r="L38" s="55">
        <v>168800000</v>
      </c>
      <c r="M38" s="55">
        <v>174115200</v>
      </c>
      <c r="N38" s="55">
        <v>153571429</v>
      </c>
      <c r="O38" s="55">
        <v>128037000</v>
      </c>
      <c r="P38" s="55">
        <v>134585000</v>
      </c>
    </row>
    <row r="39" spans="1:16">
      <c r="A39" t="s">
        <v>336</v>
      </c>
      <c r="D39" s="55">
        <v>106300000</v>
      </c>
      <c r="E39" s="55">
        <v>115100000</v>
      </c>
      <c r="F39" s="55">
        <v>126300000</v>
      </c>
      <c r="G39" s="55">
        <v>133939331</v>
      </c>
      <c r="H39" s="55">
        <v>144000000</v>
      </c>
      <c r="I39" s="55">
        <v>154400000</v>
      </c>
      <c r="J39" s="55">
        <v>159200000</v>
      </c>
      <c r="K39" s="55">
        <v>165377328</v>
      </c>
      <c r="L39" s="55">
        <v>169200000</v>
      </c>
      <c r="M39" s="55">
        <v>174354202</v>
      </c>
      <c r="N39" s="55">
        <v>153571429</v>
      </c>
      <c r="O39" s="55">
        <v>128061000</v>
      </c>
      <c r="P39" s="55">
        <v>134634000</v>
      </c>
    </row>
    <row r="40" spans="1:16">
      <c r="A40" t="s">
        <v>337</v>
      </c>
      <c r="B40" s="55">
        <v>2698000000</v>
      </c>
      <c r="C40" s="55">
        <v>2698000000</v>
      </c>
      <c r="D40" s="55">
        <v>4823000000</v>
      </c>
      <c r="E40" s="55">
        <v>4122000000</v>
      </c>
      <c r="F40" s="55">
        <v>4383000000</v>
      </c>
      <c r="G40" s="55">
        <v>4130000000</v>
      </c>
      <c r="H40" s="55">
        <v>4005000000</v>
      </c>
      <c r="I40" s="55">
        <v>4136000000</v>
      </c>
      <c r="J40" s="55">
        <v>3951000000</v>
      </c>
      <c r="K40" s="55">
        <v>3790000000</v>
      </c>
      <c r="L40" s="55">
        <v>3545000000</v>
      </c>
      <c r="M40" s="55">
        <v>3419000000</v>
      </c>
      <c r="N40" s="55">
        <v>3284000000</v>
      </c>
      <c r="O40" s="55">
        <v>3473000000</v>
      </c>
      <c r="P40" s="55">
        <v>3353000000</v>
      </c>
    </row>
    <row r="41" spans="1:16">
      <c r="A41" t="s">
        <v>338</v>
      </c>
      <c r="B41" s="55">
        <v>-703000000</v>
      </c>
      <c r="C41" s="55">
        <v>-703000000</v>
      </c>
      <c r="D41" s="55">
        <v>766000000</v>
      </c>
      <c r="E41" s="55">
        <v>769000000</v>
      </c>
      <c r="F41" s="55">
        <v>249000000</v>
      </c>
      <c r="G41" s="55">
        <v>204000000</v>
      </c>
      <c r="H41" s="55">
        <v>124000000</v>
      </c>
      <c r="I41" s="55">
        <v>344000000</v>
      </c>
      <c r="J41" s="55">
        <v>207000000</v>
      </c>
      <c r="K41" s="55">
        <v>88000000</v>
      </c>
      <c r="L41" s="55">
        <v>113000000</v>
      </c>
      <c r="M41" s="55">
        <v>66000000</v>
      </c>
      <c r="N41" s="55">
        <v>-43000000</v>
      </c>
      <c r="O41" s="55">
        <v>172000000</v>
      </c>
      <c r="P41" s="55">
        <v>272000000</v>
      </c>
    </row>
    <row r="42" spans="1:16">
      <c r="A42" t="s">
        <v>339</v>
      </c>
      <c r="B42" s="55">
        <v>-612964000</v>
      </c>
      <c r="C42" s="55">
        <v>-612964000</v>
      </c>
      <c r="D42" s="55">
        <v>106213000</v>
      </c>
      <c r="E42" s="55">
        <v>213217000</v>
      </c>
      <c r="F42" s="55">
        <v>201000000</v>
      </c>
      <c r="G42" s="55">
        <v>213165000</v>
      </c>
      <c r="H42" s="55">
        <v>108688000</v>
      </c>
      <c r="I42" s="55">
        <v>141687000</v>
      </c>
      <c r="J42" s="55">
        <v>106196000</v>
      </c>
      <c r="K42" s="55">
        <v>78830000</v>
      </c>
      <c r="L42" s="55">
        <v>124050000</v>
      </c>
      <c r="M42" s="55">
        <v>13900000</v>
      </c>
      <c r="N42" s="295">
        <v>-14181818.182</v>
      </c>
      <c r="O42" s="55">
        <v>180350000</v>
      </c>
      <c r="P42" s="55">
        <v>188350000</v>
      </c>
    </row>
    <row r="43" spans="1:16">
      <c r="A43" t="s">
        <v>340</v>
      </c>
      <c r="B43" s="55">
        <v>30000000</v>
      </c>
      <c r="C43" s="55">
        <v>30000000</v>
      </c>
      <c r="D43" s="55">
        <v>25000000</v>
      </c>
      <c r="E43" s="55">
        <v>28000000</v>
      </c>
      <c r="F43" s="55">
        <v>101000000</v>
      </c>
      <c r="G43" s="55">
        <v>19000000</v>
      </c>
      <c r="H43" s="55">
        <v>8000000</v>
      </c>
      <c r="I43" s="55">
        <v>11000000</v>
      </c>
      <c r="J43" s="55">
        <v>17000000</v>
      </c>
      <c r="K43" s="55">
        <v>23000000</v>
      </c>
    </row>
    <row r="44" spans="1:16">
      <c r="A44" t="s">
        <v>341</v>
      </c>
      <c r="B44" s="55">
        <v>128000000</v>
      </c>
      <c r="C44" s="55">
        <v>128000000</v>
      </c>
      <c r="D44" s="55">
        <v>75000000</v>
      </c>
      <c r="E44" s="55">
        <v>76000000</v>
      </c>
      <c r="F44" s="55">
        <v>80000000</v>
      </c>
      <c r="G44" s="55">
        <v>76000000</v>
      </c>
      <c r="H44" s="55">
        <v>68000000</v>
      </c>
      <c r="I44" s="55">
        <v>71000000</v>
      </c>
      <c r="J44" s="55">
        <v>65000000</v>
      </c>
      <c r="K44" s="55">
        <v>70000000</v>
      </c>
      <c r="L44" s="55">
        <v>57000000</v>
      </c>
      <c r="M44" s="55">
        <v>54000000</v>
      </c>
      <c r="N44" s="55">
        <v>56000000</v>
      </c>
      <c r="O44" s="55">
        <v>75000000</v>
      </c>
      <c r="P44" s="55">
        <v>43000000</v>
      </c>
    </row>
    <row r="45" spans="1:16">
      <c r="A45" t="s">
        <v>342</v>
      </c>
      <c r="B45" s="55">
        <v>-98000000</v>
      </c>
      <c r="C45" s="55">
        <v>-98000000</v>
      </c>
      <c r="D45" s="55">
        <v>-50000000</v>
      </c>
      <c r="E45" s="55">
        <v>-48000000</v>
      </c>
      <c r="F45" s="55">
        <v>21000000</v>
      </c>
      <c r="G45" s="55">
        <v>-57000000</v>
      </c>
      <c r="H45" s="55">
        <v>-60000000</v>
      </c>
      <c r="I45" s="55">
        <v>-60000000</v>
      </c>
      <c r="J45" s="55">
        <v>-48000000</v>
      </c>
      <c r="K45" s="55">
        <v>-47000000</v>
      </c>
      <c r="L45" s="55">
        <v>-57000000</v>
      </c>
      <c r="M45" s="55">
        <v>-54000000</v>
      </c>
      <c r="N45" s="55">
        <v>-56000000</v>
      </c>
      <c r="O45" s="55">
        <v>-75000000</v>
      </c>
      <c r="P45" s="55">
        <v>-43000000</v>
      </c>
    </row>
    <row r="46" spans="1:16">
      <c r="A46" t="s">
        <v>343</v>
      </c>
      <c r="B46" s="55">
        <v>-832000000</v>
      </c>
      <c r="C46" s="55">
        <v>-832000000</v>
      </c>
      <c r="D46" s="55">
        <v>1081000000</v>
      </c>
      <c r="E46" s="55">
        <v>1027000000</v>
      </c>
      <c r="F46" s="55">
        <v>653000000</v>
      </c>
      <c r="G46" s="55">
        <v>365000000</v>
      </c>
      <c r="H46" s="55">
        <v>262000000</v>
      </c>
      <c r="I46" s="55">
        <v>596000000</v>
      </c>
      <c r="J46" s="55">
        <v>386000000</v>
      </c>
      <c r="K46" s="55">
        <v>165000000</v>
      </c>
      <c r="L46" s="55">
        <v>140000000</v>
      </c>
      <c r="M46" s="55">
        <v>142000000</v>
      </c>
      <c r="N46" s="55">
        <v>1000000</v>
      </c>
      <c r="O46" s="55">
        <v>279000000</v>
      </c>
      <c r="P46" s="55">
        <v>517000000</v>
      </c>
    </row>
    <row r="47" spans="1:16">
      <c r="A47" t="s">
        <v>116</v>
      </c>
      <c r="B47" s="55">
        <v>-491000000</v>
      </c>
    </row>
    <row r="48" spans="1:16">
      <c r="A48" t="s">
        <v>344</v>
      </c>
      <c r="B48" s="55">
        <v>2036000000</v>
      </c>
      <c r="C48" s="55">
        <v>2036000000</v>
      </c>
      <c r="D48" s="55">
        <v>4042000000</v>
      </c>
      <c r="E48" s="55">
        <v>3475000000</v>
      </c>
      <c r="F48" s="55">
        <v>3638000000</v>
      </c>
      <c r="G48" s="55">
        <v>3473000000</v>
      </c>
      <c r="H48" s="55">
        <v>3377000000</v>
      </c>
      <c r="I48" s="55">
        <v>3433000000</v>
      </c>
      <c r="J48" s="55">
        <v>3283000000</v>
      </c>
      <c r="K48" s="55">
        <v>3121000000</v>
      </c>
      <c r="L48" s="55">
        <v>2957000000</v>
      </c>
      <c r="M48" s="55">
        <v>2864000000</v>
      </c>
      <c r="N48" s="55">
        <v>2753000000</v>
      </c>
      <c r="O48" s="55">
        <v>2934000000</v>
      </c>
      <c r="P48" s="55">
        <v>2847000000</v>
      </c>
    </row>
    <row r="49" spans="1:16">
      <c r="A49" t="s">
        <v>345</v>
      </c>
      <c r="B49" s="55">
        <v>341000000</v>
      </c>
      <c r="C49" s="55">
        <v>341000000</v>
      </c>
      <c r="D49" s="55">
        <v>364000000</v>
      </c>
      <c r="E49" s="55">
        <v>327000000</v>
      </c>
      <c r="F49" s="55">
        <v>366000000</v>
      </c>
      <c r="G49" s="55">
        <v>342000000</v>
      </c>
      <c r="H49" s="55">
        <v>320000000</v>
      </c>
      <c r="I49" s="55">
        <v>354000000</v>
      </c>
      <c r="J49" s="55">
        <v>345000000</v>
      </c>
      <c r="K49" s="55">
        <v>353000000</v>
      </c>
      <c r="L49" s="55">
        <v>305000000</v>
      </c>
      <c r="M49" s="55">
        <v>279000000</v>
      </c>
      <c r="N49" s="55">
        <v>270000000</v>
      </c>
      <c r="O49" s="55">
        <v>249000000</v>
      </c>
      <c r="P49" s="55">
        <v>214000000</v>
      </c>
    </row>
    <row r="50" spans="1:16">
      <c r="A50" t="s">
        <v>346</v>
      </c>
      <c r="B50" s="55">
        <v>-703000000</v>
      </c>
      <c r="C50" s="55">
        <v>-703000000</v>
      </c>
      <c r="D50" s="55">
        <v>766000000</v>
      </c>
      <c r="E50" s="55">
        <v>769000000</v>
      </c>
      <c r="F50" s="55">
        <v>249000000</v>
      </c>
      <c r="G50" s="55">
        <v>204000000</v>
      </c>
      <c r="H50" s="55">
        <v>124000000</v>
      </c>
      <c r="I50" s="55">
        <v>344000000</v>
      </c>
      <c r="J50" s="55">
        <v>207000000</v>
      </c>
      <c r="K50" s="55">
        <v>88000000</v>
      </c>
      <c r="L50" s="55">
        <v>113000000</v>
      </c>
      <c r="M50" s="55">
        <v>62000000</v>
      </c>
      <c r="N50" s="55">
        <v>-42000000</v>
      </c>
      <c r="O50" s="55">
        <v>116000000</v>
      </c>
      <c r="P50" s="55">
        <v>267000000</v>
      </c>
    </row>
    <row r="51" spans="1:16">
      <c r="A51" t="s">
        <v>347</v>
      </c>
      <c r="B51" s="55">
        <v>-123000000</v>
      </c>
      <c r="C51" s="55">
        <v>-123000000</v>
      </c>
      <c r="D51" s="55">
        <v>867000000</v>
      </c>
      <c r="E51" s="55">
        <v>687000000</v>
      </c>
      <c r="F51" s="55">
        <v>80000000</v>
      </c>
      <c r="G51" s="55">
        <v>-13000000</v>
      </c>
      <c r="H51" s="55">
        <v>24000000</v>
      </c>
      <c r="I51" s="55">
        <v>307000000</v>
      </c>
      <c r="J51" s="55">
        <v>158000000</v>
      </c>
      <c r="K51" s="55">
        <v>10000000</v>
      </c>
      <c r="L51" s="55">
        <v>-17000000</v>
      </c>
      <c r="M51" s="55">
        <v>74000000</v>
      </c>
      <c r="N51" s="55">
        <v>-34000000</v>
      </c>
      <c r="O51" s="55">
        <v>-99000000</v>
      </c>
      <c r="P51" s="55">
        <v>121000000</v>
      </c>
    </row>
    <row r="52" spans="1:16">
      <c r="A52" t="s">
        <v>348</v>
      </c>
      <c r="B52" s="55">
        <v>-123000000</v>
      </c>
      <c r="C52" s="55">
        <v>-123000000</v>
      </c>
      <c r="D52" s="55">
        <v>867000000</v>
      </c>
      <c r="E52" s="55">
        <v>687000000</v>
      </c>
      <c r="F52" s="55">
        <v>80000000</v>
      </c>
      <c r="G52" s="55">
        <v>-13000000</v>
      </c>
      <c r="H52" s="55">
        <v>24000000</v>
      </c>
      <c r="I52" s="55">
        <v>307000000</v>
      </c>
      <c r="J52" s="55">
        <v>158000000</v>
      </c>
      <c r="K52" s="55">
        <v>10000000</v>
      </c>
      <c r="L52" s="55">
        <v>-17000000</v>
      </c>
      <c r="M52" s="55">
        <v>74000000</v>
      </c>
      <c r="N52" s="55">
        <v>-34000000</v>
      </c>
      <c r="O52" s="55">
        <v>-99000000</v>
      </c>
      <c r="P52" s="55">
        <v>121000000</v>
      </c>
    </row>
    <row r="53" spans="1:16">
      <c r="A53" t="s">
        <v>349</v>
      </c>
      <c r="B53" s="55">
        <v>-368000000</v>
      </c>
      <c r="C53" s="55">
        <v>-368000000</v>
      </c>
      <c r="D53" s="55">
        <v>578000000</v>
      </c>
      <c r="E53" s="55">
        <v>667000000</v>
      </c>
      <c r="F53" s="55">
        <v>939000000</v>
      </c>
      <c r="G53" s="55">
        <v>720000000</v>
      </c>
      <c r="H53" s="55">
        <v>558000000</v>
      </c>
      <c r="I53" s="55">
        <v>643000000</v>
      </c>
      <c r="J53" s="55">
        <v>573000000</v>
      </c>
      <c r="K53" s="55">
        <v>508000000</v>
      </c>
      <c r="L53" s="55">
        <v>462000000</v>
      </c>
      <c r="M53" s="55">
        <v>347000000</v>
      </c>
      <c r="N53" s="55">
        <v>305000000</v>
      </c>
      <c r="O53" s="55">
        <v>627000000</v>
      </c>
      <c r="P53" s="55">
        <v>610000000</v>
      </c>
    </row>
    <row r="54" spans="1:16">
      <c r="A54" t="s">
        <v>350</v>
      </c>
      <c r="B54">
        <v>0.26800000000000002</v>
      </c>
      <c r="C54">
        <v>0.26800000000000002</v>
      </c>
      <c r="D54">
        <v>0.23899999999999999</v>
      </c>
      <c r="E54">
        <v>0.191</v>
      </c>
      <c r="F54">
        <v>0.4</v>
      </c>
      <c r="G54">
        <v>0.29499999999999998</v>
      </c>
      <c r="H54">
        <v>0.36199999999999999</v>
      </c>
      <c r="I54">
        <v>0.34100000000000003</v>
      </c>
      <c r="J54">
        <v>0.36199999999999999</v>
      </c>
      <c r="K54">
        <v>8.3000000000000004E-2</v>
      </c>
      <c r="L54">
        <v>0.35</v>
      </c>
      <c r="M54">
        <v>0.35</v>
      </c>
      <c r="N54">
        <v>0.182</v>
      </c>
      <c r="O54">
        <v>0.35</v>
      </c>
      <c r="P54">
        <v>0.35</v>
      </c>
    </row>
    <row r="55" spans="1:16">
      <c r="A55" t="s">
        <v>351</v>
      </c>
      <c r="B55" s="55">
        <v>-32964000</v>
      </c>
      <c r="C55" s="55">
        <v>-32964000</v>
      </c>
      <c r="D55" s="55">
        <v>207213000</v>
      </c>
      <c r="E55" s="55">
        <v>131217000</v>
      </c>
      <c r="F55" s="55">
        <v>32000000</v>
      </c>
      <c r="G55" s="55">
        <v>-3835000</v>
      </c>
      <c r="H55" s="55">
        <v>8688000</v>
      </c>
      <c r="I55" s="55">
        <v>104687000</v>
      </c>
      <c r="J55" s="55">
        <v>57196000</v>
      </c>
      <c r="K55" s="55">
        <v>830000</v>
      </c>
      <c r="L55" s="55">
        <v>-5950000</v>
      </c>
      <c r="M55" s="55">
        <v>25900000</v>
      </c>
      <c r="N55" s="295">
        <v>-6181818.182</v>
      </c>
      <c r="O55" s="55">
        <v>-34650000</v>
      </c>
      <c r="P55" s="55">
        <v>42350000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99EFE-3EEB-4FED-9CA7-42023775A597}">
  <dimension ref="A1:T76"/>
  <sheetViews>
    <sheetView workbookViewId="0">
      <selection sqref="A1:XFD1048576"/>
    </sheetView>
  </sheetViews>
  <sheetFormatPr defaultRowHeight="14.35"/>
  <cols>
    <col min="1" max="1" width="43.46875" bestFit="1" customWidth="1"/>
    <col min="2" max="5" width="12.8203125" bestFit="1" customWidth="1"/>
    <col min="6" max="18" width="12.17578125" bestFit="1" customWidth="1"/>
    <col min="19" max="20" width="10.703125" bestFit="1" customWidth="1"/>
  </cols>
  <sheetData>
    <row r="1" spans="1:20">
      <c r="A1" t="s">
        <v>297</v>
      </c>
      <c r="B1" s="227">
        <v>44196</v>
      </c>
      <c r="C1" s="227">
        <v>43830</v>
      </c>
      <c r="D1" s="227">
        <v>43465</v>
      </c>
      <c r="E1" s="227">
        <v>43100</v>
      </c>
      <c r="F1" s="227">
        <v>42735</v>
      </c>
      <c r="G1" s="227">
        <v>42369</v>
      </c>
      <c r="H1" s="227">
        <v>42004</v>
      </c>
      <c r="I1" s="227">
        <v>41639</v>
      </c>
      <c r="J1" s="227">
        <v>41274</v>
      </c>
      <c r="K1" s="227">
        <v>40908</v>
      </c>
      <c r="L1" s="227">
        <v>37986</v>
      </c>
      <c r="M1" s="227">
        <v>37621</v>
      </c>
      <c r="N1" s="227">
        <v>37256</v>
      </c>
      <c r="O1" s="227">
        <v>36891</v>
      </c>
      <c r="P1" s="227">
        <v>36525</v>
      </c>
      <c r="Q1" s="227">
        <v>36160</v>
      </c>
      <c r="R1" s="227">
        <v>35795</v>
      </c>
      <c r="S1" s="227">
        <v>35430</v>
      </c>
      <c r="T1" s="227">
        <v>35064</v>
      </c>
    </row>
    <row r="2" spans="1:20">
      <c r="A2" t="s">
        <v>352</v>
      </c>
      <c r="B2" s="55">
        <v>4089149000</v>
      </c>
      <c r="C2" s="55">
        <v>4030596000</v>
      </c>
      <c r="D2" s="55">
        <v>3924210000</v>
      </c>
      <c r="E2" s="55">
        <v>4076005000</v>
      </c>
      <c r="F2" s="55">
        <v>4180304000</v>
      </c>
      <c r="G2" s="55">
        <v>4528900000</v>
      </c>
      <c r="H2" s="55">
        <v>4481120000</v>
      </c>
      <c r="I2" s="55">
        <v>4449687000</v>
      </c>
      <c r="J2" s="55">
        <v>4491734000</v>
      </c>
      <c r="K2" s="55">
        <v>4357304000</v>
      </c>
      <c r="L2" s="55">
        <v>2511962000</v>
      </c>
      <c r="M2" s="55">
        <v>2458720000</v>
      </c>
      <c r="N2" s="55">
        <v>2371871000</v>
      </c>
      <c r="O2" s="55">
        <v>2121602000</v>
      </c>
      <c r="P2" s="55">
        <v>1927249000</v>
      </c>
      <c r="Q2" s="55">
        <v>1694582000</v>
      </c>
      <c r="R2" s="55">
        <v>1070891000</v>
      </c>
      <c r="S2" s="55">
        <v>522595000</v>
      </c>
      <c r="T2" s="55">
        <v>149600000</v>
      </c>
    </row>
    <row r="3" spans="1:20">
      <c r="A3" t="s">
        <v>353</v>
      </c>
      <c r="B3" s="55">
        <v>423630000</v>
      </c>
      <c r="C3" s="55">
        <v>375690000</v>
      </c>
      <c r="D3" s="55">
        <v>323105000</v>
      </c>
      <c r="E3" s="55">
        <v>172552000</v>
      </c>
      <c r="F3" s="55">
        <v>126609000</v>
      </c>
      <c r="G3" s="55">
        <v>475819000</v>
      </c>
      <c r="H3" s="55">
        <v>221258000</v>
      </c>
      <c r="I3" s="55">
        <v>129362000</v>
      </c>
      <c r="J3" s="55">
        <v>183744000</v>
      </c>
      <c r="K3" s="55">
        <v>350272000</v>
      </c>
      <c r="L3" s="55">
        <v>50578000</v>
      </c>
      <c r="M3" s="55">
        <v>44568000</v>
      </c>
      <c r="N3" s="55">
        <v>69298000</v>
      </c>
      <c r="O3" s="55">
        <v>68298000</v>
      </c>
      <c r="P3" s="55">
        <v>54433000</v>
      </c>
      <c r="Q3" s="55">
        <v>36828000</v>
      </c>
      <c r="R3" s="55">
        <v>19058000</v>
      </c>
      <c r="S3" s="55">
        <v>195769000</v>
      </c>
      <c r="T3" s="55">
        <v>124100000</v>
      </c>
    </row>
    <row r="4" spans="1:20">
      <c r="A4" t="s">
        <v>354</v>
      </c>
      <c r="B4" s="55">
        <v>396770000</v>
      </c>
      <c r="C4" s="55">
        <v>346812000</v>
      </c>
      <c r="D4" s="55">
        <v>287458000</v>
      </c>
      <c r="E4" s="55">
        <v>113343000</v>
      </c>
      <c r="F4" s="55">
        <v>84158000</v>
      </c>
      <c r="G4" s="55">
        <v>373239000</v>
      </c>
      <c r="H4" s="55">
        <v>121324000</v>
      </c>
      <c r="I4" s="55">
        <v>60457000</v>
      </c>
      <c r="J4" s="55">
        <v>103582000</v>
      </c>
      <c r="K4" s="55">
        <v>98584000</v>
      </c>
      <c r="L4" s="55">
        <v>16025000</v>
      </c>
      <c r="M4" s="55">
        <v>6583000</v>
      </c>
      <c r="N4" s="55">
        <v>11027000</v>
      </c>
      <c r="O4" s="55">
        <v>13386000</v>
      </c>
      <c r="P4" s="55">
        <v>6449000</v>
      </c>
      <c r="Q4" s="55">
        <v>623000</v>
      </c>
      <c r="R4" s="55">
        <v>3213000</v>
      </c>
      <c r="S4" s="55">
        <v>189647000</v>
      </c>
      <c r="T4" s="55">
        <v>123400000</v>
      </c>
    </row>
    <row r="5" spans="1:20">
      <c r="A5" t="s">
        <v>355</v>
      </c>
      <c r="B5" s="55">
        <v>396770000</v>
      </c>
      <c r="C5" s="55">
        <v>346812000</v>
      </c>
      <c r="D5" s="55">
        <v>287458000</v>
      </c>
      <c r="E5" s="55">
        <v>113343000</v>
      </c>
      <c r="F5" s="55">
        <v>84158000</v>
      </c>
      <c r="G5" s="55">
        <v>373239000</v>
      </c>
      <c r="H5" s="55">
        <v>121324000</v>
      </c>
      <c r="I5" s="55">
        <v>60457000</v>
      </c>
      <c r="J5" s="55">
        <v>103582000</v>
      </c>
      <c r="K5" s="55">
        <v>98584000</v>
      </c>
      <c r="L5" s="55">
        <v>16025000</v>
      </c>
      <c r="M5" s="55">
        <v>6583000</v>
      </c>
      <c r="N5" s="55">
        <v>11027000</v>
      </c>
      <c r="O5" s="55">
        <v>13386000</v>
      </c>
      <c r="P5" s="55">
        <v>6449000</v>
      </c>
      <c r="Q5" s="55">
        <v>623000</v>
      </c>
      <c r="R5" s="55">
        <v>3213000</v>
      </c>
      <c r="S5" s="55">
        <v>189647000</v>
      </c>
      <c r="T5" s="55">
        <v>123400000</v>
      </c>
    </row>
    <row r="6" spans="1:20">
      <c r="A6" t="s">
        <v>356</v>
      </c>
      <c r="B6" s="55">
        <v>13709000</v>
      </c>
      <c r="C6" s="55">
        <v>14020000</v>
      </c>
      <c r="D6" s="55">
        <v>19769000</v>
      </c>
      <c r="E6" s="55">
        <v>21578000</v>
      </c>
      <c r="F6" s="55">
        <v>20837000</v>
      </c>
      <c r="G6" s="55">
        <v>18164000</v>
      </c>
      <c r="H6" s="55">
        <v>26552000</v>
      </c>
      <c r="I6" s="55">
        <v>21566000</v>
      </c>
      <c r="J6" s="55">
        <v>18549000</v>
      </c>
      <c r="K6" s="55">
        <v>14945000</v>
      </c>
      <c r="L6" s="55">
        <v>5814000</v>
      </c>
      <c r="M6" s="55">
        <v>5996000</v>
      </c>
      <c r="N6" s="55">
        <v>6385000</v>
      </c>
      <c r="O6" s="55">
        <v>9152000</v>
      </c>
      <c r="P6" s="55">
        <v>6094000</v>
      </c>
      <c r="Q6" s="55">
        <v>5946000</v>
      </c>
      <c r="R6" s="55">
        <v>3651000</v>
      </c>
      <c r="S6" s="55">
        <v>1027000</v>
      </c>
      <c r="T6" s="55">
        <v>300000</v>
      </c>
    </row>
    <row r="7" spans="1:20">
      <c r="A7" t="s">
        <v>357</v>
      </c>
      <c r="B7" s="55">
        <v>13709000</v>
      </c>
      <c r="C7" s="55">
        <v>14020000</v>
      </c>
      <c r="D7" s="55">
        <v>19769000</v>
      </c>
      <c r="E7" s="55">
        <v>21578000</v>
      </c>
      <c r="F7" s="55">
        <v>20837000</v>
      </c>
      <c r="G7" s="55">
        <v>18164000</v>
      </c>
      <c r="H7" s="55">
        <v>26552000</v>
      </c>
      <c r="I7" s="55">
        <v>21566000</v>
      </c>
      <c r="J7" s="55">
        <v>18549000</v>
      </c>
      <c r="K7" s="55">
        <v>14945000</v>
      </c>
      <c r="L7" s="55">
        <v>5814000</v>
      </c>
      <c r="M7" s="55">
        <v>5996000</v>
      </c>
      <c r="N7" s="55">
        <v>6385000</v>
      </c>
      <c r="O7" s="55">
        <v>9152000</v>
      </c>
      <c r="P7" s="55">
        <v>6094000</v>
      </c>
      <c r="Q7" s="55">
        <v>5946000</v>
      </c>
      <c r="R7" s="55">
        <v>3651000</v>
      </c>
      <c r="S7" s="55">
        <v>1027000</v>
      </c>
    </row>
    <row r="8" spans="1:20">
      <c r="A8" t="s">
        <v>358</v>
      </c>
      <c r="B8" s="55">
        <v>21672000</v>
      </c>
      <c r="C8" s="55">
        <v>16769000</v>
      </c>
      <c r="D8" s="55">
        <v>21844000</v>
      </c>
      <c r="E8" s="55">
        <v>23784000</v>
      </c>
      <c r="F8" s="55">
        <v>23471000</v>
      </c>
      <c r="G8" s="55">
        <v>20577000</v>
      </c>
      <c r="H8" s="55">
        <v>29314000</v>
      </c>
      <c r="I8" s="55">
        <v>22970000</v>
      </c>
      <c r="J8" s="55">
        <v>19524000</v>
      </c>
      <c r="K8" s="55">
        <v>15539000</v>
      </c>
    </row>
    <row r="9" spans="1:20">
      <c r="A9" t="s">
        <v>359</v>
      </c>
      <c r="B9" s="55">
        <v>-7963000</v>
      </c>
      <c r="C9" s="55">
        <v>-2749000</v>
      </c>
      <c r="D9" s="55">
        <v>-2075000</v>
      </c>
      <c r="E9" s="55">
        <v>-2206000</v>
      </c>
      <c r="F9" s="55">
        <v>-2634000</v>
      </c>
      <c r="G9" s="55">
        <v>-2413000</v>
      </c>
      <c r="H9" s="55">
        <v>-2762000</v>
      </c>
      <c r="I9" s="55">
        <v>-1404000</v>
      </c>
      <c r="J9" s="55">
        <v>-975000</v>
      </c>
      <c r="K9" s="55">
        <v>-594000</v>
      </c>
    </row>
    <row r="10" spans="1:20">
      <c r="A10" t="s">
        <v>519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L10">
        <v>0</v>
      </c>
      <c r="M10">
        <v>0</v>
      </c>
      <c r="N10">
        <v>0</v>
      </c>
      <c r="O10">
        <v>0</v>
      </c>
      <c r="Q10">
        <v>0</v>
      </c>
      <c r="S10">
        <v>0</v>
      </c>
    </row>
    <row r="11" spans="1:20">
      <c r="A11" t="s">
        <v>360</v>
      </c>
      <c r="S11" s="55">
        <v>2922000</v>
      </c>
      <c r="T11" s="55">
        <v>100000</v>
      </c>
    </row>
    <row r="12" spans="1:20">
      <c r="A12" t="s">
        <v>361</v>
      </c>
      <c r="L12" s="55">
        <v>9933000</v>
      </c>
      <c r="M12" s="55">
        <v>5774000</v>
      </c>
      <c r="N12" s="55">
        <v>3628000</v>
      </c>
      <c r="O12" s="55">
        <v>8246000</v>
      </c>
      <c r="P12" s="55">
        <v>2810000</v>
      </c>
      <c r="Q12" s="55">
        <v>1743000</v>
      </c>
      <c r="R12" s="55">
        <v>3869000</v>
      </c>
      <c r="S12" s="55">
        <v>796000</v>
      </c>
    </row>
    <row r="13" spans="1:20">
      <c r="A13" t="s">
        <v>362</v>
      </c>
      <c r="B13" s="55">
        <v>13151000</v>
      </c>
      <c r="C13" s="55">
        <v>14858000</v>
      </c>
      <c r="D13" s="55">
        <v>15878000</v>
      </c>
      <c r="E13" s="55">
        <v>37631000</v>
      </c>
      <c r="F13" s="55">
        <v>21614000</v>
      </c>
      <c r="G13" s="55">
        <v>84416000</v>
      </c>
      <c r="H13" s="55">
        <v>73382000</v>
      </c>
      <c r="I13" s="55">
        <v>47339000</v>
      </c>
      <c r="J13" s="55">
        <v>61613000</v>
      </c>
      <c r="K13" s="55">
        <v>236743000</v>
      </c>
    </row>
    <row r="14" spans="1:20">
      <c r="A14" t="s">
        <v>363</v>
      </c>
      <c r="L14" s="55">
        <v>18806000</v>
      </c>
      <c r="M14" s="55">
        <v>26215000</v>
      </c>
      <c r="N14" s="55">
        <v>48258000</v>
      </c>
      <c r="O14" s="55">
        <v>37487000</v>
      </c>
      <c r="P14" s="55">
        <v>39053000</v>
      </c>
      <c r="Q14" s="55">
        <v>27735000</v>
      </c>
      <c r="R14" s="55">
        <v>6895000</v>
      </c>
      <c r="S14" s="55">
        <v>1000000</v>
      </c>
    </row>
    <row r="15" spans="1:20">
      <c r="A15" t="s">
        <v>364</v>
      </c>
      <c r="L15" s="55">
        <v>18806000</v>
      </c>
      <c r="M15" s="55">
        <v>26215000</v>
      </c>
      <c r="N15" s="55">
        <v>48258000</v>
      </c>
      <c r="O15" s="55">
        <v>37487000</v>
      </c>
      <c r="P15" s="55">
        <v>39053000</v>
      </c>
      <c r="Q15" s="55">
        <v>27735000</v>
      </c>
      <c r="R15" s="55">
        <v>6895000</v>
      </c>
      <c r="S15" s="55">
        <v>1000000</v>
      </c>
    </row>
    <row r="16" spans="1:20">
      <c r="A16" t="s">
        <v>365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L16" s="55">
        <v>18806000</v>
      </c>
      <c r="M16" s="55">
        <v>26215000</v>
      </c>
      <c r="N16" s="55">
        <v>48258000</v>
      </c>
      <c r="O16" s="55">
        <v>27000</v>
      </c>
      <c r="P16" s="55">
        <v>27000</v>
      </c>
      <c r="Q16" s="55">
        <v>781000</v>
      </c>
      <c r="R16" s="55">
        <v>1430000</v>
      </c>
      <c r="S16" s="55">
        <v>377000</v>
      </c>
      <c r="T16" s="55">
        <v>300000</v>
      </c>
    </row>
    <row r="17" spans="1:20">
      <c r="A17" t="s">
        <v>366</v>
      </c>
      <c r="B17" s="55">
        <v>3665519000</v>
      </c>
      <c r="C17" s="55">
        <v>3654906000</v>
      </c>
      <c r="D17" s="55">
        <v>3601105000</v>
      </c>
      <c r="E17" s="55">
        <v>3903453000</v>
      </c>
      <c r="F17" s="55">
        <v>4053695000</v>
      </c>
      <c r="G17" s="55">
        <v>4053081000</v>
      </c>
      <c r="H17" s="55">
        <v>4259862000</v>
      </c>
      <c r="I17" s="55">
        <v>4320325000</v>
      </c>
      <c r="J17" s="55">
        <v>4307990000</v>
      </c>
      <c r="K17" s="55">
        <v>4007032000</v>
      </c>
      <c r="L17" s="55">
        <v>2461384000</v>
      </c>
      <c r="M17" s="55">
        <v>2414152000</v>
      </c>
      <c r="N17" s="55">
        <v>2302573000</v>
      </c>
      <c r="O17" s="55">
        <v>2053304000</v>
      </c>
      <c r="P17" s="55">
        <v>1872816000</v>
      </c>
      <c r="Q17" s="55">
        <v>1657754000</v>
      </c>
      <c r="R17" s="55">
        <v>1051833000</v>
      </c>
      <c r="S17" s="55">
        <v>326826000</v>
      </c>
      <c r="T17" s="55">
        <v>25500000</v>
      </c>
    </row>
    <row r="18" spans="1:20">
      <c r="A18" t="s">
        <v>367</v>
      </c>
      <c r="B18" s="55">
        <v>3445955000</v>
      </c>
      <c r="C18" s="55">
        <v>3493549000</v>
      </c>
      <c r="D18" s="55">
        <v>3453632000</v>
      </c>
      <c r="E18" s="55">
        <v>3753134000</v>
      </c>
      <c r="F18" s="55">
        <v>3905304000</v>
      </c>
      <c r="G18" s="55">
        <v>3921341000</v>
      </c>
      <c r="H18" s="55">
        <v>4087448000</v>
      </c>
      <c r="I18" s="55">
        <v>4127317000</v>
      </c>
      <c r="J18" s="55">
        <v>4110622000</v>
      </c>
      <c r="K18" s="55">
        <v>3844132000</v>
      </c>
      <c r="L18" s="55">
        <v>2411064000</v>
      </c>
      <c r="M18" s="55">
        <v>2372939000</v>
      </c>
      <c r="N18" s="55">
        <v>2277414000</v>
      </c>
      <c r="O18" s="55">
        <v>2035492000</v>
      </c>
      <c r="P18" s="55">
        <v>1856517000</v>
      </c>
      <c r="Q18" s="55">
        <v>1637334000</v>
      </c>
      <c r="R18" s="55">
        <v>1042177000</v>
      </c>
      <c r="S18" s="55">
        <v>306067000</v>
      </c>
      <c r="T18" s="55">
        <v>18200000</v>
      </c>
    </row>
    <row r="19" spans="1:20">
      <c r="A19" t="s">
        <v>368</v>
      </c>
      <c r="B19" s="55">
        <v>4987941000</v>
      </c>
      <c r="C19" s="55">
        <v>4867499000</v>
      </c>
      <c r="D19" s="55">
        <v>4671737000</v>
      </c>
      <c r="E19" s="55">
        <v>4895933000</v>
      </c>
      <c r="F19" s="55">
        <v>4878973000</v>
      </c>
      <c r="G19" s="55">
        <v>4703270000</v>
      </c>
      <c r="H19" s="55">
        <v>4709962000</v>
      </c>
      <c r="I19" s="55">
        <v>4566688000</v>
      </c>
      <c r="J19" s="55">
        <v>4385964000</v>
      </c>
      <c r="K19" s="55">
        <v>3996335000</v>
      </c>
      <c r="T19" s="55">
        <v>18300000</v>
      </c>
    </row>
    <row r="20" spans="1:20">
      <c r="A20" t="s">
        <v>369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</row>
    <row r="21" spans="1:20">
      <c r="A21" t="s">
        <v>370</v>
      </c>
      <c r="B21" s="55">
        <v>1246441000</v>
      </c>
      <c r="C21" s="55">
        <v>1228231000</v>
      </c>
      <c r="D21" s="55">
        <v>1217385000</v>
      </c>
      <c r="E21" s="55">
        <v>1288459000</v>
      </c>
      <c r="F21" s="55">
        <v>1305427000</v>
      </c>
      <c r="G21" s="55">
        <v>1298593000</v>
      </c>
      <c r="H21" s="55">
        <v>1352835000</v>
      </c>
      <c r="I21" s="55">
        <v>1349081000</v>
      </c>
      <c r="J21" s="55">
        <v>1327791000</v>
      </c>
      <c r="K21" s="55">
        <v>1254247000</v>
      </c>
    </row>
    <row r="22" spans="1:20">
      <c r="A22" t="s">
        <v>371</v>
      </c>
      <c r="B22" s="55">
        <v>2881855000</v>
      </c>
      <c r="C22" s="55">
        <v>2792579000</v>
      </c>
      <c r="D22" s="55">
        <v>2729661000</v>
      </c>
      <c r="E22" s="55">
        <v>2934048000</v>
      </c>
      <c r="F22" s="55">
        <v>2940615000</v>
      </c>
      <c r="G22" s="55">
        <v>2859227000</v>
      </c>
      <c r="H22" s="55">
        <v>2894021000</v>
      </c>
      <c r="I22" s="55">
        <v>2839454000</v>
      </c>
      <c r="J22" s="55">
        <v>2773117000</v>
      </c>
      <c r="K22" s="55">
        <v>2629231000</v>
      </c>
    </row>
    <row r="23" spans="1:20">
      <c r="A23" t="s">
        <v>372</v>
      </c>
      <c r="B23" s="55">
        <v>813149000</v>
      </c>
      <c r="C23" s="55">
        <v>775825000</v>
      </c>
      <c r="D23" s="55">
        <v>697517000</v>
      </c>
      <c r="E23" s="55">
        <v>670973000</v>
      </c>
      <c r="F23" s="55">
        <v>632931000</v>
      </c>
      <c r="G23" s="55">
        <v>545450000</v>
      </c>
      <c r="H23" s="55">
        <v>463106000</v>
      </c>
      <c r="I23" s="55">
        <v>378153000</v>
      </c>
      <c r="J23" s="55">
        <v>285056000</v>
      </c>
      <c r="K23" s="55">
        <v>112857000</v>
      </c>
    </row>
    <row r="24" spans="1:20">
      <c r="A24" t="s">
        <v>373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</row>
    <row r="25" spans="1:20">
      <c r="A25" t="s">
        <v>374</v>
      </c>
      <c r="B25" s="55">
        <v>46496000</v>
      </c>
      <c r="C25" s="55">
        <v>70864000</v>
      </c>
      <c r="D25" s="55">
        <v>27174000</v>
      </c>
      <c r="E25" s="55">
        <v>2453000</v>
      </c>
    </row>
    <row r="26" spans="1:20">
      <c r="A26" t="s">
        <v>375</v>
      </c>
      <c r="B26" s="55">
        <v>-1541986000</v>
      </c>
      <c r="C26" s="55">
        <v>-1373950000</v>
      </c>
      <c r="D26" s="55">
        <v>-1218105000</v>
      </c>
      <c r="E26" s="55">
        <v>-1142799000</v>
      </c>
      <c r="F26" s="55">
        <v>-973669000</v>
      </c>
      <c r="G26" s="55">
        <v>-781929000</v>
      </c>
      <c r="H26" s="55">
        <v>-622514000</v>
      </c>
      <c r="I26" s="55">
        <v>-439371000</v>
      </c>
      <c r="J26" s="55">
        <v>-275342000</v>
      </c>
      <c r="K26" s="55">
        <v>-152203000</v>
      </c>
      <c r="T26" s="55">
        <v>-100000</v>
      </c>
    </row>
    <row r="27" spans="1:20">
      <c r="A27" t="s">
        <v>376</v>
      </c>
      <c r="B27" s="55">
        <v>79148000</v>
      </c>
      <c r="C27" s="55">
        <v>79375000</v>
      </c>
      <c r="D27" s="55">
        <v>73906000</v>
      </c>
      <c r="E27" s="55">
        <v>75909000</v>
      </c>
      <c r="F27" s="55">
        <v>81914000</v>
      </c>
      <c r="G27" s="55">
        <v>83254000</v>
      </c>
      <c r="H27" s="55">
        <v>87289000</v>
      </c>
      <c r="I27" s="55">
        <v>88663000</v>
      </c>
      <c r="J27" s="55">
        <v>90037000</v>
      </c>
      <c r="K27" s="55">
        <v>91411000</v>
      </c>
    </row>
    <row r="28" spans="1:20">
      <c r="A28" t="s">
        <v>377</v>
      </c>
      <c r="B28" s="55">
        <v>45055000</v>
      </c>
      <c r="C28" s="55">
        <v>45192000</v>
      </c>
      <c r="D28" s="55">
        <v>45192000</v>
      </c>
      <c r="E28" s="55">
        <v>48866000</v>
      </c>
      <c r="F28" s="55">
        <v>53531000</v>
      </c>
      <c r="G28" s="55">
        <v>53531000</v>
      </c>
      <c r="H28" s="55">
        <v>55633000</v>
      </c>
      <c r="I28" s="55">
        <v>55633000</v>
      </c>
      <c r="J28" s="55">
        <v>55633000</v>
      </c>
      <c r="K28" s="55">
        <v>55633000</v>
      </c>
    </row>
    <row r="29" spans="1:20">
      <c r="A29" t="s">
        <v>378</v>
      </c>
      <c r="B29" s="55">
        <v>34093000</v>
      </c>
      <c r="C29" s="55">
        <v>34183000</v>
      </c>
      <c r="D29" s="55">
        <v>28714000</v>
      </c>
      <c r="E29" s="55">
        <v>27043000</v>
      </c>
      <c r="F29" s="55">
        <v>28383000</v>
      </c>
      <c r="G29" s="55">
        <v>29723000</v>
      </c>
      <c r="H29" s="55">
        <v>31656000</v>
      </c>
      <c r="I29" s="55">
        <v>33030000</v>
      </c>
      <c r="J29" s="55">
        <v>34404000</v>
      </c>
      <c r="K29" s="55">
        <v>35778000</v>
      </c>
    </row>
    <row r="30" spans="1:20">
      <c r="A30" t="s">
        <v>379</v>
      </c>
      <c r="B30">
        <v>0</v>
      </c>
      <c r="C30" s="55">
        <v>16157000</v>
      </c>
      <c r="D30" s="55">
        <v>7309000</v>
      </c>
      <c r="E30" s="55">
        <v>8125000</v>
      </c>
      <c r="F30" s="55">
        <v>16376000</v>
      </c>
      <c r="H30" s="55">
        <v>37071000</v>
      </c>
      <c r="I30" s="55">
        <v>51251000</v>
      </c>
      <c r="J30" s="55">
        <v>65592000</v>
      </c>
      <c r="K30" s="55">
        <v>44338000</v>
      </c>
      <c r="L30" s="55">
        <v>29440000</v>
      </c>
      <c r="M30" s="55">
        <v>18000000</v>
      </c>
    </row>
    <row r="31" spans="1:20">
      <c r="A31" t="s">
        <v>380</v>
      </c>
      <c r="B31">
        <v>0</v>
      </c>
      <c r="C31" s="55">
        <v>16157000</v>
      </c>
      <c r="D31" s="55">
        <v>7309000</v>
      </c>
      <c r="E31" s="55">
        <v>8125000</v>
      </c>
      <c r="F31" s="55">
        <v>16376000</v>
      </c>
      <c r="L31" s="55">
        <v>29440000</v>
      </c>
      <c r="M31" s="55">
        <v>18000000</v>
      </c>
    </row>
    <row r="32" spans="1:20">
      <c r="A32" t="s">
        <v>381</v>
      </c>
      <c r="B32" s="55">
        <v>140416000</v>
      </c>
      <c r="C32" s="55">
        <v>65825000</v>
      </c>
      <c r="D32" s="55">
        <v>66258000</v>
      </c>
      <c r="E32" s="55">
        <v>66285000</v>
      </c>
      <c r="F32" s="55">
        <v>50101000</v>
      </c>
      <c r="G32" s="55">
        <v>48486000</v>
      </c>
      <c r="H32" s="55">
        <v>48054000</v>
      </c>
      <c r="I32" s="55">
        <v>53094000</v>
      </c>
      <c r="J32" s="55">
        <v>41739000</v>
      </c>
      <c r="K32" s="55">
        <v>27151000</v>
      </c>
      <c r="L32" s="55">
        <v>20880000</v>
      </c>
      <c r="M32" s="55">
        <v>23213000</v>
      </c>
      <c r="N32" s="55">
        <v>25159000</v>
      </c>
      <c r="O32" s="55">
        <v>17812000</v>
      </c>
      <c r="P32" s="55">
        <v>16299000</v>
      </c>
      <c r="Q32" s="55">
        <v>20420000</v>
      </c>
      <c r="R32" s="55">
        <v>9656000</v>
      </c>
      <c r="S32" s="55">
        <v>20759000</v>
      </c>
    </row>
    <row r="33" spans="1:20">
      <c r="A33" t="s">
        <v>382</v>
      </c>
      <c r="B33" s="55">
        <v>2951706000</v>
      </c>
      <c r="C33" s="55">
        <v>2854326000</v>
      </c>
      <c r="D33" s="55">
        <v>2613571000</v>
      </c>
      <c r="E33" s="55">
        <v>2730158000</v>
      </c>
      <c r="F33" s="55">
        <v>2803065000</v>
      </c>
      <c r="G33" s="55">
        <v>3040543000</v>
      </c>
      <c r="H33" s="55">
        <v>3091803000</v>
      </c>
      <c r="I33" s="55">
        <v>3108479000</v>
      </c>
      <c r="J33" s="55">
        <v>3738919000</v>
      </c>
      <c r="K33" s="55">
        <v>2805934000</v>
      </c>
      <c r="L33" s="55">
        <v>1363144000</v>
      </c>
      <c r="M33" s="55">
        <v>1385552000</v>
      </c>
      <c r="N33" s="55">
        <v>1364088000</v>
      </c>
      <c r="O33" s="55">
        <v>1138969000</v>
      </c>
      <c r="P33" s="55">
        <v>1011659000</v>
      </c>
      <c r="Q33" s="55">
        <v>827831000</v>
      </c>
      <c r="R33" s="55">
        <v>236232000</v>
      </c>
      <c r="S33" s="55">
        <v>27093000</v>
      </c>
      <c r="T33" s="55">
        <v>2400000</v>
      </c>
    </row>
    <row r="34" spans="1:20">
      <c r="A34" t="s">
        <v>383</v>
      </c>
      <c r="B34" s="55">
        <v>253198000</v>
      </c>
      <c r="C34" s="55">
        <v>211181000</v>
      </c>
      <c r="D34" s="55">
        <v>210934000</v>
      </c>
      <c r="E34" s="55">
        <v>188257000</v>
      </c>
      <c r="F34" s="55">
        <v>193303000</v>
      </c>
      <c r="G34" s="55">
        <v>243969000</v>
      </c>
      <c r="H34" s="55">
        <v>172440000</v>
      </c>
      <c r="I34" s="55">
        <v>175122000</v>
      </c>
      <c r="J34" s="55">
        <v>124362000</v>
      </c>
      <c r="K34" s="55">
        <v>119253000</v>
      </c>
      <c r="L34" s="55">
        <v>99344000</v>
      </c>
      <c r="M34" s="55">
        <v>94941000</v>
      </c>
      <c r="N34" s="55">
        <v>105086000</v>
      </c>
      <c r="O34" s="55">
        <v>88745000</v>
      </c>
      <c r="P34" s="55">
        <v>81492000</v>
      </c>
      <c r="Q34" s="55">
        <v>128341000</v>
      </c>
      <c r="R34" s="55">
        <v>82839000</v>
      </c>
      <c r="S34" s="55">
        <v>24731000</v>
      </c>
      <c r="T34" s="55">
        <v>2400000</v>
      </c>
    </row>
    <row r="35" spans="1:20">
      <c r="A35" t="s">
        <v>384</v>
      </c>
      <c r="B35" s="55">
        <v>253198000</v>
      </c>
      <c r="C35" s="55">
        <v>211181000</v>
      </c>
      <c r="D35" s="55">
        <v>210934000</v>
      </c>
      <c r="E35" s="55">
        <v>188257000</v>
      </c>
      <c r="F35" s="55">
        <v>193303000</v>
      </c>
      <c r="G35" s="55">
        <v>243969000</v>
      </c>
      <c r="H35" s="55">
        <v>172440000</v>
      </c>
      <c r="I35" s="55">
        <v>175122000</v>
      </c>
      <c r="J35" s="55">
        <v>124362000</v>
      </c>
      <c r="K35" s="55">
        <v>119253000</v>
      </c>
      <c r="L35" s="55">
        <v>59266000</v>
      </c>
      <c r="M35" s="55">
        <v>66275000</v>
      </c>
      <c r="N35" s="55">
        <v>78707000</v>
      </c>
      <c r="O35" s="55">
        <v>73669000</v>
      </c>
      <c r="P35" s="55">
        <v>69658000</v>
      </c>
      <c r="Q35" s="55">
        <v>100899000</v>
      </c>
      <c r="R35" s="55">
        <v>62888000</v>
      </c>
      <c r="S35" s="55">
        <v>13181000</v>
      </c>
      <c r="T35" s="55">
        <v>700000</v>
      </c>
    </row>
    <row r="36" spans="1:20">
      <c r="A36" t="s">
        <v>385</v>
      </c>
      <c r="E36" s="55">
        <v>188257000</v>
      </c>
      <c r="F36" s="55">
        <v>193303000</v>
      </c>
      <c r="G36" s="55">
        <v>243969000</v>
      </c>
      <c r="H36" s="55">
        <v>172440000</v>
      </c>
      <c r="I36" s="55">
        <v>175122000</v>
      </c>
      <c r="J36" s="55">
        <v>124362000</v>
      </c>
      <c r="L36" s="55">
        <v>17602000</v>
      </c>
      <c r="M36" s="55">
        <v>22793000</v>
      </c>
      <c r="N36" s="55">
        <v>34433000</v>
      </c>
      <c r="O36" s="55">
        <v>32587000</v>
      </c>
      <c r="P36" s="55">
        <v>36908000</v>
      </c>
      <c r="Q36" s="55">
        <v>69913000</v>
      </c>
      <c r="R36" s="55">
        <v>51309000</v>
      </c>
      <c r="S36" s="55">
        <v>9974000</v>
      </c>
      <c r="T36" s="55">
        <v>700000</v>
      </c>
    </row>
    <row r="37" spans="1:20">
      <c r="A37" t="s">
        <v>386</v>
      </c>
      <c r="E37" s="55">
        <v>188257000</v>
      </c>
      <c r="F37" s="55">
        <v>193303000</v>
      </c>
      <c r="G37" s="55">
        <v>243969000</v>
      </c>
      <c r="H37" s="55">
        <v>172440000</v>
      </c>
      <c r="I37" s="55">
        <v>175122000</v>
      </c>
      <c r="J37" s="55">
        <v>124362000</v>
      </c>
      <c r="L37" s="55">
        <v>17602000</v>
      </c>
      <c r="M37" s="55">
        <v>22793000</v>
      </c>
      <c r="N37" s="55">
        <v>34433000</v>
      </c>
      <c r="O37" s="55">
        <v>32587000</v>
      </c>
      <c r="P37" s="55">
        <v>34020000</v>
      </c>
      <c r="Q37" s="55">
        <v>62834000</v>
      </c>
      <c r="R37" s="55">
        <v>51309000</v>
      </c>
      <c r="S37" s="55">
        <v>9770000</v>
      </c>
      <c r="T37" s="55">
        <v>700000</v>
      </c>
    </row>
    <row r="38" spans="1:20">
      <c r="A38" t="s">
        <v>387</v>
      </c>
      <c r="O38">
        <v>0</v>
      </c>
      <c r="P38" s="55">
        <v>2888000</v>
      </c>
      <c r="Q38" s="55">
        <v>7079000</v>
      </c>
    </row>
    <row r="39" spans="1:20">
      <c r="A39" t="s">
        <v>388</v>
      </c>
      <c r="O39">
        <v>0</v>
      </c>
      <c r="P39" s="55">
        <v>2888000</v>
      </c>
      <c r="Q39" s="55">
        <v>7079000</v>
      </c>
    </row>
    <row r="40" spans="1:20">
      <c r="A40" t="s">
        <v>520</v>
      </c>
      <c r="L40">
        <v>0</v>
      </c>
      <c r="M40">
        <v>0</v>
      </c>
      <c r="N40">
        <v>0</v>
      </c>
      <c r="O40">
        <v>0</v>
      </c>
      <c r="Q40">
        <v>0</v>
      </c>
      <c r="S40" s="55">
        <v>204000</v>
      </c>
    </row>
    <row r="41" spans="1:20">
      <c r="A41" t="s">
        <v>389</v>
      </c>
      <c r="L41" s="55">
        <v>41664000</v>
      </c>
      <c r="M41" s="55">
        <v>43482000</v>
      </c>
      <c r="N41" s="55">
        <v>44274000</v>
      </c>
      <c r="O41" s="55">
        <v>41082000</v>
      </c>
      <c r="P41" s="55">
        <v>32750000</v>
      </c>
      <c r="Q41" s="55">
        <v>30986000</v>
      </c>
      <c r="R41" s="55">
        <v>11579000</v>
      </c>
      <c r="S41" s="55">
        <v>3207000</v>
      </c>
    </row>
    <row r="42" spans="1:20">
      <c r="A42" t="s">
        <v>390</v>
      </c>
      <c r="L42" s="55">
        <v>33748000</v>
      </c>
      <c r="M42" s="55">
        <v>21695000</v>
      </c>
      <c r="N42" s="55">
        <v>12500000</v>
      </c>
      <c r="O42" s="55">
        <v>5000000</v>
      </c>
      <c r="P42" s="55">
        <v>3000000</v>
      </c>
      <c r="Q42" s="55">
        <v>2000000</v>
      </c>
      <c r="S42">
        <v>0</v>
      </c>
      <c r="T42" s="55">
        <v>600000</v>
      </c>
    </row>
    <row r="43" spans="1:20">
      <c r="A43" t="s">
        <v>391</v>
      </c>
      <c r="L43" s="55">
        <v>33748000</v>
      </c>
      <c r="M43" s="55">
        <v>21695000</v>
      </c>
      <c r="N43" s="55">
        <v>12500000</v>
      </c>
      <c r="O43" s="55">
        <v>5000000</v>
      </c>
      <c r="P43" s="55">
        <v>3000000</v>
      </c>
      <c r="Q43" s="55">
        <v>2000000</v>
      </c>
      <c r="S43">
        <v>0</v>
      </c>
      <c r="T43" s="55">
        <v>600000</v>
      </c>
    </row>
    <row r="44" spans="1:20">
      <c r="A44" t="s">
        <v>392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L44" s="55">
        <v>6330000</v>
      </c>
      <c r="M44" s="55">
        <v>6971000</v>
      </c>
      <c r="N44" s="55">
        <v>13879000</v>
      </c>
      <c r="O44" s="55">
        <v>10076000</v>
      </c>
      <c r="P44" s="55">
        <v>8834000</v>
      </c>
      <c r="Q44" s="55">
        <v>25442000</v>
      </c>
      <c r="R44" s="55">
        <v>19951000</v>
      </c>
      <c r="S44" s="55">
        <v>11550000</v>
      </c>
      <c r="T44" s="55">
        <v>1100000</v>
      </c>
    </row>
    <row r="45" spans="1:20">
      <c r="A45" t="s">
        <v>393</v>
      </c>
      <c r="B45" s="55">
        <v>2698508000</v>
      </c>
      <c r="C45" s="55">
        <v>2643145000</v>
      </c>
      <c r="D45" s="55">
        <v>2402637000</v>
      </c>
      <c r="E45" s="55">
        <v>2541901000</v>
      </c>
      <c r="F45" s="55">
        <v>2609762000</v>
      </c>
      <c r="G45" s="55">
        <v>2796574000</v>
      </c>
      <c r="H45" s="55">
        <v>2919363000</v>
      </c>
      <c r="I45" s="55">
        <v>2933357000</v>
      </c>
      <c r="J45" s="55">
        <v>3614557000</v>
      </c>
      <c r="K45" s="55">
        <v>2686681000</v>
      </c>
      <c r="L45" s="55">
        <v>1263800000</v>
      </c>
      <c r="M45" s="55">
        <v>1290611000</v>
      </c>
      <c r="N45" s="55">
        <v>1259002000</v>
      </c>
      <c r="O45" s="55">
        <v>1050224000</v>
      </c>
      <c r="P45" s="55">
        <v>930167000</v>
      </c>
      <c r="Q45" s="55">
        <v>699490000</v>
      </c>
      <c r="R45" s="55">
        <v>153393000</v>
      </c>
      <c r="S45" s="55">
        <v>2362000</v>
      </c>
    </row>
    <row r="46" spans="1:20">
      <c r="A46" t="s">
        <v>394</v>
      </c>
      <c r="B46" s="55">
        <v>2687290000</v>
      </c>
      <c r="C46" s="55">
        <v>2636015000</v>
      </c>
      <c r="D46" s="55">
        <v>2395507000</v>
      </c>
      <c r="E46" s="55">
        <v>2534768000</v>
      </c>
      <c r="F46" s="55">
        <v>2585274000</v>
      </c>
      <c r="G46" s="55">
        <v>2762388000</v>
      </c>
      <c r="H46" s="55">
        <v>2891369000</v>
      </c>
      <c r="I46" s="55">
        <v>2926045000</v>
      </c>
      <c r="J46" s="55">
        <v>3605708000</v>
      </c>
      <c r="K46" s="55">
        <v>2680219000</v>
      </c>
      <c r="L46" s="55">
        <v>1097817000</v>
      </c>
      <c r="M46" s="55">
        <v>1143565000</v>
      </c>
      <c r="N46" s="55">
        <v>1132250000</v>
      </c>
      <c r="O46" s="55">
        <v>947000000</v>
      </c>
      <c r="P46" s="55">
        <v>853000000</v>
      </c>
      <c r="Q46" s="55">
        <v>653000000</v>
      </c>
      <c r="R46" s="55">
        <v>135000000</v>
      </c>
    </row>
    <row r="47" spans="1:20">
      <c r="A47" t="s">
        <v>395</v>
      </c>
      <c r="B47" s="55">
        <v>2683622000</v>
      </c>
      <c r="C47" s="55">
        <v>2632636000</v>
      </c>
      <c r="D47" s="55">
        <v>2395507000</v>
      </c>
      <c r="E47" s="55">
        <v>2534768000</v>
      </c>
      <c r="F47" s="55">
        <v>2585274000</v>
      </c>
      <c r="G47" s="55">
        <v>2762388000</v>
      </c>
      <c r="H47" s="55">
        <v>2891369000</v>
      </c>
      <c r="I47" s="55">
        <v>2926045000</v>
      </c>
      <c r="J47" s="55">
        <v>3605708000</v>
      </c>
      <c r="K47" s="55">
        <v>2680219000</v>
      </c>
      <c r="L47" s="55">
        <v>1097817000</v>
      </c>
      <c r="M47" s="55">
        <v>1143565000</v>
      </c>
      <c r="N47" s="55">
        <v>1132250000</v>
      </c>
      <c r="O47" s="55">
        <v>947000000</v>
      </c>
      <c r="P47" s="55">
        <v>853000000</v>
      </c>
      <c r="Q47" s="55">
        <v>653000000</v>
      </c>
      <c r="R47" s="55">
        <v>135000000</v>
      </c>
    </row>
    <row r="48" spans="1:20">
      <c r="A48" t="s">
        <v>396</v>
      </c>
      <c r="B48" s="55">
        <v>3668000</v>
      </c>
      <c r="C48" s="55">
        <v>3379000</v>
      </c>
    </row>
    <row r="49" spans="1:20">
      <c r="A49" t="s">
        <v>397</v>
      </c>
      <c r="B49" s="55">
        <v>11218000</v>
      </c>
      <c r="E49">
        <v>0</v>
      </c>
      <c r="F49" s="55">
        <v>3286000</v>
      </c>
      <c r="G49" s="55">
        <v>12984000</v>
      </c>
      <c r="H49" s="55">
        <v>6792000</v>
      </c>
      <c r="I49" s="55">
        <v>7312000</v>
      </c>
      <c r="J49" s="55">
        <v>8849000</v>
      </c>
      <c r="K49" s="55">
        <v>6462000</v>
      </c>
      <c r="L49" s="55">
        <v>165983000</v>
      </c>
      <c r="M49" s="55">
        <v>147046000</v>
      </c>
      <c r="N49" s="55">
        <v>126752000</v>
      </c>
      <c r="O49" s="55">
        <v>103224000</v>
      </c>
      <c r="P49" s="55">
        <v>77167000</v>
      </c>
      <c r="Q49" s="55">
        <v>46490000</v>
      </c>
      <c r="R49" s="55">
        <v>18393000</v>
      </c>
      <c r="S49" s="55">
        <v>2362000</v>
      </c>
    </row>
    <row r="50" spans="1:20">
      <c r="A50" t="s">
        <v>398</v>
      </c>
      <c r="B50" s="55">
        <v>11218000</v>
      </c>
      <c r="E50">
        <v>0</v>
      </c>
      <c r="F50" s="55">
        <v>3286000</v>
      </c>
      <c r="G50" s="55">
        <v>12984000</v>
      </c>
      <c r="H50" s="55">
        <v>6792000</v>
      </c>
      <c r="I50" s="55">
        <v>7312000</v>
      </c>
      <c r="J50" s="55">
        <v>8849000</v>
      </c>
      <c r="K50" s="55">
        <v>6462000</v>
      </c>
      <c r="L50" s="55">
        <v>165983000</v>
      </c>
      <c r="M50" s="55">
        <v>147046000</v>
      </c>
      <c r="N50" s="55">
        <v>126752000</v>
      </c>
      <c r="O50" s="55">
        <v>103224000</v>
      </c>
      <c r="P50" s="55">
        <v>77167000</v>
      </c>
      <c r="Q50" s="55">
        <v>46490000</v>
      </c>
      <c r="R50" s="55">
        <v>18393000</v>
      </c>
      <c r="S50" s="55">
        <v>2362000</v>
      </c>
    </row>
    <row r="51" spans="1:20">
      <c r="A51" t="s">
        <v>521</v>
      </c>
      <c r="B51">
        <v>0</v>
      </c>
      <c r="C51" s="55">
        <v>7130000</v>
      </c>
      <c r="D51" s="55">
        <v>7130000</v>
      </c>
      <c r="E51" s="55">
        <v>7133000</v>
      </c>
      <c r="F51" s="55">
        <v>21202000</v>
      </c>
      <c r="G51" s="55">
        <v>21202000</v>
      </c>
      <c r="H51" s="55">
        <v>21202000</v>
      </c>
    </row>
    <row r="52" spans="1:20">
      <c r="A52" t="s">
        <v>399</v>
      </c>
      <c r="B52" s="55">
        <v>1137443000</v>
      </c>
      <c r="C52" s="55">
        <v>1176270000</v>
      </c>
      <c r="D52" s="55">
        <v>1310639000</v>
      </c>
      <c r="E52" s="55">
        <v>1345847000</v>
      </c>
      <c r="F52" s="55">
        <v>1377239000</v>
      </c>
      <c r="G52" s="55">
        <v>1488357000</v>
      </c>
      <c r="H52" s="55">
        <v>1389317000</v>
      </c>
      <c r="I52" s="55">
        <v>1341208000</v>
      </c>
      <c r="J52" s="55">
        <v>752815000</v>
      </c>
      <c r="K52" s="55">
        <v>1551370000</v>
      </c>
      <c r="L52" s="55">
        <v>1148818000</v>
      </c>
      <c r="M52" s="55">
        <v>1073168000</v>
      </c>
      <c r="N52" s="55">
        <v>1007783000</v>
      </c>
      <c r="O52" s="55">
        <v>982633000</v>
      </c>
      <c r="P52" s="55">
        <v>915590000</v>
      </c>
      <c r="Q52" s="55">
        <v>866751000</v>
      </c>
      <c r="R52" s="55">
        <v>834659000</v>
      </c>
      <c r="S52" s="55">
        <v>495502000</v>
      </c>
      <c r="T52" s="55">
        <v>147200000</v>
      </c>
    </row>
    <row r="53" spans="1:20">
      <c r="A53" t="s">
        <v>400</v>
      </c>
      <c r="B53" s="55">
        <v>682771000</v>
      </c>
      <c r="C53" s="55">
        <v>696292000</v>
      </c>
      <c r="D53" s="55">
        <v>786021000</v>
      </c>
      <c r="E53" s="55">
        <v>780583000</v>
      </c>
      <c r="F53" s="55">
        <v>794832000</v>
      </c>
      <c r="G53" s="55">
        <v>879673000</v>
      </c>
      <c r="H53" s="55">
        <v>789518000</v>
      </c>
      <c r="I53" s="55">
        <v>744576000</v>
      </c>
      <c r="J53" s="55">
        <v>749658000</v>
      </c>
      <c r="K53" s="55">
        <v>1549445000</v>
      </c>
      <c r="L53" s="55">
        <v>1148818000</v>
      </c>
      <c r="M53" s="55">
        <v>1073168000</v>
      </c>
      <c r="N53" s="55">
        <v>1007783000</v>
      </c>
      <c r="O53" s="55">
        <v>982633000</v>
      </c>
      <c r="P53" s="55">
        <v>915590000</v>
      </c>
      <c r="Q53" s="55">
        <v>866751000</v>
      </c>
      <c r="R53" s="55">
        <v>834659000</v>
      </c>
      <c r="S53" s="55">
        <v>495502000</v>
      </c>
      <c r="T53" s="55">
        <v>147200000</v>
      </c>
    </row>
    <row r="54" spans="1:20">
      <c r="A54" t="s">
        <v>401</v>
      </c>
      <c r="B54" s="55">
        <v>1776000</v>
      </c>
      <c r="C54" s="55">
        <v>1795000</v>
      </c>
      <c r="D54" s="55">
        <v>1882000</v>
      </c>
      <c r="E54" s="55">
        <v>1921000</v>
      </c>
      <c r="F54" s="55">
        <v>1957000</v>
      </c>
      <c r="G54" s="55">
        <v>2049000</v>
      </c>
      <c r="H54" s="55">
        <v>2048000</v>
      </c>
      <c r="I54" s="55">
        <v>2048000</v>
      </c>
      <c r="J54" s="55">
        <v>744524000</v>
      </c>
      <c r="L54" s="55">
        <v>974000</v>
      </c>
      <c r="M54" s="55">
        <v>939000</v>
      </c>
      <c r="N54" s="55">
        <v>932000</v>
      </c>
      <c r="O54" s="55">
        <v>955000</v>
      </c>
      <c r="P54" s="55">
        <v>960000</v>
      </c>
      <c r="Q54" s="55">
        <v>960000</v>
      </c>
      <c r="R54" s="55">
        <v>956000</v>
      </c>
      <c r="S54" s="55">
        <v>683000</v>
      </c>
    </row>
    <row r="55" spans="1:20">
      <c r="A55" t="s">
        <v>402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</row>
    <row r="56" spans="1:20">
      <c r="A56" t="s">
        <v>403</v>
      </c>
      <c r="B56" s="55">
        <v>1776000</v>
      </c>
      <c r="C56" s="55">
        <v>1795000</v>
      </c>
      <c r="D56" s="55">
        <v>1882000</v>
      </c>
      <c r="E56" s="55">
        <v>1921000</v>
      </c>
      <c r="F56" s="55">
        <v>1957000</v>
      </c>
      <c r="G56" s="55">
        <v>2049000</v>
      </c>
      <c r="H56" s="55">
        <v>2048000</v>
      </c>
      <c r="I56" s="55">
        <v>2048000</v>
      </c>
      <c r="J56" s="55">
        <v>744524000</v>
      </c>
      <c r="L56" s="55">
        <v>974000</v>
      </c>
      <c r="M56" s="55">
        <v>939000</v>
      </c>
      <c r="N56" s="55">
        <v>932000</v>
      </c>
      <c r="O56" s="55">
        <v>955000</v>
      </c>
      <c r="P56" s="55">
        <v>960000</v>
      </c>
      <c r="Q56" s="55">
        <v>960000</v>
      </c>
      <c r="R56" s="55">
        <v>956000</v>
      </c>
      <c r="S56" s="55">
        <v>683000</v>
      </c>
    </row>
    <row r="57" spans="1:20">
      <c r="A57" t="s">
        <v>522</v>
      </c>
      <c r="E57">
        <v>0</v>
      </c>
      <c r="F57">
        <v>0</v>
      </c>
      <c r="G57">
        <v>0</v>
      </c>
      <c r="H57">
        <v>0</v>
      </c>
      <c r="I57">
        <v>0</v>
      </c>
    </row>
    <row r="58" spans="1:20">
      <c r="A58" t="s">
        <v>404</v>
      </c>
      <c r="B58" s="55">
        <v>725865000</v>
      </c>
      <c r="C58" s="55">
        <v>742397000</v>
      </c>
      <c r="D58" s="55">
        <v>749219000</v>
      </c>
      <c r="E58" s="55">
        <v>768679000</v>
      </c>
      <c r="F58" s="55">
        <v>774811000</v>
      </c>
      <c r="G58" s="55">
        <v>784194000</v>
      </c>
      <c r="H58" s="55">
        <v>779447000</v>
      </c>
      <c r="I58" s="55">
        <v>772359000</v>
      </c>
      <c r="J58" s="55">
        <v>744524000</v>
      </c>
      <c r="L58" s="55">
        <v>840901000</v>
      </c>
      <c r="M58" s="55">
        <v>801757000</v>
      </c>
      <c r="N58" s="55">
        <v>793484000</v>
      </c>
      <c r="O58" s="55">
        <v>825755000</v>
      </c>
      <c r="P58" s="55">
        <v>828724000</v>
      </c>
      <c r="Q58" s="55">
        <v>827110000</v>
      </c>
      <c r="R58" s="55">
        <v>823060000</v>
      </c>
      <c r="S58" s="55">
        <v>492690000</v>
      </c>
    </row>
    <row r="59" spans="1:20">
      <c r="A59" t="s">
        <v>405</v>
      </c>
      <c r="B59" s="55">
        <v>-44664000</v>
      </c>
      <c r="C59" s="55">
        <v>-48283000</v>
      </c>
      <c r="D59" s="55">
        <v>32432000</v>
      </c>
      <c r="E59" s="55">
        <v>6917000</v>
      </c>
      <c r="F59" s="55">
        <v>23679000</v>
      </c>
      <c r="G59" s="55">
        <v>102184000</v>
      </c>
      <c r="H59" s="55">
        <v>13833000</v>
      </c>
      <c r="I59" s="55">
        <v>-25763000</v>
      </c>
      <c r="J59" s="55">
        <v>5010000</v>
      </c>
      <c r="K59" s="55">
        <v>-3026000</v>
      </c>
      <c r="L59" s="55">
        <v>306943000</v>
      </c>
      <c r="M59" s="55">
        <v>270472000</v>
      </c>
      <c r="N59" s="55">
        <v>213367000</v>
      </c>
      <c r="O59" s="55">
        <v>155923000</v>
      </c>
      <c r="P59" s="55">
        <v>85906000</v>
      </c>
      <c r="Q59" s="55">
        <v>38681000</v>
      </c>
      <c r="R59" s="55">
        <v>10643000</v>
      </c>
      <c r="S59" s="55">
        <v>2129000</v>
      </c>
      <c r="T59" s="55">
        <v>-1300000</v>
      </c>
    </row>
    <row r="60" spans="1:20">
      <c r="A60" t="s">
        <v>406</v>
      </c>
      <c r="B60" s="55">
        <v>-206000</v>
      </c>
      <c r="C60" s="55">
        <v>383000</v>
      </c>
      <c r="D60" s="55">
        <v>2488000</v>
      </c>
      <c r="E60" s="55">
        <v>3066000</v>
      </c>
      <c r="F60" s="55">
        <v>-5615000</v>
      </c>
      <c r="G60" s="55">
        <v>-8754000</v>
      </c>
      <c r="H60" s="55">
        <v>-5810000</v>
      </c>
      <c r="I60" s="55">
        <v>-4068000</v>
      </c>
      <c r="J60" s="55">
        <v>124000</v>
      </c>
      <c r="K60" s="55">
        <v>42000</v>
      </c>
    </row>
    <row r="61" spans="1:20">
      <c r="A61" t="s">
        <v>523</v>
      </c>
      <c r="I61" s="55">
        <v>-4068000</v>
      </c>
      <c r="J61" s="55">
        <v>124000</v>
      </c>
      <c r="K61" s="55">
        <v>42000</v>
      </c>
    </row>
    <row r="62" spans="1:20">
      <c r="A62" t="s">
        <v>407</v>
      </c>
      <c r="E62" s="55">
        <v>3066000</v>
      </c>
      <c r="F62" s="55">
        <v>-5615000</v>
      </c>
      <c r="G62" s="55">
        <v>-8754000</v>
      </c>
      <c r="H62" s="55">
        <v>-5810000</v>
      </c>
    </row>
    <row r="63" spans="1:20">
      <c r="A63" t="s">
        <v>524</v>
      </c>
      <c r="I63" s="55">
        <v>-4068000</v>
      </c>
      <c r="J63" s="55">
        <v>744524000</v>
      </c>
      <c r="K63" s="55">
        <v>1552429000</v>
      </c>
      <c r="T63" s="55">
        <v>148500000</v>
      </c>
    </row>
    <row r="64" spans="1:20">
      <c r="A64" t="s">
        <v>408</v>
      </c>
      <c r="B64" s="55">
        <v>454672000</v>
      </c>
      <c r="C64" s="55">
        <v>479978000</v>
      </c>
      <c r="D64" s="55">
        <v>524618000</v>
      </c>
      <c r="E64" s="55">
        <v>565264000</v>
      </c>
      <c r="F64" s="55">
        <v>582407000</v>
      </c>
      <c r="G64" s="55">
        <v>608684000</v>
      </c>
      <c r="H64" s="55">
        <v>599799000</v>
      </c>
      <c r="I64" s="55">
        <v>596632000</v>
      </c>
      <c r="J64" s="55">
        <v>3157000</v>
      </c>
      <c r="K64" s="55">
        <v>1925000</v>
      </c>
    </row>
    <row r="65" spans="1:20">
      <c r="A65" t="s">
        <v>409</v>
      </c>
      <c r="B65" s="55">
        <v>3366393000</v>
      </c>
      <c r="C65" s="55">
        <v>3328928000</v>
      </c>
      <c r="D65" s="55">
        <v>3181528000</v>
      </c>
      <c r="E65" s="55">
        <v>3315351000</v>
      </c>
      <c r="F65" s="55">
        <v>3380106000</v>
      </c>
      <c r="G65" s="55">
        <v>3642061000</v>
      </c>
      <c r="H65" s="55">
        <v>3680887000</v>
      </c>
      <c r="I65" s="55">
        <v>3670621000</v>
      </c>
      <c r="J65" s="55">
        <v>4355366000</v>
      </c>
      <c r="K65" s="55">
        <v>4229664000</v>
      </c>
      <c r="L65" s="55">
        <v>2246635000</v>
      </c>
      <c r="M65" s="55">
        <v>2216733000</v>
      </c>
      <c r="N65" s="55">
        <v>2140033000</v>
      </c>
      <c r="O65" s="55">
        <v>1929633000</v>
      </c>
      <c r="P65" s="55">
        <v>1768590000</v>
      </c>
      <c r="Q65" s="55">
        <v>1519751000</v>
      </c>
      <c r="R65" s="55">
        <v>969659000</v>
      </c>
      <c r="S65" s="55">
        <v>495502000</v>
      </c>
      <c r="T65" s="55">
        <v>147200000</v>
      </c>
    </row>
    <row r="66" spans="1:20">
      <c r="A66" t="s">
        <v>410</v>
      </c>
      <c r="B66" s="55">
        <v>682771000</v>
      </c>
      <c r="C66" s="55">
        <v>696292000</v>
      </c>
      <c r="D66" s="55">
        <v>786021000</v>
      </c>
      <c r="E66" s="55">
        <v>780583000</v>
      </c>
      <c r="F66" s="55">
        <v>794832000</v>
      </c>
      <c r="G66" s="55">
        <v>879673000</v>
      </c>
      <c r="H66" s="55">
        <v>789518000</v>
      </c>
      <c r="I66" s="55">
        <v>744576000</v>
      </c>
      <c r="J66" s="55">
        <v>749658000</v>
      </c>
      <c r="K66" s="55">
        <v>1549445000</v>
      </c>
      <c r="L66" s="55">
        <v>1148818000</v>
      </c>
      <c r="M66" s="55">
        <v>1073168000</v>
      </c>
      <c r="N66" s="55">
        <v>1007783000</v>
      </c>
      <c r="O66" s="55">
        <v>982633000</v>
      </c>
      <c r="P66" s="55">
        <v>915590000</v>
      </c>
      <c r="Q66" s="55">
        <v>866751000</v>
      </c>
      <c r="R66" s="55">
        <v>834659000</v>
      </c>
      <c r="S66" s="55">
        <v>495502000</v>
      </c>
      <c r="T66" s="55">
        <v>147200000</v>
      </c>
    </row>
    <row r="67" spans="1:20">
      <c r="A67" t="s">
        <v>411</v>
      </c>
      <c r="B67" s="55">
        <v>3668000</v>
      </c>
      <c r="C67" s="55">
        <v>3379000</v>
      </c>
    </row>
    <row r="68" spans="1:20">
      <c r="A68" t="s">
        <v>412</v>
      </c>
      <c r="B68" s="55">
        <v>603623000</v>
      </c>
      <c r="C68" s="55">
        <v>616917000</v>
      </c>
      <c r="D68" s="55">
        <v>712115000</v>
      </c>
      <c r="E68" s="55">
        <v>704674000</v>
      </c>
      <c r="F68" s="55">
        <v>712918000</v>
      </c>
      <c r="G68" s="55">
        <v>796419000</v>
      </c>
      <c r="H68" s="55">
        <v>702229000</v>
      </c>
      <c r="I68" s="55">
        <v>655913000</v>
      </c>
      <c r="J68" s="55">
        <v>659621000</v>
      </c>
      <c r="K68" s="55">
        <v>1458034000</v>
      </c>
      <c r="L68" s="55">
        <v>1148818000</v>
      </c>
      <c r="M68" s="55">
        <v>1073168000</v>
      </c>
      <c r="N68" s="55">
        <v>1007783000</v>
      </c>
      <c r="O68" s="55">
        <v>982633000</v>
      </c>
      <c r="P68" s="55">
        <v>915590000</v>
      </c>
      <c r="Q68" s="55">
        <v>866751000</v>
      </c>
      <c r="R68" s="55">
        <v>834659000</v>
      </c>
      <c r="S68" s="55">
        <v>495502000</v>
      </c>
      <c r="T68" s="55">
        <v>147200000</v>
      </c>
    </row>
    <row r="69" spans="1:20">
      <c r="A69" t="s">
        <v>413</v>
      </c>
      <c r="B69" s="55">
        <v>170432000</v>
      </c>
      <c r="C69" s="55">
        <v>164509000</v>
      </c>
      <c r="D69" s="55">
        <v>112171000</v>
      </c>
      <c r="E69" s="55">
        <v>-15705000</v>
      </c>
      <c r="F69" s="55">
        <v>-66694000</v>
      </c>
      <c r="G69" s="55">
        <v>231850000</v>
      </c>
      <c r="H69" s="55">
        <v>48818000</v>
      </c>
      <c r="I69" s="55">
        <v>-45760000</v>
      </c>
      <c r="J69" s="55">
        <v>59382000</v>
      </c>
      <c r="K69" s="55">
        <v>231019000</v>
      </c>
      <c r="L69" s="55">
        <v>-48766000</v>
      </c>
      <c r="M69" s="55">
        <v>-50373000</v>
      </c>
      <c r="N69" s="55">
        <v>-35788000</v>
      </c>
      <c r="O69" s="55">
        <v>-20447000</v>
      </c>
      <c r="P69" s="55">
        <v>-27059000</v>
      </c>
      <c r="Q69" s="55">
        <v>-91513000</v>
      </c>
      <c r="R69" s="55">
        <v>-63781000</v>
      </c>
      <c r="S69" s="55">
        <v>171038000</v>
      </c>
      <c r="T69" s="55">
        <v>121700000</v>
      </c>
    </row>
    <row r="70" spans="1:20">
      <c r="A70" t="s">
        <v>414</v>
      </c>
      <c r="B70" s="55">
        <v>3366393000</v>
      </c>
      <c r="C70" s="55">
        <v>3328928000</v>
      </c>
      <c r="D70" s="55">
        <v>3181528000</v>
      </c>
      <c r="E70" s="55">
        <v>3315351000</v>
      </c>
      <c r="F70" s="55">
        <v>3380106000</v>
      </c>
      <c r="G70" s="55">
        <v>3642061000</v>
      </c>
      <c r="H70" s="55">
        <v>3680887000</v>
      </c>
      <c r="I70" s="55">
        <v>3670621000</v>
      </c>
      <c r="J70" s="55">
        <v>4355366000</v>
      </c>
      <c r="K70" s="55">
        <v>4229664000</v>
      </c>
      <c r="L70" s="55">
        <v>2280383000</v>
      </c>
      <c r="M70" s="55">
        <v>2238428000</v>
      </c>
      <c r="N70" s="55">
        <v>2152533000</v>
      </c>
      <c r="O70" s="55">
        <v>1934633000</v>
      </c>
      <c r="P70" s="55">
        <v>1771590000</v>
      </c>
      <c r="Q70" s="55">
        <v>1521751000</v>
      </c>
      <c r="R70" s="55">
        <v>969659000</v>
      </c>
      <c r="S70" s="55">
        <v>495502000</v>
      </c>
      <c r="T70" s="55">
        <v>147800000</v>
      </c>
    </row>
    <row r="71" spans="1:20">
      <c r="A71" t="s">
        <v>415</v>
      </c>
      <c r="B71" s="55">
        <v>603623000</v>
      </c>
      <c r="C71" s="55">
        <v>616917000</v>
      </c>
      <c r="D71" s="55">
        <v>712115000</v>
      </c>
      <c r="E71" s="55">
        <v>704674000</v>
      </c>
      <c r="F71" s="55">
        <v>712918000</v>
      </c>
      <c r="G71" s="55">
        <v>796419000</v>
      </c>
      <c r="H71" s="55">
        <v>702229000</v>
      </c>
      <c r="I71" s="55">
        <v>655913000</v>
      </c>
      <c r="J71" s="55">
        <v>659621000</v>
      </c>
      <c r="K71" s="55">
        <v>1458034000</v>
      </c>
      <c r="L71" s="55">
        <v>1148818000</v>
      </c>
      <c r="M71" s="55">
        <v>1073168000</v>
      </c>
      <c r="N71" s="55">
        <v>1007783000</v>
      </c>
      <c r="O71" s="55">
        <v>982633000</v>
      </c>
      <c r="P71" s="55">
        <v>915590000</v>
      </c>
      <c r="Q71" s="55">
        <v>866751000</v>
      </c>
      <c r="R71" s="55">
        <v>834659000</v>
      </c>
      <c r="S71" s="55">
        <v>495502000</v>
      </c>
      <c r="T71" s="55">
        <v>147200000</v>
      </c>
    </row>
    <row r="72" spans="1:20">
      <c r="A72" t="s">
        <v>416</v>
      </c>
      <c r="B72" s="55">
        <v>2687290000</v>
      </c>
      <c r="C72" s="55">
        <v>2636015000</v>
      </c>
      <c r="D72" s="55">
        <v>2395507000</v>
      </c>
      <c r="E72" s="55">
        <v>2534768000</v>
      </c>
      <c r="F72" s="55">
        <v>2585274000</v>
      </c>
      <c r="G72" s="55">
        <v>2762388000</v>
      </c>
      <c r="H72" s="55">
        <v>2891369000</v>
      </c>
      <c r="I72" s="55">
        <v>2926045000</v>
      </c>
      <c r="J72" s="55">
        <v>3605708000</v>
      </c>
      <c r="K72" s="55">
        <v>2680219000</v>
      </c>
      <c r="L72" s="55">
        <v>1131565000</v>
      </c>
      <c r="M72" s="55">
        <v>1165260000</v>
      </c>
      <c r="N72" s="55">
        <v>1144750000</v>
      </c>
      <c r="O72" s="55">
        <v>952000000</v>
      </c>
      <c r="P72" s="55">
        <v>856000000</v>
      </c>
      <c r="Q72" s="55">
        <v>655000000</v>
      </c>
      <c r="R72" s="55">
        <v>135000000</v>
      </c>
      <c r="S72">
        <v>0</v>
      </c>
      <c r="T72" s="55">
        <v>600000</v>
      </c>
    </row>
    <row r="73" spans="1:20">
      <c r="A73" t="s">
        <v>417</v>
      </c>
      <c r="B73" s="55">
        <v>2286852000</v>
      </c>
      <c r="C73" s="55">
        <v>2285824000</v>
      </c>
      <c r="D73" s="55">
        <v>2108049000</v>
      </c>
      <c r="E73" s="55">
        <v>2421425000</v>
      </c>
      <c r="F73" s="55">
        <v>2501116000</v>
      </c>
      <c r="G73" s="55">
        <v>2389149000</v>
      </c>
      <c r="H73" s="55">
        <v>2770045000</v>
      </c>
      <c r="I73" s="55">
        <v>2865588000</v>
      </c>
      <c r="J73" s="55">
        <v>3502126000</v>
      </c>
      <c r="K73" s="55">
        <v>2581635000</v>
      </c>
      <c r="L73" s="55">
        <v>1115540000</v>
      </c>
      <c r="M73" s="55">
        <v>1158677000</v>
      </c>
      <c r="N73" s="55">
        <v>1133723000</v>
      </c>
      <c r="O73" s="55">
        <v>938614000</v>
      </c>
      <c r="P73" s="55">
        <v>849551000</v>
      </c>
      <c r="Q73" s="55">
        <v>654377000</v>
      </c>
      <c r="R73" s="55">
        <v>131787000</v>
      </c>
    </row>
    <row r="74" spans="1:20">
      <c r="A74" t="s">
        <v>418</v>
      </c>
      <c r="B74" s="55">
        <v>177560635</v>
      </c>
      <c r="C74" s="55">
        <v>179483397</v>
      </c>
      <c r="D74" s="55">
        <v>188219605</v>
      </c>
      <c r="E74" s="55">
        <v>192099933</v>
      </c>
      <c r="F74" s="55">
        <v>196031944</v>
      </c>
      <c r="G74" s="55">
        <v>204593912</v>
      </c>
      <c r="H74" s="55">
        <v>204517265</v>
      </c>
      <c r="I74" s="55">
        <v>204788000</v>
      </c>
      <c r="L74" s="55">
        <v>97095432</v>
      </c>
      <c r="M74" s="55">
        <v>93972019</v>
      </c>
      <c r="N74" s="55">
        <v>93527101</v>
      </c>
      <c r="O74" s="55">
        <v>96483723</v>
      </c>
      <c r="P74" s="55">
        <v>95429084</v>
      </c>
      <c r="Q74" s="55">
        <v>95974679</v>
      </c>
      <c r="R74" s="55">
        <v>95715062</v>
      </c>
      <c r="S74" s="55">
        <v>68291000</v>
      </c>
      <c r="T74" s="55">
        <v>44262000</v>
      </c>
    </row>
    <row r="75" spans="1:20">
      <c r="A75" t="s">
        <v>419</v>
      </c>
      <c r="B75" s="55">
        <v>177560635</v>
      </c>
      <c r="C75" s="55">
        <v>179483397</v>
      </c>
      <c r="D75" s="55">
        <v>188219605</v>
      </c>
      <c r="E75" s="55">
        <v>192099933</v>
      </c>
      <c r="F75" s="55">
        <v>195406944</v>
      </c>
      <c r="G75" s="55">
        <v>204593912</v>
      </c>
      <c r="H75" s="55">
        <v>204517265</v>
      </c>
      <c r="I75" s="55">
        <v>204788000</v>
      </c>
      <c r="L75" s="55">
        <v>97095432</v>
      </c>
      <c r="M75" s="55">
        <v>93972019</v>
      </c>
      <c r="N75" s="55">
        <v>93527101</v>
      </c>
      <c r="O75" s="55">
        <v>96483723</v>
      </c>
      <c r="P75" s="55">
        <v>95429084</v>
      </c>
      <c r="Q75" s="55">
        <v>95974679</v>
      </c>
      <c r="R75" s="55">
        <v>95715062</v>
      </c>
      <c r="S75" s="55">
        <v>68291000</v>
      </c>
      <c r="T75" s="55">
        <v>44262000</v>
      </c>
    </row>
    <row r="76" spans="1:20">
      <c r="A76" t="s">
        <v>420</v>
      </c>
      <c r="F76" s="55">
        <v>625000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71511-9D76-4F9E-861A-C90CD6C9E8DE}">
  <dimension ref="A1:V79"/>
  <sheetViews>
    <sheetView workbookViewId="0">
      <selection activeCell="D28" sqref="D28"/>
    </sheetView>
  </sheetViews>
  <sheetFormatPr defaultRowHeight="14.35"/>
  <cols>
    <col min="1" max="1" width="39.87890625" bestFit="1" customWidth="1"/>
    <col min="2" max="6" width="11.29296875" bestFit="1" customWidth="1"/>
    <col min="7" max="7" width="12.8203125" bestFit="1" customWidth="1"/>
    <col min="8" max="10" width="11.29296875" bestFit="1" customWidth="1"/>
    <col min="11" max="11" width="12.8203125" bestFit="1" customWidth="1"/>
    <col min="12" max="12" width="11.29296875" bestFit="1" customWidth="1"/>
    <col min="13" max="13" width="12.8203125" bestFit="1" customWidth="1"/>
    <col min="14" max="15" width="11.29296875" bestFit="1" customWidth="1"/>
    <col min="16" max="16" width="12.17578125" bestFit="1" customWidth="1"/>
    <col min="17" max="21" width="11.29296875" bestFit="1" customWidth="1"/>
    <col min="22" max="22" width="10.703125" bestFit="1" customWidth="1"/>
  </cols>
  <sheetData>
    <row r="1" spans="1:22">
      <c r="A1" t="s">
        <v>297</v>
      </c>
      <c r="B1" t="s">
        <v>298</v>
      </c>
      <c r="C1" s="227">
        <v>44196</v>
      </c>
      <c r="D1" s="227">
        <v>43830</v>
      </c>
      <c r="E1" s="227">
        <v>43465</v>
      </c>
      <c r="F1" s="227">
        <v>43100</v>
      </c>
      <c r="G1" s="227">
        <v>42735</v>
      </c>
      <c r="H1" s="227">
        <v>42369</v>
      </c>
      <c r="I1" s="227">
        <v>42004</v>
      </c>
      <c r="J1" s="227">
        <v>41639</v>
      </c>
      <c r="K1" s="227">
        <v>41274</v>
      </c>
      <c r="L1" s="227">
        <v>40908</v>
      </c>
      <c r="M1" s="227">
        <v>40543</v>
      </c>
      <c r="N1" s="227">
        <v>37986</v>
      </c>
      <c r="O1" s="227">
        <v>37621</v>
      </c>
      <c r="P1" s="227">
        <v>37256</v>
      </c>
      <c r="Q1" s="227">
        <v>36891</v>
      </c>
      <c r="R1" s="227">
        <v>36525</v>
      </c>
      <c r="S1" s="227">
        <v>36160</v>
      </c>
      <c r="T1" s="227">
        <v>35795</v>
      </c>
      <c r="U1" s="227">
        <v>35430</v>
      </c>
      <c r="V1" s="227">
        <v>35064</v>
      </c>
    </row>
    <row r="2" spans="1:22">
      <c r="A2" t="s">
        <v>421</v>
      </c>
      <c r="B2" s="55">
        <v>218751000</v>
      </c>
      <c r="C2" s="55">
        <v>218751000</v>
      </c>
      <c r="D2" s="55">
        <v>399950000</v>
      </c>
      <c r="E2" s="55">
        <v>449850000</v>
      </c>
      <c r="F2" s="55">
        <v>444169000</v>
      </c>
      <c r="G2" s="55">
        <v>418405000</v>
      </c>
      <c r="H2" s="55">
        <v>428889000</v>
      </c>
      <c r="I2" s="55">
        <v>370485000</v>
      </c>
      <c r="J2" s="55">
        <v>311313000</v>
      </c>
      <c r="K2" s="55">
        <v>201110000</v>
      </c>
      <c r="L2" s="55">
        <v>180605000</v>
      </c>
      <c r="M2" s="55">
        <v>122211000</v>
      </c>
      <c r="N2" s="55">
        <v>145784000</v>
      </c>
      <c r="O2" s="55">
        <v>164039000</v>
      </c>
      <c r="P2" s="55">
        <v>176902000</v>
      </c>
      <c r="Q2" s="55">
        <v>169978000</v>
      </c>
      <c r="R2" s="55">
        <v>124059000</v>
      </c>
      <c r="S2" s="55">
        <v>118145000</v>
      </c>
      <c r="T2" s="55">
        <v>50263000</v>
      </c>
      <c r="U2" s="55">
        <v>8712000</v>
      </c>
      <c r="V2" s="55">
        <v>-800000</v>
      </c>
    </row>
    <row r="3" spans="1:22">
      <c r="A3" t="s">
        <v>422</v>
      </c>
      <c r="B3" s="55">
        <v>218751000</v>
      </c>
      <c r="C3" s="55">
        <v>218751000</v>
      </c>
      <c r="D3" s="55">
        <v>399950000</v>
      </c>
      <c r="E3" s="55">
        <v>449850000</v>
      </c>
      <c r="F3" s="55">
        <v>444169000</v>
      </c>
      <c r="G3" s="55">
        <v>418405000</v>
      </c>
      <c r="H3" s="55">
        <v>428889000</v>
      </c>
      <c r="I3" s="55">
        <v>370485000</v>
      </c>
      <c r="J3" s="55">
        <v>311313000</v>
      </c>
      <c r="K3" s="55">
        <v>201110000</v>
      </c>
      <c r="L3" s="55">
        <v>180605000</v>
      </c>
      <c r="M3" s="55">
        <v>122211000</v>
      </c>
      <c r="N3" s="55">
        <v>145784000</v>
      </c>
      <c r="O3" s="55">
        <v>164039000</v>
      </c>
      <c r="P3" s="55">
        <v>176902000</v>
      </c>
      <c r="Q3" s="55">
        <v>169978000</v>
      </c>
      <c r="R3" s="55">
        <v>124059000</v>
      </c>
      <c r="S3" s="55">
        <v>118145000</v>
      </c>
      <c r="T3" s="55">
        <v>50263000</v>
      </c>
      <c r="U3" s="55">
        <v>8712000</v>
      </c>
      <c r="V3" s="55">
        <v>-800000</v>
      </c>
    </row>
    <row r="4" spans="1:22">
      <c r="A4" t="s">
        <v>423</v>
      </c>
      <c r="B4" s="55">
        <v>96256000</v>
      </c>
      <c r="C4" s="55">
        <v>96256000</v>
      </c>
      <c r="D4" s="55">
        <v>165138000</v>
      </c>
      <c r="E4" s="55">
        <v>211756000</v>
      </c>
      <c r="F4" s="55">
        <v>172188000</v>
      </c>
      <c r="G4" s="55">
        <v>163352000</v>
      </c>
      <c r="H4" s="55">
        <v>283022000</v>
      </c>
      <c r="I4" s="55">
        <v>150554000</v>
      </c>
      <c r="J4" s="55">
        <v>82656000</v>
      </c>
      <c r="K4" s="55">
        <v>22281000</v>
      </c>
      <c r="L4" s="55">
        <v>46635000</v>
      </c>
      <c r="M4" s="55">
        <v>3284770000</v>
      </c>
      <c r="N4" s="55">
        <v>40356000</v>
      </c>
      <c r="O4" s="55">
        <v>57105000</v>
      </c>
      <c r="P4" s="55">
        <v>63356000</v>
      </c>
      <c r="Q4" s="55">
        <v>70017000</v>
      </c>
      <c r="R4" s="55">
        <v>47225000</v>
      </c>
      <c r="S4" s="55">
        <v>28038000</v>
      </c>
      <c r="T4" s="55">
        <v>2636000</v>
      </c>
      <c r="U4" s="55">
        <v>3436000</v>
      </c>
      <c r="V4" s="55">
        <v>-1300000</v>
      </c>
    </row>
    <row r="5" spans="1:22">
      <c r="A5" t="s">
        <v>424</v>
      </c>
      <c r="B5" s="55">
        <v>-43605000</v>
      </c>
      <c r="C5" s="55">
        <v>-43605000</v>
      </c>
      <c r="D5" s="55">
        <v>6765000</v>
      </c>
      <c r="E5" s="55">
        <v>-37439000</v>
      </c>
      <c r="F5" s="55">
        <v>-1413000</v>
      </c>
      <c r="G5" s="55">
        <v>9164000</v>
      </c>
      <c r="H5" s="55">
        <v>-118863000</v>
      </c>
      <c r="I5" s="55">
        <v>6043000</v>
      </c>
      <c r="J5" s="55">
        <v>3493000</v>
      </c>
      <c r="K5" s="55">
        <v>3499000</v>
      </c>
      <c r="L5" s="55">
        <v>2196000</v>
      </c>
      <c r="M5" s="55">
        <v>-3425387000</v>
      </c>
      <c r="V5" s="55">
        <v>300000</v>
      </c>
    </row>
    <row r="6" spans="1:22">
      <c r="A6" t="s">
        <v>425</v>
      </c>
      <c r="B6" s="55">
        <v>9001000</v>
      </c>
      <c r="C6" s="55">
        <v>9001000</v>
      </c>
      <c r="D6" s="55">
        <v>6072000</v>
      </c>
      <c r="E6" s="55">
        <v>3413000</v>
      </c>
      <c r="F6" s="55">
        <v>8606000</v>
      </c>
      <c r="G6" s="55">
        <v>10740000</v>
      </c>
      <c r="H6" s="55">
        <v>9299000</v>
      </c>
      <c r="I6" s="55">
        <v>3144000</v>
      </c>
      <c r="J6" s="55">
        <v>3493000</v>
      </c>
      <c r="K6" s="55">
        <v>3499000</v>
      </c>
      <c r="L6" s="55">
        <v>643000</v>
      </c>
      <c r="M6" s="55">
        <v>5141000</v>
      </c>
    </row>
    <row r="7" spans="1:22">
      <c r="A7" t="s">
        <v>426</v>
      </c>
      <c r="B7" s="55">
        <v>-81000</v>
      </c>
      <c r="C7" s="55">
        <v>-81000</v>
      </c>
      <c r="D7" s="55">
        <v>-391000</v>
      </c>
      <c r="E7" s="55">
        <v>443000</v>
      </c>
      <c r="F7" s="55">
        <v>-713000</v>
      </c>
      <c r="G7" s="55">
        <v>-1576000</v>
      </c>
      <c r="H7" s="55">
        <v>2732000</v>
      </c>
      <c r="I7" s="55">
        <v>3763000</v>
      </c>
    </row>
    <row r="8" spans="1:22">
      <c r="A8" t="s">
        <v>427</v>
      </c>
      <c r="B8" s="55">
        <v>-52525000</v>
      </c>
      <c r="C8" s="55">
        <v>-52525000</v>
      </c>
      <c r="E8" s="55">
        <v>-42478000</v>
      </c>
      <c r="F8" s="55">
        <v>-9306000</v>
      </c>
      <c r="H8" s="55">
        <v>-130894000</v>
      </c>
      <c r="I8" s="55">
        <v>-864000</v>
      </c>
      <c r="L8" s="55">
        <v>1553000</v>
      </c>
    </row>
    <row r="9" spans="1:22">
      <c r="A9" t="s">
        <v>428</v>
      </c>
      <c r="B9" s="55">
        <v>206013000</v>
      </c>
      <c r="C9" s="55">
        <v>206013000</v>
      </c>
      <c r="D9" s="55">
        <v>197400000</v>
      </c>
      <c r="E9" s="55">
        <v>209329000</v>
      </c>
      <c r="F9" s="55">
        <v>229216000</v>
      </c>
      <c r="G9" s="55">
        <v>221309000</v>
      </c>
      <c r="H9" s="55">
        <v>203897000</v>
      </c>
      <c r="I9" s="55">
        <v>187207000</v>
      </c>
      <c r="J9" s="55">
        <v>168053000</v>
      </c>
      <c r="K9" s="55">
        <v>129938000</v>
      </c>
      <c r="L9" s="55">
        <v>120438000</v>
      </c>
      <c r="M9" s="55">
        <v>317589000</v>
      </c>
      <c r="N9" s="55">
        <v>80433000</v>
      </c>
      <c r="O9" s="55">
        <v>78815000</v>
      </c>
      <c r="P9" s="55">
        <v>72141000</v>
      </c>
      <c r="Q9" s="55">
        <v>66269000</v>
      </c>
      <c r="R9" s="55">
        <v>60198000</v>
      </c>
      <c r="S9" s="55">
        <v>42293000</v>
      </c>
      <c r="T9" s="55">
        <v>21331000</v>
      </c>
      <c r="U9" s="55">
        <v>2803000</v>
      </c>
      <c r="V9" s="55">
        <v>-100000</v>
      </c>
    </row>
    <row r="10" spans="1:22">
      <c r="A10" t="s">
        <v>429</v>
      </c>
      <c r="B10" s="55">
        <v>206013000</v>
      </c>
      <c r="C10" s="55">
        <v>206013000</v>
      </c>
      <c r="D10" s="55">
        <v>197400000</v>
      </c>
      <c r="E10" s="55">
        <v>209329000</v>
      </c>
      <c r="F10" s="55">
        <v>229216000</v>
      </c>
      <c r="G10" s="55">
        <v>221309000</v>
      </c>
      <c r="H10" s="55">
        <v>203897000</v>
      </c>
      <c r="I10" s="55">
        <v>187207000</v>
      </c>
      <c r="J10" s="55">
        <v>168053000</v>
      </c>
      <c r="K10" s="55">
        <v>129938000</v>
      </c>
      <c r="L10" s="55">
        <v>120438000</v>
      </c>
      <c r="M10" s="55">
        <v>317589000</v>
      </c>
      <c r="N10" s="55">
        <v>80433000</v>
      </c>
      <c r="O10" s="55">
        <v>78815000</v>
      </c>
      <c r="P10" s="55">
        <v>72141000</v>
      </c>
      <c r="Q10" s="55">
        <v>66269000</v>
      </c>
      <c r="R10" s="55">
        <v>60198000</v>
      </c>
      <c r="S10" s="55">
        <v>42293000</v>
      </c>
      <c r="T10" s="55">
        <v>21331000</v>
      </c>
      <c r="U10" s="55">
        <v>2803000</v>
      </c>
      <c r="V10" s="55">
        <v>-100000</v>
      </c>
    </row>
    <row r="11" spans="1:22">
      <c r="A11" t="s">
        <v>430</v>
      </c>
      <c r="F11" s="55">
        <v>227876000</v>
      </c>
      <c r="G11" s="55">
        <v>219969000</v>
      </c>
      <c r="H11" s="55">
        <v>202531000</v>
      </c>
      <c r="I11" s="55">
        <v>185833000</v>
      </c>
      <c r="J11" s="55">
        <v>166679000</v>
      </c>
      <c r="K11" s="55">
        <v>128564000</v>
      </c>
      <c r="L11" s="55">
        <v>119064000</v>
      </c>
      <c r="M11" s="55">
        <v>316403000</v>
      </c>
      <c r="V11" s="55">
        <v>-100000</v>
      </c>
    </row>
    <row r="12" spans="1:22">
      <c r="A12" t="s">
        <v>525</v>
      </c>
      <c r="F12" s="55">
        <v>1340000</v>
      </c>
      <c r="G12" s="55">
        <v>1340000</v>
      </c>
      <c r="H12" s="55">
        <v>1366000</v>
      </c>
      <c r="I12" s="55">
        <v>1374000</v>
      </c>
      <c r="J12" s="55">
        <v>1374000</v>
      </c>
      <c r="K12" s="55">
        <v>1374000</v>
      </c>
      <c r="L12" s="55">
        <v>1374000</v>
      </c>
      <c r="M12" s="55">
        <v>1186000</v>
      </c>
    </row>
    <row r="13" spans="1:22">
      <c r="A13" t="s">
        <v>526</v>
      </c>
      <c r="F13" s="55">
        <v>1340000</v>
      </c>
      <c r="G13" s="55">
        <v>1340000</v>
      </c>
      <c r="H13" s="55">
        <v>1366000</v>
      </c>
      <c r="I13" s="55">
        <v>1374000</v>
      </c>
      <c r="J13" s="55">
        <v>1374000</v>
      </c>
      <c r="K13" s="55">
        <v>1374000</v>
      </c>
      <c r="L13" s="55">
        <v>1374000</v>
      </c>
      <c r="M13" s="55">
        <v>1186000</v>
      </c>
    </row>
    <row r="14" spans="1:22">
      <c r="A14" t="s">
        <v>431</v>
      </c>
      <c r="B14" s="55">
        <v>27580000</v>
      </c>
      <c r="C14" s="55">
        <v>27580000</v>
      </c>
      <c r="D14" s="55">
        <v>-8116000</v>
      </c>
      <c r="E14" s="55">
        <v>1019000</v>
      </c>
      <c r="F14" s="55">
        <v>963000</v>
      </c>
      <c r="G14" s="55">
        <v>-25975000</v>
      </c>
      <c r="H14" s="55">
        <v>8709000</v>
      </c>
      <c r="I14" s="55">
        <v>-520000</v>
      </c>
      <c r="J14" s="55">
        <v>-11554000</v>
      </c>
      <c r="K14" s="55">
        <v>2387000</v>
      </c>
      <c r="L14" s="55">
        <v>-2499000</v>
      </c>
      <c r="M14" s="55">
        <v>-123057000</v>
      </c>
      <c r="N14" s="55">
        <v>19902000</v>
      </c>
      <c r="O14" s="55">
        <v>20963000</v>
      </c>
      <c r="P14" s="55">
        <v>23426000</v>
      </c>
      <c r="Q14" s="55">
        <v>27623000</v>
      </c>
      <c r="R14" s="55">
        <v>19359000</v>
      </c>
      <c r="S14" s="55">
        <v>8051000</v>
      </c>
      <c r="T14" s="55">
        <v>5832000</v>
      </c>
      <c r="U14" s="55">
        <v>1470000</v>
      </c>
    </row>
    <row r="15" spans="1:22">
      <c r="A15" t="s">
        <v>432</v>
      </c>
      <c r="B15" s="55">
        <v>27580000</v>
      </c>
      <c r="C15" s="55">
        <v>27580000</v>
      </c>
      <c r="D15" s="55">
        <v>-8116000</v>
      </c>
      <c r="E15" s="55">
        <v>1019000</v>
      </c>
      <c r="F15" s="55">
        <v>963000</v>
      </c>
      <c r="G15" s="55">
        <v>-25975000</v>
      </c>
      <c r="H15" s="55">
        <v>8709000</v>
      </c>
      <c r="I15" s="55">
        <v>-520000</v>
      </c>
      <c r="J15" s="55">
        <v>-11554000</v>
      </c>
      <c r="K15" s="55">
        <v>2387000</v>
      </c>
      <c r="L15" s="55">
        <v>-2499000</v>
      </c>
      <c r="M15" s="55">
        <v>-123057000</v>
      </c>
      <c r="N15" s="55">
        <v>19902000</v>
      </c>
      <c r="O15" s="55">
        <v>20963000</v>
      </c>
      <c r="P15" s="55">
        <v>23426000</v>
      </c>
      <c r="Q15" s="55">
        <v>27623000</v>
      </c>
      <c r="R15" s="55">
        <v>19359000</v>
      </c>
      <c r="S15" s="55">
        <v>8051000</v>
      </c>
      <c r="T15" s="55">
        <v>5832000</v>
      </c>
      <c r="U15" s="55">
        <v>1470000</v>
      </c>
    </row>
    <row r="16" spans="1:22">
      <c r="A16" t="s">
        <v>527</v>
      </c>
      <c r="D16">
        <v>0</v>
      </c>
      <c r="E16" s="55">
        <v>-1427000</v>
      </c>
      <c r="F16" s="55">
        <v>-136000</v>
      </c>
      <c r="G16" s="55">
        <v>-136000</v>
      </c>
      <c r="H16" s="55">
        <v>-136000</v>
      </c>
      <c r="I16" s="55">
        <v>-136000</v>
      </c>
      <c r="J16" s="55">
        <v>-136000</v>
      </c>
      <c r="K16" s="55">
        <v>-136000</v>
      </c>
      <c r="L16" s="55">
        <v>-111000</v>
      </c>
      <c r="M16" s="55">
        <v>-16000</v>
      </c>
    </row>
    <row r="17" spans="1:22">
      <c r="A17" t="s">
        <v>433</v>
      </c>
      <c r="B17" s="55">
        <v>1095000</v>
      </c>
      <c r="C17" s="55">
        <v>1095000</v>
      </c>
      <c r="D17" s="55">
        <v>2679000</v>
      </c>
      <c r="E17" s="55">
        <v>43600000</v>
      </c>
      <c r="F17" s="55">
        <v>25169000</v>
      </c>
      <c r="G17" s="55">
        <v>9828000</v>
      </c>
      <c r="H17" s="55">
        <v>9011000</v>
      </c>
      <c r="I17" s="55">
        <v>2300000</v>
      </c>
      <c r="J17" s="55">
        <v>3330000</v>
      </c>
      <c r="K17" s="55">
        <v>1420000</v>
      </c>
      <c r="L17">
        <v>0</v>
      </c>
      <c r="M17" s="55">
        <v>44605000</v>
      </c>
    </row>
    <row r="18" spans="1:22">
      <c r="A18" t="s">
        <v>434</v>
      </c>
      <c r="B18" s="55">
        <v>6510000</v>
      </c>
      <c r="C18" s="55">
        <v>6510000</v>
      </c>
      <c r="D18" s="55">
        <v>6913000</v>
      </c>
      <c r="E18" s="55">
        <v>8318000</v>
      </c>
      <c r="F18" s="55">
        <v>7552000</v>
      </c>
      <c r="G18" s="55">
        <v>12000000</v>
      </c>
      <c r="H18" s="55">
        <v>10500000</v>
      </c>
      <c r="I18" s="55">
        <v>8803000</v>
      </c>
      <c r="J18" s="55">
        <v>20168000</v>
      </c>
      <c r="K18" s="55">
        <v>6428000</v>
      </c>
      <c r="L18" s="55">
        <v>4730000</v>
      </c>
      <c r="M18" s="55">
        <v>290000</v>
      </c>
    </row>
    <row r="19" spans="1:22">
      <c r="A19" t="s">
        <v>435</v>
      </c>
      <c r="B19" s="55">
        <v>8237000</v>
      </c>
      <c r="C19" s="55">
        <v>8237000</v>
      </c>
      <c r="D19" s="55">
        <v>13687000</v>
      </c>
      <c r="E19" s="55">
        <v>8614000</v>
      </c>
      <c r="F19" s="55">
        <v>8097000</v>
      </c>
      <c r="G19" s="55">
        <v>31116000</v>
      </c>
      <c r="H19" s="55">
        <v>12608000</v>
      </c>
      <c r="I19" s="55">
        <v>19597000</v>
      </c>
      <c r="J19" s="55">
        <v>24191000</v>
      </c>
      <c r="K19" s="55">
        <v>45365000</v>
      </c>
      <c r="L19" s="55">
        <v>10428000</v>
      </c>
      <c r="M19" s="55">
        <v>-3450981000</v>
      </c>
      <c r="N19" s="55">
        <v>4618000</v>
      </c>
      <c r="O19" s="55">
        <v>4201000</v>
      </c>
      <c r="P19" s="55">
        <v>7321000</v>
      </c>
      <c r="Q19" s="55">
        <v>4825000</v>
      </c>
      <c r="R19" s="55">
        <v>4638000</v>
      </c>
      <c r="S19" s="55">
        <v>17483000</v>
      </c>
      <c r="T19" s="55">
        <v>13506000</v>
      </c>
      <c r="U19" s="55">
        <v>1475000</v>
      </c>
      <c r="V19" s="55">
        <v>100000</v>
      </c>
    </row>
    <row r="20" spans="1:22">
      <c r="A20" t="s">
        <v>436</v>
      </c>
      <c r="B20" s="55">
        <v>-83335000</v>
      </c>
      <c r="C20" s="55">
        <v>-83335000</v>
      </c>
      <c r="D20" s="55">
        <v>15484000</v>
      </c>
      <c r="E20" s="55">
        <v>6080000</v>
      </c>
      <c r="F20" s="55">
        <v>2533000</v>
      </c>
      <c r="G20" s="55">
        <v>-2253000</v>
      </c>
      <c r="H20" s="55">
        <v>20141000</v>
      </c>
      <c r="I20" s="55">
        <v>-3363000</v>
      </c>
      <c r="J20" s="55">
        <v>21112000</v>
      </c>
      <c r="K20" s="55">
        <v>-10072000</v>
      </c>
      <c r="L20" s="55">
        <v>-1212000</v>
      </c>
      <c r="M20" s="55">
        <v>43870000</v>
      </c>
      <c r="N20" s="55">
        <v>475000</v>
      </c>
      <c r="O20" s="55">
        <v>2955000</v>
      </c>
      <c r="P20" s="55">
        <v>10658000</v>
      </c>
      <c r="Q20" s="55">
        <v>1244000</v>
      </c>
      <c r="R20" s="55">
        <v>-7361000</v>
      </c>
      <c r="S20" s="55">
        <v>22280000</v>
      </c>
      <c r="T20" s="55">
        <v>6958000</v>
      </c>
      <c r="U20" s="55">
        <v>-472000</v>
      </c>
      <c r="V20" s="55">
        <v>200000</v>
      </c>
    </row>
    <row r="21" spans="1:22">
      <c r="A21" t="s">
        <v>437</v>
      </c>
      <c r="B21" s="55">
        <v>311000</v>
      </c>
      <c r="C21" s="55">
        <v>311000</v>
      </c>
      <c r="D21" s="55">
        <v>5749000</v>
      </c>
      <c r="E21" s="55">
        <v>2244000</v>
      </c>
      <c r="F21" s="55">
        <v>-895000</v>
      </c>
      <c r="G21" s="55">
        <v>-2655000</v>
      </c>
      <c r="H21" s="55">
        <v>8306000</v>
      </c>
      <c r="I21" s="55">
        <v>-5040000</v>
      </c>
      <c r="J21" s="55">
        <v>-2909000</v>
      </c>
      <c r="K21" s="55">
        <v>-2879000</v>
      </c>
      <c r="L21" s="55">
        <v>-1901000</v>
      </c>
      <c r="M21" s="55">
        <v>-515000</v>
      </c>
      <c r="N21" s="55">
        <v>182000</v>
      </c>
      <c r="O21" s="55">
        <v>389000</v>
      </c>
      <c r="P21" s="55">
        <v>2767000</v>
      </c>
      <c r="Q21" s="55">
        <v>-3058000</v>
      </c>
      <c r="R21" s="55">
        <v>-147000</v>
      </c>
      <c r="S21" s="55">
        <v>-2795000</v>
      </c>
      <c r="T21" s="55">
        <v>-2609000</v>
      </c>
      <c r="U21" s="55">
        <v>-737000</v>
      </c>
    </row>
    <row r="22" spans="1:22">
      <c r="A22" t="s">
        <v>528</v>
      </c>
      <c r="B22" s="55">
        <v>311000</v>
      </c>
      <c r="C22" s="55">
        <v>311000</v>
      </c>
      <c r="D22" s="55">
        <v>5749000</v>
      </c>
      <c r="E22" s="55">
        <v>2244000</v>
      </c>
      <c r="F22" s="55">
        <v>-895000</v>
      </c>
      <c r="G22" s="55">
        <v>-2655000</v>
      </c>
      <c r="H22" s="55">
        <v>8306000</v>
      </c>
      <c r="I22" s="55">
        <v>-5040000</v>
      </c>
      <c r="J22" s="55">
        <v>-2909000</v>
      </c>
      <c r="K22" s="55">
        <v>-2879000</v>
      </c>
      <c r="L22" s="55">
        <v>-1901000</v>
      </c>
      <c r="M22" s="55">
        <v>-515000</v>
      </c>
    </row>
    <row r="23" spans="1:22">
      <c r="A23" t="s">
        <v>438</v>
      </c>
      <c r="V23" s="55">
        <v>-100000</v>
      </c>
    </row>
    <row r="24" spans="1:22">
      <c r="A24" t="s">
        <v>439</v>
      </c>
      <c r="N24" s="55">
        <v>-4159000</v>
      </c>
      <c r="O24" s="55">
        <v>-2146000</v>
      </c>
      <c r="P24" s="55">
        <v>-7166000</v>
      </c>
      <c r="Q24" s="55">
        <v>-5665000</v>
      </c>
      <c r="R24" s="55">
        <v>-1066000</v>
      </c>
      <c r="S24" s="55">
        <v>2775000</v>
      </c>
      <c r="T24" s="55">
        <v>-3073000</v>
      </c>
      <c r="U24" s="55">
        <v>-480000</v>
      </c>
    </row>
    <row r="25" spans="1:22">
      <c r="A25" t="s">
        <v>440</v>
      </c>
      <c r="B25" s="55">
        <v>-9607000</v>
      </c>
      <c r="C25" s="55">
        <v>-9607000</v>
      </c>
      <c r="D25" s="55">
        <v>8996000</v>
      </c>
      <c r="E25" s="55">
        <v>14050000</v>
      </c>
      <c r="F25" s="55">
        <v>7034000</v>
      </c>
      <c r="G25" s="55">
        <v>-1427000</v>
      </c>
      <c r="H25" s="55">
        <v>14590000</v>
      </c>
      <c r="I25" s="55">
        <v>2498000</v>
      </c>
      <c r="J25" s="55">
        <v>26485000</v>
      </c>
      <c r="K25" s="55">
        <v>-2095000</v>
      </c>
      <c r="L25" s="55">
        <v>-36000</v>
      </c>
      <c r="M25" s="55">
        <v>26989000</v>
      </c>
      <c r="N25" s="55">
        <v>-1157000</v>
      </c>
      <c r="O25" s="55">
        <v>-3880000</v>
      </c>
      <c r="P25" s="55">
        <v>7120000</v>
      </c>
      <c r="Q25" s="55">
        <v>11842000</v>
      </c>
      <c r="R25" s="55">
        <v>-4097000</v>
      </c>
      <c r="S25" s="55">
        <v>9971000</v>
      </c>
      <c r="T25" s="55">
        <v>13594000</v>
      </c>
      <c r="U25" s="55">
        <v>3342000</v>
      </c>
      <c r="V25" s="55">
        <v>100000</v>
      </c>
    </row>
    <row r="26" spans="1:22">
      <c r="A26" t="s">
        <v>441</v>
      </c>
      <c r="B26" s="55">
        <v>8833000</v>
      </c>
      <c r="D26" s="55">
        <v>8996000</v>
      </c>
      <c r="E26" s="55">
        <v>14050000</v>
      </c>
      <c r="F26" s="55">
        <v>7034000</v>
      </c>
      <c r="G26" s="55">
        <v>-1427000</v>
      </c>
      <c r="H26" s="55">
        <v>14590000</v>
      </c>
      <c r="I26" s="55">
        <v>2498000</v>
      </c>
      <c r="J26" s="55">
        <v>26485000</v>
      </c>
      <c r="K26" s="55">
        <v>-2095000</v>
      </c>
      <c r="L26" s="55">
        <v>-36000</v>
      </c>
      <c r="M26" s="55">
        <v>19452000</v>
      </c>
      <c r="N26" s="55">
        <v>747000</v>
      </c>
      <c r="O26" s="55">
        <v>-3375000</v>
      </c>
      <c r="P26" s="55">
        <v>621000</v>
      </c>
      <c r="Q26" s="55">
        <v>1127000</v>
      </c>
      <c r="R26" s="55">
        <v>-6273000</v>
      </c>
      <c r="S26" s="55">
        <v>-982000</v>
      </c>
      <c r="T26" s="55">
        <v>7542000</v>
      </c>
      <c r="U26" s="55">
        <v>478000</v>
      </c>
      <c r="V26" s="55">
        <v>100000</v>
      </c>
    </row>
    <row r="27" spans="1:22">
      <c r="A27" t="s">
        <v>529</v>
      </c>
      <c r="N27" s="55">
        <v>3210000</v>
      </c>
      <c r="O27" s="55">
        <v>5051000</v>
      </c>
      <c r="P27" s="55">
        <v>5416000</v>
      </c>
      <c r="Q27" s="55">
        <v>-1406000</v>
      </c>
      <c r="R27" s="55">
        <v>-3264000</v>
      </c>
      <c r="S27" s="55">
        <v>7079000</v>
      </c>
    </row>
    <row r="28" spans="1:22">
      <c r="A28" t="s">
        <v>530</v>
      </c>
      <c r="N28" s="55">
        <v>3210000</v>
      </c>
      <c r="O28" s="55">
        <v>5051000</v>
      </c>
      <c r="P28" s="55">
        <v>5416000</v>
      </c>
      <c r="Q28" s="55">
        <v>-1406000</v>
      </c>
      <c r="R28" s="55">
        <v>-3264000</v>
      </c>
      <c r="S28" s="55">
        <v>7079000</v>
      </c>
    </row>
    <row r="29" spans="1:22">
      <c r="A29" t="s">
        <v>442</v>
      </c>
      <c r="B29" s="55">
        <v>8833000</v>
      </c>
      <c r="D29" s="55">
        <v>8996000</v>
      </c>
      <c r="E29" s="55">
        <v>14050000</v>
      </c>
      <c r="F29" s="55">
        <v>7034000</v>
      </c>
      <c r="G29" s="55">
        <v>-1427000</v>
      </c>
      <c r="H29" s="55">
        <v>14590000</v>
      </c>
      <c r="I29" s="55">
        <v>2498000</v>
      </c>
      <c r="J29" s="55">
        <v>26485000</v>
      </c>
      <c r="K29" s="55">
        <v>-2095000</v>
      </c>
      <c r="L29" s="55">
        <v>-36000</v>
      </c>
      <c r="M29" s="55">
        <v>19452000</v>
      </c>
      <c r="V29" s="55">
        <v>100000</v>
      </c>
    </row>
    <row r="30" spans="1:22">
      <c r="A30" t="s">
        <v>531</v>
      </c>
      <c r="K30">
        <v>0</v>
      </c>
      <c r="M30" s="55">
        <v>7537000</v>
      </c>
      <c r="N30" s="55">
        <v>-1904000</v>
      </c>
      <c r="O30" s="55">
        <v>-505000</v>
      </c>
      <c r="P30" s="55">
        <v>6499000</v>
      </c>
      <c r="Q30" s="55">
        <v>10715000</v>
      </c>
      <c r="R30" s="55">
        <v>2176000</v>
      </c>
      <c r="S30" s="55">
        <v>10953000</v>
      </c>
      <c r="T30" s="55">
        <v>6052000</v>
      </c>
      <c r="U30" s="55">
        <v>2864000</v>
      </c>
    </row>
    <row r="31" spans="1:22">
      <c r="A31" t="s">
        <v>532</v>
      </c>
      <c r="N31" s="55">
        <v>86000</v>
      </c>
      <c r="O31" s="55">
        <v>-287000</v>
      </c>
      <c r="P31" s="55">
        <v>421000</v>
      </c>
      <c r="Q31" s="55">
        <v>-469000</v>
      </c>
      <c r="R31" s="55">
        <v>49000</v>
      </c>
      <c r="S31" s="55">
        <v>6653000</v>
      </c>
    </row>
    <row r="32" spans="1:22">
      <c r="A32" t="s">
        <v>443</v>
      </c>
      <c r="B32" s="55">
        <v>-74039000</v>
      </c>
      <c r="C32" s="55">
        <v>-74039000</v>
      </c>
      <c r="D32" s="55">
        <v>739000</v>
      </c>
      <c r="E32" s="55">
        <v>-10214000</v>
      </c>
      <c r="F32" s="55">
        <v>-3606000</v>
      </c>
      <c r="G32" s="55">
        <v>1829000</v>
      </c>
      <c r="H32" s="55">
        <v>-2755000</v>
      </c>
      <c r="I32" s="55">
        <v>-821000</v>
      </c>
      <c r="J32" s="55">
        <v>-2464000</v>
      </c>
      <c r="K32" s="55">
        <v>-5098000</v>
      </c>
      <c r="L32" s="55">
        <v>725000</v>
      </c>
      <c r="M32" s="55">
        <v>17396000</v>
      </c>
      <c r="N32" s="55">
        <v>2313000</v>
      </c>
      <c r="O32" s="55">
        <v>3828000</v>
      </c>
      <c r="P32" s="55">
        <v>2100000</v>
      </c>
      <c r="Q32">
        <v>0</v>
      </c>
      <c r="R32" s="55">
        <v>1164000</v>
      </c>
      <c r="S32" s="55">
        <v>-1403000</v>
      </c>
      <c r="T32" s="55">
        <v>-954000</v>
      </c>
      <c r="U32" s="55">
        <v>-310000</v>
      </c>
      <c r="V32" s="55">
        <v>-300000</v>
      </c>
    </row>
    <row r="33" spans="1:22">
      <c r="A33" t="s">
        <v>444</v>
      </c>
      <c r="K33">
        <v>0</v>
      </c>
      <c r="M33" s="55">
        <v>7537000</v>
      </c>
      <c r="V33" s="55">
        <v>500000</v>
      </c>
    </row>
    <row r="34" spans="1:22">
      <c r="A34" t="s">
        <v>445</v>
      </c>
      <c r="B34" s="55">
        <v>-14687000</v>
      </c>
      <c r="D34" s="55">
        <v>739000</v>
      </c>
      <c r="E34" s="55">
        <v>-10214000</v>
      </c>
      <c r="F34" s="55">
        <v>-3606000</v>
      </c>
      <c r="G34" s="55">
        <v>1829000</v>
      </c>
      <c r="H34" s="55">
        <v>-2755000</v>
      </c>
      <c r="I34" s="55">
        <v>-821000</v>
      </c>
      <c r="J34" s="55">
        <v>-2464000</v>
      </c>
      <c r="K34" s="55">
        <v>-5098000</v>
      </c>
      <c r="L34" s="55">
        <v>725000</v>
      </c>
      <c r="M34" s="55">
        <v>17396000</v>
      </c>
      <c r="N34" s="55">
        <v>3296000</v>
      </c>
      <c r="O34" s="55">
        <v>4764000</v>
      </c>
      <c r="P34" s="55">
        <v>5837000</v>
      </c>
      <c r="Q34" s="55">
        <v>-1875000</v>
      </c>
      <c r="R34" s="55">
        <v>-3215000</v>
      </c>
      <c r="S34" s="55">
        <v>13732000</v>
      </c>
      <c r="U34" s="55">
        <v>-2287000</v>
      </c>
    </row>
    <row r="35" spans="1:22">
      <c r="A35" t="s">
        <v>446</v>
      </c>
      <c r="B35" s="55">
        <v>-127769000</v>
      </c>
      <c r="C35" s="55">
        <v>-127769000</v>
      </c>
      <c r="D35" s="55">
        <v>-259809000</v>
      </c>
      <c r="E35" s="55">
        <v>106276000</v>
      </c>
      <c r="F35" s="55">
        <v>-115157000</v>
      </c>
      <c r="G35" s="55">
        <v>-159464000</v>
      </c>
      <c r="H35" s="55">
        <v>66289000</v>
      </c>
      <c r="I35" s="55">
        <v>-182243000</v>
      </c>
      <c r="J35" s="55">
        <v>-165259000</v>
      </c>
      <c r="K35" s="55">
        <v>-223842000</v>
      </c>
      <c r="L35" s="55">
        <v>-43389000</v>
      </c>
      <c r="M35" s="55">
        <v>-3961758000</v>
      </c>
      <c r="N35" s="55">
        <v>-127405000</v>
      </c>
      <c r="O35" s="55">
        <v>-193430000</v>
      </c>
      <c r="P35" s="55">
        <v>-311950000</v>
      </c>
      <c r="Q35" s="55">
        <v>-248648000</v>
      </c>
      <c r="R35" s="55">
        <v>-320095000</v>
      </c>
      <c r="S35" s="55">
        <v>-630027000</v>
      </c>
      <c r="T35" s="55">
        <v>-609064000</v>
      </c>
      <c r="U35" s="55">
        <v>-226694000</v>
      </c>
      <c r="V35" s="55">
        <v>-18000000</v>
      </c>
    </row>
    <row r="36" spans="1:22">
      <c r="A36" t="s">
        <v>447</v>
      </c>
      <c r="B36" s="55">
        <v>-127769000</v>
      </c>
      <c r="C36" s="55">
        <v>-127769000</v>
      </c>
      <c r="D36" s="55">
        <v>-259809000</v>
      </c>
      <c r="E36" s="55">
        <v>106276000</v>
      </c>
      <c r="F36" s="55">
        <v>-115157000</v>
      </c>
      <c r="G36" s="55">
        <v>-159464000</v>
      </c>
      <c r="H36" s="55">
        <v>66289000</v>
      </c>
      <c r="I36" s="55">
        <v>-182243000</v>
      </c>
      <c r="J36" s="55">
        <v>-165259000</v>
      </c>
      <c r="K36" s="55">
        <v>-223842000</v>
      </c>
      <c r="L36" s="55">
        <v>-43389000</v>
      </c>
      <c r="M36" s="55">
        <v>-3961758000</v>
      </c>
      <c r="N36" s="55">
        <v>-127405000</v>
      </c>
      <c r="O36" s="55">
        <v>-193430000</v>
      </c>
      <c r="P36" s="55">
        <v>-311950000</v>
      </c>
      <c r="Q36" s="55">
        <v>-248648000</v>
      </c>
      <c r="R36" s="55">
        <v>-320095000</v>
      </c>
      <c r="S36" s="55">
        <v>-630027000</v>
      </c>
      <c r="T36" s="55">
        <v>-609064000</v>
      </c>
      <c r="U36" s="55">
        <v>-226694000</v>
      </c>
      <c r="V36" s="55">
        <v>-18000000</v>
      </c>
    </row>
    <row r="37" spans="1:22">
      <c r="A37" t="s">
        <v>448</v>
      </c>
      <c r="B37" s="55">
        <v>-190422000</v>
      </c>
      <c r="C37" s="55">
        <v>-190422000</v>
      </c>
      <c r="D37" s="55">
        <v>-252170000</v>
      </c>
      <c r="E37" s="55">
        <v>-206228000</v>
      </c>
      <c r="F37" s="55">
        <v>-166378000</v>
      </c>
      <c r="G37" s="55">
        <v>-225323000</v>
      </c>
      <c r="H37" s="55">
        <v>-204717000</v>
      </c>
      <c r="I37" s="55">
        <v>-173239000</v>
      </c>
      <c r="J37" s="55">
        <v>-188908000</v>
      </c>
      <c r="K37" s="55">
        <v>-399763000</v>
      </c>
      <c r="L37" s="55">
        <v>-106064000</v>
      </c>
      <c r="M37" s="55">
        <v>-3702812000</v>
      </c>
      <c r="N37" s="55">
        <v>-127450000</v>
      </c>
      <c r="O37" s="55">
        <v>-193341000</v>
      </c>
      <c r="P37" s="55">
        <v>-311888000</v>
      </c>
      <c r="Q37" s="55">
        <v>-248475000</v>
      </c>
      <c r="R37" s="55">
        <v>-320181000</v>
      </c>
      <c r="S37" s="55">
        <v>-630276000</v>
      </c>
      <c r="T37" s="55">
        <v>-607649000</v>
      </c>
      <c r="U37" s="55">
        <v>-211765000</v>
      </c>
      <c r="V37" s="55">
        <v>-18000000</v>
      </c>
    </row>
    <row r="38" spans="1:22">
      <c r="A38" t="s">
        <v>449</v>
      </c>
      <c r="B38" s="55">
        <v>-190422000</v>
      </c>
      <c r="C38" s="55">
        <v>-190422000</v>
      </c>
      <c r="D38" s="55">
        <v>-252170000</v>
      </c>
      <c r="E38" s="55">
        <v>-206228000</v>
      </c>
      <c r="F38" s="55">
        <v>-166378000</v>
      </c>
      <c r="G38" s="55">
        <v>-225323000</v>
      </c>
      <c r="H38" s="55">
        <v>-204717000</v>
      </c>
      <c r="I38" s="55">
        <v>-173239000</v>
      </c>
      <c r="J38" s="55">
        <v>-188908000</v>
      </c>
      <c r="K38" s="55">
        <v>-399763000</v>
      </c>
      <c r="L38" s="55">
        <v>-106064000</v>
      </c>
      <c r="M38" s="55">
        <v>-3702812000</v>
      </c>
      <c r="N38" s="55">
        <v>-127450000</v>
      </c>
      <c r="O38" s="55">
        <v>-193341000</v>
      </c>
      <c r="P38" s="55">
        <v>-311888000</v>
      </c>
      <c r="Q38" s="55">
        <v>-248475000</v>
      </c>
      <c r="R38" s="55">
        <v>-320181000</v>
      </c>
      <c r="S38" s="55">
        <v>-630276000</v>
      </c>
      <c r="T38" s="55">
        <v>-607649000</v>
      </c>
      <c r="U38" s="55">
        <v>-211765000</v>
      </c>
      <c r="V38" s="55">
        <v>-18200000</v>
      </c>
    </row>
    <row r="39" spans="1:22">
      <c r="A39" t="s">
        <v>450</v>
      </c>
      <c r="F39" s="55">
        <v>63936000</v>
      </c>
      <c r="G39">
        <v>0</v>
      </c>
      <c r="H39" s="55">
        <v>277108000</v>
      </c>
      <c r="I39" s="55">
        <v>3223000</v>
      </c>
      <c r="J39">
        <v>0</v>
      </c>
      <c r="K39">
        <v>0</v>
      </c>
      <c r="M39">
        <v>0</v>
      </c>
      <c r="V39" s="55">
        <v>200000</v>
      </c>
    </row>
    <row r="40" spans="1:22">
      <c r="A40" t="s">
        <v>451</v>
      </c>
      <c r="B40" s="55">
        <v>-2309000</v>
      </c>
      <c r="C40" s="55">
        <v>-2309000</v>
      </c>
      <c r="D40" s="55">
        <v>-9124000</v>
      </c>
      <c r="E40" s="55">
        <v>-3046000</v>
      </c>
    </row>
    <row r="41" spans="1:22">
      <c r="A41" t="s">
        <v>533</v>
      </c>
      <c r="B41" s="55">
        <v>-2309000</v>
      </c>
      <c r="C41" s="55">
        <v>-2309000</v>
      </c>
      <c r="D41" s="55">
        <v>-9124000</v>
      </c>
      <c r="E41" s="55">
        <v>-3046000</v>
      </c>
    </row>
    <row r="42" spans="1:22">
      <c r="A42" t="s">
        <v>452</v>
      </c>
      <c r="H42">
        <v>0</v>
      </c>
      <c r="I42">
        <v>0</v>
      </c>
      <c r="J42" s="55">
        <v>-544000</v>
      </c>
      <c r="L42">
        <v>0</v>
      </c>
    </row>
    <row r="43" spans="1:22">
      <c r="A43" t="s">
        <v>453</v>
      </c>
      <c r="H43">
        <v>0</v>
      </c>
      <c r="I43">
        <v>0</v>
      </c>
      <c r="J43" s="55">
        <v>-544000</v>
      </c>
      <c r="L43">
        <v>0</v>
      </c>
    </row>
    <row r="44" spans="1:22">
      <c r="A44" t="s">
        <v>534</v>
      </c>
      <c r="B44" s="55">
        <v>63556000</v>
      </c>
      <c r="C44" s="55">
        <v>63556000</v>
      </c>
      <c r="D44">
        <v>0</v>
      </c>
      <c r="E44" s="55">
        <v>309062000</v>
      </c>
      <c r="F44" s="55">
        <v>63936000</v>
      </c>
      <c r="H44" s="55">
        <v>277108000</v>
      </c>
      <c r="I44" s="55">
        <v>3223000</v>
      </c>
      <c r="J44">
        <v>0</v>
      </c>
      <c r="K44">
        <v>0</v>
      </c>
      <c r="L44" s="55">
        <v>11586000</v>
      </c>
      <c r="M44">
        <v>0</v>
      </c>
    </row>
    <row r="45" spans="1:22">
      <c r="A45" t="s">
        <v>535</v>
      </c>
      <c r="B45" s="55">
        <v>63556000</v>
      </c>
      <c r="C45" s="55">
        <v>63556000</v>
      </c>
      <c r="D45">
        <v>0</v>
      </c>
      <c r="E45" s="55">
        <v>309062000</v>
      </c>
      <c r="F45" s="55">
        <v>63936000</v>
      </c>
      <c r="H45" s="55">
        <v>277108000</v>
      </c>
      <c r="I45" s="55">
        <v>3223000</v>
      </c>
      <c r="J45">
        <v>0</v>
      </c>
      <c r="K45">
        <v>0</v>
      </c>
      <c r="L45" s="55">
        <v>11586000</v>
      </c>
      <c r="M45">
        <v>0</v>
      </c>
    </row>
    <row r="46" spans="1:22">
      <c r="A46" t="s">
        <v>454</v>
      </c>
      <c r="J46" s="55">
        <v>-544000</v>
      </c>
      <c r="S46">
        <v>0</v>
      </c>
      <c r="T46">
        <v>0</v>
      </c>
    </row>
    <row r="47" spans="1:22">
      <c r="A47" t="s">
        <v>455</v>
      </c>
      <c r="J47" s="55">
        <v>-544000</v>
      </c>
      <c r="S47">
        <v>0</v>
      </c>
      <c r="T47">
        <v>0</v>
      </c>
    </row>
    <row r="48" spans="1:22">
      <c r="A48" t="s">
        <v>456</v>
      </c>
      <c r="B48" s="55">
        <v>1406000</v>
      </c>
      <c r="C48" s="55">
        <v>1406000</v>
      </c>
      <c r="D48" s="55">
        <v>1485000</v>
      </c>
      <c r="E48" s="55">
        <v>6488000</v>
      </c>
      <c r="F48" s="55">
        <v>-12715000</v>
      </c>
      <c r="G48" s="55">
        <v>65859000</v>
      </c>
      <c r="H48" s="55">
        <v>-6102000</v>
      </c>
      <c r="I48" s="55">
        <v>-12227000</v>
      </c>
      <c r="J48" s="55">
        <v>24193000</v>
      </c>
      <c r="K48" s="55">
        <v>175921000</v>
      </c>
      <c r="L48" s="55">
        <v>51089000</v>
      </c>
      <c r="M48" s="55">
        <v>-258946000</v>
      </c>
      <c r="N48" s="55">
        <v>45000</v>
      </c>
      <c r="O48" s="55">
        <v>-89000</v>
      </c>
      <c r="P48" s="55">
        <v>-62000</v>
      </c>
      <c r="Q48" s="55">
        <v>-173000</v>
      </c>
      <c r="R48" s="55">
        <v>86000</v>
      </c>
      <c r="S48" s="55">
        <v>249000</v>
      </c>
      <c r="T48" s="55">
        <v>-1415000</v>
      </c>
      <c r="U48" s="55">
        <v>-14929000</v>
      </c>
    </row>
    <row r="49" spans="1:22">
      <c r="A49" t="s">
        <v>457</v>
      </c>
      <c r="B49" s="55">
        <v>-42680000</v>
      </c>
      <c r="C49" s="55">
        <v>-42680000</v>
      </c>
      <c r="D49" s="55">
        <v>-81879000</v>
      </c>
      <c r="E49" s="55">
        <v>-403607000</v>
      </c>
      <c r="F49" s="55">
        <v>-300120000</v>
      </c>
      <c r="G49" s="55">
        <v>-547946000</v>
      </c>
      <c r="H49" s="55">
        <v>-243180000</v>
      </c>
      <c r="I49" s="55">
        <v>-127160000</v>
      </c>
      <c r="J49" s="55">
        <v>-188977000</v>
      </c>
      <c r="K49" s="55">
        <v>27594000</v>
      </c>
      <c r="L49" s="55">
        <v>-50074000</v>
      </c>
      <c r="M49" s="55">
        <v>3912874000</v>
      </c>
      <c r="N49" s="55">
        <v>-8937000</v>
      </c>
      <c r="O49" s="55">
        <v>24947000</v>
      </c>
      <c r="P49" s="55">
        <v>132689000</v>
      </c>
      <c r="Q49" s="55">
        <v>85607000</v>
      </c>
      <c r="R49" s="55">
        <v>201862000</v>
      </c>
      <c r="S49" s="55">
        <v>509292000</v>
      </c>
      <c r="T49" s="55">
        <v>337689000</v>
      </c>
      <c r="U49" s="55">
        <v>284271000</v>
      </c>
      <c r="V49" s="55">
        <v>142200000</v>
      </c>
    </row>
    <row r="50" spans="1:22">
      <c r="A50" t="s">
        <v>458</v>
      </c>
      <c r="B50" s="55">
        <v>-42680000</v>
      </c>
      <c r="C50" s="55">
        <v>-42680000</v>
      </c>
      <c r="D50" s="55">
        <v>-81879000</v>
      </c>
      <c r="E50" s="55">
        <v>-403607000</v>
      </c>
      <c r="F50" s="55">
        <v>-300120000</v>
      </c>
      <c r="G50" s="55">
        <v>-547946000</v>
      </c>
      <c r="H50" s="55">
        <v>-243180000</v>
      </c>
      <c r="I50" s="55">
        <v>-127160000</v>
      </c>
      <c r="J50" s="55">
        <v>-188977000</v>
      </c>
      <c r="K50" s="55">
        <v>27594000</v>
      </c>
      <c r="L50" s="55">
        <v>-50074000</v>
      </c>
      <c r="M50" s="55">
        <v>3912874000</v>
      </c>
      <c r="N50" s="55">
        <v>-8937000</v>
      </c>
      <c r="O50" s="55">
        <v>24947000</v>
      </c>
      <c r="P50" s="55">
        <v>132689000</v>
      </c>
      <c r="Q50" s="55">
        <v>85607000</v>
      </c>
      <c r="R50" s="55">
        <v>201862000</v>
      </c>
      <c r="S50" s="55">
        <v>509292000</v>
      </c>
      <c r="T50" s="55">
        <v>337689000</v>
      </c>
      <c r="U50" s="55">
        <v>284271000</v>
      </c>
      <c r="V50" s="55">
        <v>142200000</v>
      </c>
    </row>
    <row r="51" spans="1:22">
      <c r="A51" t="s">
        <v>459</v>
      </c>
      <c r="B51" s="55">
        <v>43319000</v>
      </c>
      <c r="C51" s="55">
        <v>43319000</v>
      </c>
      <c r="D51" s="55">
        <v>242622000</v>
      </c>
      <c r="E51" s="55">
        <v>-148398000</v>
      </c>
      <c r="F51" s="55">
        <v>-61193000</v>
      </c>
      <c r="G51" s="55">
        <v>-171120000</v>
      </c>
      <c r="H51" s="55">
        <v>-95429000</v>
      </c>
      <c r="I51" s="55">
        <v>-13669000</v>
      </c>
      <c r="J51" s="55">
        <v>-700865000</v>
      </c>
      <c r="K51" s="55">
        <v>925489000</v>
      </c>
      <c r="L51" s="55">
        <v>-24067000</v>
      </c>
      <c r="M51" s="55">
        <v>2698036000</v>
      </c>
      <c r="N51" s="55">
        <v>-33695000</v>
      </c>
      <c r="O51" s="55">
        <v>20510000</v>
      </c>
      <c r="P51" s="55">
        <v>192750000</v>
      </c>
      <c r="Q51" s="55">
        <v>96000000</v>
      </c>
      <c r="R51" s="55">
        <v>201000000</v>
      </c>
      <c r="S51" s="55">
        <v>520000000</v>
      </c>
      <c r="T51" s="55">
        <v>143869000</v>
      </c>
      <c r="U51" s="55">
        <v>-630000</v>
      </c>
    </row>
    <row r="52" spans="1:22">
      <c r="A52" t="s">
        <v>460</v>
      </c>
      <c r="B52" s="55">
        <v>43319000</v>
      </c>
      <c r="C52" s="55">
        <v>43319000</v>
      </c>
      <c r="D52" s="55">
        <v>242622000</v>
      </c>
      <c r="E52" s="55">
        <v>-148398000</v>
      </c>
      <c r="F52" s="55">
        <v>-61193000</v>
      </c>
      <c r="G52" s="55">
        <v>-171120000</v>
      </c>
      <c r="H52" s="55">
        <v>-95429000</v>
      </c>
      <c r="I52" s="55">
        <v>-13669000</v>
      </c>
      <c r="J52" s="55">
        <v>-700865000</v>
      </c>
      <c r="K52" s="55">
        <v>925489000</v>
      </c>
      <c r="L52" s="55">
        <v>-24067000</v>
      </c>
      <c r="M52" s="55">
        <v>2698036000</v>
      </c>
      <c r="N52" s="55">
        <v>-33695000</v>
      </c>
      <c r="O52" s="55">
        <v>20510000</v>
      </c>
      <c r="P52" s="55">
        <v>192750000</v>
      </c>
      <c r="Q52" s="55">
        <v>96000000</v>
      </c>
      <c r="R52" s="55">
        <v>201000000</v>
      </c>
      <c r="S52" s="55">
        <v>548500000</v>
      </c>
      <c r="T52" s="55">
        <v>143869000</v>
      </c>
      <c r="U52" s="55">
        <v>-630000</v>
      </c>
    </row>
    <row r="53" spans="1:22">
      <c r="A53" t="s">
        <v>461</v>
      </c>
      <c r="B53" s="55">
        <v>399765000</v>
      </c>
      <c r="C53" s="55">
        <v>399765000</v>
      </c>
      <c r="D53" s="55">
        <v>750000000</v>
      </c>
      <c r="E53">
        <v>0</v>
      </c>
      <c r="F53" s="55">
        <v>105000000</v>
      </c>
      <c r="G53" s="55">
        <v>2151500000</v>
      </c>
      <c r="H53" s="55">
        <v>590000000</v>
      </c>
      <c r="I53" s="55">
        <v>583125000</v>
      </c>
      <c r="J53" s="55">
        <v>20000000</v>
      </c>
      <c r="K53" s="55">
        <v>3600000000</v>
      </c>
      <c r="L53">
        <v>0</v>
      </c>
      <c r="M53" s="55">
        <v>2700000000</v>
      </c>
      <c r="N53" s="55">
        <v>20000000</v>
      </c>
      <c r="O53" s="55">
        <v>112000000</v>
      </c>
      <c r="P53" s="55">
        <v>1110000000</v>
      </c>
      <c r="Q53" s="55">
        <v>351000000</v>
      </c>
      <c r="R53" s="55">
        <v>353000000</v>
      </c>
      <c r="S53" s="55">
        <v>548500000</v>
      </c>
      <c r="T53" s="55">
        <v>143869000</v>
      </c>
      <c r="U53">
        <v>0</v>
      </c>
    </row>
    <row r="54" spans="1:22">
      <c r="A54" t="s">
        <v>462</v>
      </c>
      <c r="B54" s="55">
        <v>-356446000</v>
      </c>
      <c r="C54" s="55">
        <v>-356446000</v>
      </c>
      <c r="D54" s="55">
        <v>-507378000</v>
      </c>
      <c r="E54" s="55">
        <v>-148398000</v>
      </c>
      <c r="F54" s="55">
        <v>-166193000</v>
      </c>
      <c r="G54" s="55">
        <v>-2322620000</v>
      </c>
      <c r="H54" s="55">
        <v>-685429000</v>
      </c>
      <c r="I54" s="55">
        <v>-596794000</v>
      </c>
      <c r="J54" s="55">
        <v>-720865000</v>
      </c>
      <c r="K54" s="55">
        <v>-2674511000</v>
      </c>
      <c r="L54" s="55">
        <v>-24067000</v>
      </c>
      <c r="M54" s="55">
        <v>-1964000</v>
      </c>
      <c r="N54" s="55">
        <v>-53695000</v>
      </c>
      <c r="O54" s="55">
        <v>-91490000</v>
      </c>
      <c r="P54" s="55">
        <v>-917250000</v>
      </c>
      <c r="Q54" s="55">
        <v>-255000000</v>
      </c>
      <c r="R54" s="55">
        <v>-152000000</v>
      </c>
      <c r="S54">
        <v>0</v>
      </c>
      <c r="T54">
        <v>0</v>
      </c>
      <c r="U54" s="55">
        <v>-630000</v>
      </c>
    </row>
    <row r="55" spans="1:22">
      <c r="A55" t="s">
        <v>463</v>
      </c>
      <c r="J55" s="55">
        <v>20000000</v>
      </c>
      <c r="S55" s="55">
        <v>-28500000</v>
      </c>
    </row>
    <row r="56" spans="1:22">
      <c r="A56" t="s">
        <v>464</v>
      </c>
      <c r="J56" s="55">
        <v>20000000</v>
      </c>
    </row>
    <row r="57" spans="1:22">
      <c r="A57" t="s">
        <v>465</v>
      </c>
      <c r="S57" s="55">
        <v>-28500000</v>
      </c>
    </row>
    <row r="58" spans="1:22">
      <c r="A58" t="s">
        <v>466</v>
      </c>
      <c r="B58" s="55">
        <v>-31093000</v>
      </c>
      <c r="C58" s="55">
        <v>-31093000</v>
      </c>
      <c r="D58" s="55">
        <v>-130721000</v>
      </c>
      <c r="E58" s="55">
        <v>-85405000</v>
      </c>
      <c r="F58" s="55">
        <v>-62323000</v>
      </c>
      <c r="G58" s="55">
        <v>-139895000</v>
      </c>
      <c r="H58">
        <v>0</v>
      </c>
      <c r="I58">
        <v>0</v>
      </c>
      <c r="J58" s="55">
        <v>649750000</v>
      </c>
      <c r="L58" s="55">
        <v>125000</v>
      </c>
      <c r="N58" s="55">
        <v>30973000</v>
      </c>
      <c r="O58" s="55">
        <v>6603000</v>
      </c>
      <c r="P58" s="55">
        <v>-38592000</v>
      </c>
      <c r="Q58" s="55">
        <v>-4456000</v>
      </c>
      <c r="R58" s="55">
        <v>1207000</v>
      </c>
      <c r="S58" s="55">
        <v>3260000</v>
      </c>
      <c r="T58" s="55">
        <v>202135000</v>
      </c>
      <c r="U58" s="55">
        <v>288840000</v>
      </c>
    </row>
    <row r="59" spans="1:22">
      <c r="A59" t="s">
        <v>467</v>
      </c>
      <c r="H59">
        <v>0</v>
      </c>
      <c r="I59">
        <v>0</v>
      </c>
      <c r="J59" s="55">
        <v>649750000</v>
      </c>
      <c r="L59" s="55">
        <v>125000</v>
      </c>
      <c r="N59" s="55">
        <v>30973000</v>
      </c>
      <c r="O59" s="55">
        <v>6603000</v>
      </c>
      <c r="P59" s="55">
        <v>19770000</v>
      </c>
      <c r="Q59" s="55">
        <v>5764000</v>
      </c>
      <c r="R59" s="55">
        <v>5504000</v>
      </c>
      <c r="S59" s="55">
        <v>4512000</v>
      </c>
      <c r="T59" s="55">
        <v>202135000</v>
      </c>
      <c r="U59" s="55">
        <v>288840000</v>
      </c>
    </row>
    <row r="60" spans="1:22">
      <c r="A60" t="s">
        <v>468</v>
      </c>
      <c r="B60" s="55">
        <v>-31093000</v>
      </c>
      <c r="C60" s="55">
        <v>-31093000</v>
      </c>
      <c r="D60" s="55">
        <v>-130721000</v>
      </c>
      <c r="E60" s="55">
        <v>-85405000</v>
      </c>
      <c r="F60" s="55">
        <v>-62323000</v>
      </c>
      <c r="G60" s="55">
        <v>-139895000</v>
      </c>
      <c r="N60">
        <v>0</v>
      </c>
      <c r="O60">
        <v>0</v>
      </c>
      <c r="P60" s="55">
        <v>-58362000</v>
      </c>
      <c r="Q60" s="55">
        <v>-10220000</v>
      </c>
      <c r="R60" s="55">
        <v>-4297000</v>
      </c>
      <c r="S60" s="55">
        <v>-1252000</v>
      </c>
    </row>
    <row r="61" spans="1:22">
      <c r="A61" t="s">
        <v>469</v>
      </c>
      <c r="B61" s="55">
        <v>-7130000</v>
      </c>
      <c r="C61" s="55">
        <v>-7130000</v>
      </c>
      <c r="D61">
        <v>0</v>
      </c>
      <c r="E61" s="55">
        <v>-3000</v>
      </c>
      <c r="F61" s="55">
        <v>-14069000</v>
      </c>
      <c r="K61">
        <v>0</v>
      </c>
      <c r="M61">
        <v>0</v>
      </c>
    </row>
    <row r="62" spans="1:22">
      <c r="A62" t="s">
        <v>470</v>
      </c>
      <c r="K62">
        <v>0</v>
      </c>
      <c r="M62">
        <v>0</v>
      </c>
    </row>
    <row r="63" spans="1:22">
      <c r="A63" t="s">
        <v>536</v>
      </c>
      <c r="B63" s="55">
        <v>-7130000</v>
      </c>
      <c r="C63" s="55">
        <v>-7130000</v>
      </c>
      <c r="D63">
        <v>0</v>
      </c>
      <c r="E63" s="55">
        <v>-3000</v>
      </c>
      <c r="F63" s="55">
        <v>-14069000</v>
      </c>
    </row>
    <row r="64" spans="1:22">
      <c r="A64" t="s">
        <v>471</v>
      </c>
      <c r="B64" s="55">
        <v>-46788000</v>
      </c>
      <c r="C64" s="55">
        <v>-46788000</v>
      </c>
      <c r="D64" s="55">
        <v>-170409000</v>
      </c>
      <c r="E64" s="55">
        <v>-165812000</v>
      </c>
      <c r="F64" s="55">
        <v>-158987000</v>
      </c>
      <c r="G64" s="55">
        <v>-200227000</v>
      </c>
      <c r="H64" s="55">
        <v>-135170000</v>
      </c>
      <c r="I64" s="55">
        <v>-108269000</v>
      </c>
      <c r="J64" s="55">
        <v>-16000</v>
      </c>
      <c r="K64" s="55">
        <v>-832954000</v>
      </c>
      <c r="L64" s="55">
        <v>-16000</v>
      </c>
      <c r="M64">
        <v>0</v>
      </c>
      <c r="N64" s="55">
        <v>-3885000</v>
      </c>
    </row>
    <row r="65" spans="1:22">
      <c r="A65" t="s">
        <v>472</v>
      </c>
      <c r="B65" s="55">
        <v>-46772000</v>
      </c>
      <c r="C65" s="55">
        <v>-46772000</v>
      </c>
      <c r="D65" s="55">
        <v>-170393000</v>
      </c>
      <c r="E65" s="55">
        <v>-165796000</v>
      </c>
      <c r="F65" s="55">
        <v>-158971000</v>
      </c>
      <c r="G65" s="55">
        <v>-200211000</v>
      </c>
      <c r="H65" s="55">
        <v>-135154000</v>
      </c>
      <c r="I65" s="55">
        <v>-108253000</v>
      </c>
      <c r="J65" s="55">
        <v>-78400000</v>
      </c>
      <c r="K65" s="55">
        <v>-16000</v>
      </c>
      <c r="M65">
        <v>0</v>
      </c>
    </row>
    <row r="66" spans="1:22">
      <c r="A66" t="s">
        <v>537</v>
      </c>
      <c r="B66" s="55">
        <v>-16000</v>
      </c>
      <c r="C66" s="55">
        <v>-16000</v>
      </c>
      <c r="D66" s="55">
        <v>-16000</v>
      </c>
      <c r="E66" s="55">
        <v>-16000</v>
      </c>
      <c r="F66" s="55">
        <v>-16000</v>
      </c>
      <c r="G66" s="55">
        <v>-16000</v>
      </c>
      <c r="H66" s="55">
        <v>-16000</v>
      </c>
      <c r="I66" s="55">
        <v>-16000</v>
      </c>
      <c r="J66" s="55">
        <v>-16000</v>
      </c>
      <c r="K66" s="55">
        <v>-832938000</v>
      </c>
      <c r="L66" s="55">
        <v>-16000</v>
      </c>
      <c r="M66">
        <v>0</v>
      </c>
    </row>
    <row r="67" spans="1:22">
      <c r="A67" t="s">
        <v>473</v>
      </c>
      <c r="B67" s="55">
        <v>-988000</v>
      </c>
      <c r="C67" s="55">
        <v>-988000</v>
      </c>
      <c r="D67" s="55">
        <v>-23371000</v>
      </c>
      <c r="E67" s="55">
        <v>-3989000</v>
      </c>
      <c r="F67" s="55">
        <v>-3548000</v>
      </c>
      <c r="G67" s="55">
        <v>-36704000</v>
      </c>
      <c r="H67" s="55">
        <v>-12581000</v>
      </c>
      <c r="I67" s="55">
        <v>-5222000</v>
      </c>
      <c r="J67" s="55">
        <v>-137846000</v>
      </c>
      <c r="K67" s="55">
        <v>-64941000</v>
      </c>
      <c r="L67" s="55">
        <v>-26116000</v>
      </c>
      <c r="M67" s="55">
        <v>1214838000</v>
      </c>
      <c r="N67" s="55">
        <v>-2330000</v>
      </c>
      <c r="O67" s="55">
        <v>-2166000</v>
      </c>
      <c r="P67" s="55">
        <v>-21469000</v>
      </c>
      <c r="Q67" s="55">
        <v>-5937000</v>
      </c>
      <c r="R67" s="55">
        <v>-345000</v>
      </c>
      <c r="S67" s="55">
        <v>-13968000</v>
      </c>
      <c r="T67" s="55">
        <v>-8315000</v>
      </c>
      <c r="U67" s="55">
        <v>-3939000</v>
      </c>
      <c r="V67" s="55">
        <v>142200000</v>
      </c>
    </row>
    <row r="68" spans="1:22">
      <c r="A68" t="s">
        <v>474</v>
      </c>
      <c r="B68" s="55">
        <v>409921000</v>
      </c>
      <c r="C68" s="55">
        <v>409921000</v>
      </c>
      <c r="D68" s="55">
        <v>361670000</v>
      </c>
      <c r="E68" s="55">
        <v>303336000</v>
      </c>
      <c r="F68" s="55">
        <v>113343000</v>
      </c>
      <c r="G68" s="55">
        <v>84158000</v>
      </c>
      <c r="H68" s="55">
        <v>373239000</v>
      </c>
      <c r="I68" s="55">
        <v>121324000</v>
      </c>
      <c r="J68" s="55">
        <v>60457000</v>
      </c>
      <c r="K68" s="55">
        <v>103582000</v>
      </c>
      <c r="L68" s="55">
        <v>98584000</v>
      </c>
      <c r="M68" s="55">
        <v>11371000</v>
      </c>
      <c r="N68" s="55">
        <v>16025000</v>
      </c>
      <c r="O68" s="55">
        <v>6583000</v>
      </c>
      <c r="P68" s="55">
        <v>11027000</v>
      </c>
      <c r="Q68" s="55">
        <v>13386000</v>
      </c>
      <c r="R68" s="55">
        <v>6449000</v>
      </c>
      <c r="S68" s="55">
        <v>623000</v>
      </c>
      <c r="T68" s="55">
        <v>3213000</v>
      </c>
      <c r="U68" s="55">
        <v>189647000</v>
      </c>
    </row>
    <row r="69" spans="1:22">
      <c r="A69" t="s">
        <v>475</v>
      </c>
      <c r="B69" s="55">
        <v>48302000</v>
      </c>
      <c r="C69" s="55">
        <v>48302000</v>
      </c>
      <c r="D69" s="55">
        <v>58262000</v>
      </c>
      <c r="E69" s="55">
        <v>152519000</v>
      </c>
      <c r="F69" s="55">
        <v>28892000</v>
      </c>
      <c r="G69" s="55">
        <v>-289005000</v>
      </c>
      <c r="H69" s="55">
        <v>251998000</v>
      </c>
      <c r="I69" s="55">
        <v>61082000</v>
      </c>
      <c r="J69" s="55">
        <v>-42923000</v>
      </c>
      <c r="K69" s="55">
        <v>4862000</v>
      </c>
      <c r="L69" s="55">
        <v>87142000</v>
      </c>
      <c r="M69" s="55">
        <v>73327000</v>
      </c>
      <c r="N69" s="55">
        <v>9442000</v>
      </c>
      <c r="O69" s="55">
        <v>-4444000</v>
      </c>
      <c r="P69" s="55">
        <v>-2359000</v>
      </c>
      <c r="Q69" s="55">
        <v>6937000</v>
      </c>
      <c r="R69" s="55">
        <v>5826000</v>
      </c>
      <c r="S69" s="55">
        <v>-2590000</v>
      </c>
      <c r="T69" s="55">
        <v>-221112000</v>
      </c>
      <c r="U69" s="55">
        <v>66289000</v>
      </c>
      <c r="V69" s="55">
        <v>123400000</v>
      </c>
    </row>
    <row r="70" spans="1:22">
      <c r="A70" t="s">
        <v>476</v>
      </c>
      <c r="B70" s="55">
        <v>-51000</v>
      </c>
      <c r="C70" s="55">
        <v>-51000</v>
      </c>
      <c r="D70" s="55">
        <v>72000</v>
      </c>
      <c r="E70" s="55">
        <v>-157000</v>
      </c>
      <c r="F70" s="55">
        <v>293000</v>
      </c>
      <c r="G70" s="55">
        <v>-76000</v>
      </c>
      <c r="H70" s="55">
        <v>-83000</v>
      </c>
      <c r="I70" s="55">
        <v>-215000</v>
      </c>
      <c r="J70" s="55">
        <v>-202000</v>
      </c>
      <c r="K70" s="55">
        <v>136000</v>
      </c>
      <c r="L70" s="55">
        <v>71000</v>
      </c>
      <c r="M70">
        <v>0</v>
      </c>
    </row>
    <row r="71" spans="1:22">
      <c r="A71" t="s">
        <v>477</v>
      </c>
      <c r="B71" s="55">
        <v>361670000</v>
      </c>
      <c r="C71" s="55">
        <v>361670000</v>
      </c>
      <c r="D71" s="55">
        <v>303336000</v>
      </c>
      <c r="E71" s="55">
        <v>150974000</v>
      </c>
      <c r="F71" s="55">
        <v>84158000</v>
      </c>
      <c r="G71" s="55">
        <v>373239000</v>
      </c>
      <c r="H71" s="55">
        <v>121324000</v>
      </c>
      <c r="I71" s="55">
        <v>60457000</v>
      </c>
      <c r="J71" s="55">
        <v>103582000</v>
      </c>
      <c r="K71" s="55">
        <v>98584000</v>
      </c>
      <c r="L71" s="55">
        <v>11371000</v>
      </c>
      <c r="M71" s="55">
        <v>79457000</v>
      </c>
      <c r="N71" s="55">
        <v>6583000</v>
      </c>
      <c r="O71" s="55">
        <v>11027000</v>
      </c>
      <c r="P71" s="55">
        <v>13386000</v>
      </c>
      <c r="Q71" s="55">
        <v>6449000</v>
      </c>
      <c r="R71" s="55">
        <v>623000</v>
      </c>
      <c r="S71" s="55">
        <v>3213000</v>
      </c>
      <c r="T71" s="55">
        <v>224325000</v>
      </c>
      <c r="U71" s="55">
        <v>123358000</v>
      </c>
    </row>
    <row r="72" spans="1:22">
      <c r="A72" t="s">
        <v>478</v>
      </c>
      <c r="B72" s="55">
        <v>23509000</v>
      </c>
      <c r="C72" s="55">
        <v>23509000</v>
      </c>
      <c r="D72" s="55">
        <v>39622000</v>
      </c>
      <c r="E72" s="55">
        <v>38577000</v>
      </c>
      <c r="F72" s="55">
        <v>55694000</v>
      </c>
      <c r="G72" s="55">
        <v>78903000</v>
      </c>
      <c r="H72" s="55">
        <v>69825000</v>
      </c>
      <c r="I72" s="55">
        <v>36379000</v>
      </c>
      <c r="J72" s="55">
        <v>233000</v>
      </c>
      <c r="K72" s="55">
        <v>11349000</v>
      </c>
      <c r="L72" s="55">
        <v>1161000</v>
      </c>
      <c r="M72" s="55">
        <v>1828000</v>
      </c>
    </row>
    <row r="73" spans="1:22">
      <c r="A73" t="s">
        <v>479</v>
      </c>
      <c r="B73" s="55">
        <v>124196000</v>
      </c>
      <c r="C73" s="55">
        <v>124196000</v>
      </c>
      <c r="D73" s="55">
        <v>108515000</v>
      </c>
      <c r="E73" s="55">
        <v>118509000</v>
      </c>
      <c r="F73" s="55">
        <v>123953000</v>
      </c>
      <c r="G73" s="55">
        <v>117518000</v>
      </c>
      <c r="H73" s="55">
        <v>120220000</v>
      </c>
      <c r="I73" s="55">
        <v>125258000</v>
      </c>
      <c r="J73" s="55">
        <v>201227000</v>
      </c>
      <c r="K73" s="55">
        <v>196350000</v>
      </c>
      <c r="L73" s="55">
        <v>219239000</v>
      </c>
      <c r="M73" s="55">
        <v>189499000</v>
      </c>
    </row>
    <row r="74" spans="1:22">
      <c r="A74" t="s">
        <v>480</v>
      </c>
      <c r="B74" s="55">
        <v>-192731000</v>
      </c>
      <c r="C74" s="55">
        <v>-192731000</v>
      </c>
      <c r="D74" s="55">
        <v>-261294000</v>
      </c>
      <c r="E74" s="55">
        <v>-209274000</v>
      </c>
      <c r="F74" s="55">
        <v>-166378000</v>
      </c>
      <c r="G74" s="55">
        <v>-225323000</v>
      </c>
      <c r="H74" s="55">
        <v>-204717000</v>
      </c>
      <c r="I74" s="55">
        <v>-173239000</v>
      </c>
      <c r="J74" s="55">
        <v>-188908000</v>
      </c>
      <c r="K74" s="55">
        <v>-399763000</v>
      </c>
      <c r="L74" s="55">
        <v>-106064000</v>
      </c>
      <c r="M74" s="55">
        <v>-3702812000</v>
      </c>
      <c r="N74" s="55">
        <v>-127450000</v>
      </c>
      <c r="O74" s="55">
        <v>-193341000</v>
      </c>
      <c r="P74" s="55">
        <v>-311888000</v>
      </c>
      <c r="Q74" s="55">
        <v>-248475000</v>
      </c>
      <c r="R74" s="55">
        <v>-320181000</v>
      </c>
      <c r="S74" s="55">
        <v>-630276000</v>
      </c>
      <c r="T74" s="55">
        <v>-607649000</v>
      </c>
      <c r="U74" s="55">
        <v>-211765000</v>
      </c>
      <c r="V74" s="55">
        <v>-18200000</v>
      </c>
    </row>
    <row r="75" spans="1:22">
      <c r="A75" t="s">
        <v>481</v>
      </c>
      <c r="H75">
        <v>0</v>
      </c>
      <c r="I75">
        <v>0</v>
      </c>
      <c r="J75" s="55">
        <v>649750000</v>
      </c>
      <c r="K75">
        <v>0</v>
      </c>
      <c r="L75" s="55">
        <v>125000</v>
      </c>
      <c r="M75">
        <v>0</v>
      </c>
      <c r="N75" s="55">
        <v>30973000</v>
      </c>
      <c r="O75" s="55">
        <v>6603000</v>
      </c>
      <c r="P75" s="55">
        <v>19770000</v>
      </c>
      <c r="Q75" s="55">
        <v>5764000</v>
      </c>
      <c r="R75" s="55">
        <v>5504000</v>
      </c>
      <c r="S75" s="55">
        <v>4512000</v>
      </c>
      <c r="T75" s="55">
        <v>202135000</v>
      </c>
      <c r="U75" s="55">
        <v>288840000</v>
      </c>
      <c r="V75" s="55">
        <v>143900000</v>
      </c>
    </row>
    <row r="76" spans="1:22">
      <c r="A76" t="s">
        <v>482</v>
      </c>
      <c r="B76" s="55">
        <v>399765000</v>
      </c>
      <c r="C76" s="55">
        <v>399765000</v>
      </c>
      <c r="D76" s="55">
        <v>750000000</v>
      </c>
      <c r="E76">
        <v>0</v>
      </c>
      <c r="F76" s="55">
        <v>105000000</v>
      </c>
      <c r="G76" s="55">
        <v>2151500000</v>
      </c>
      <c r="H76" s="55">
        <v>590000000</v>
      </c>
      <c r="I76" s="55">
        <v>583125000</v>
      </c>
      <c r="J76" s="55">
        <v>20000000</v>
      </c>
      <c r="K76" s="55">
        <v>3600000000</v>
      </c>
      <c r="L76">
        <v>0</v>
      </c>
      <c r="M76" s="55">
        <v>2700000000</v>
      </c>
      <c r="N76" s="55">
        <v>20000000</v>
      </c>
      <c r="O76" s="55">
        <v>112000000</v>
      </c>
      <c r="P76" s="55">
        <v>1110000000</v>
      </c>
      <c r="Q76" s="55">
        <v>351000000</v>
      </c>
      <c r="R76" s="55">
        <v>353000000</v>
      </c>
      <c r="S76" s="55">
        <v>548500000</v>
      </c>
      <c r="T76" s="55">
        <v>143869000</v>
      </c>
      <c r="U76">
        <v>0</v>
      </c>
      <c r="V76" s="55">
        <v>6100000</v>
      </c>
    </row>
    <row r="77" spans="1:22">
      <c r="A77" t="s">
        <v>483</v>
      </c>
      <c r="B77" s="55">
        <v>-356446000</v>
      </c>
      <c r="C77" s="55">
        <v>-356446000</v>
      </c>
      <c r="D77" s="55">
        <v>-507378000</v>
      </c>
      <c r="E77" s="55">
        <v>-148398000</v>
      </c>
      <c r="F77" s="55">
        <v>-166193000</v>
      </c>
      <c r="G77" s="55">
        <v>-2322620000</v>
      </c>
      <c r="H77" s="55">
        <v>-685429000</v>
      </c>
      <c r="I77" s="55">
        <v>-596794000</v>
      </c>
      <c r="J77" s="55">
        <v>-720865000</v>
      </c>
      <c r="K77" s="55">
        <v>-2674511000</v>
      </c>
      <c r="L77" s="55">
        <v>-24067000</v>
      </c>
      <c r="M77" s="55">
        <v>-1964000</v>
      </c>
      <c r="N77" s="55">
        <v>-53695000</v>
      </c>
      <c r="O77" s="55">
        <v>-91490000</v>
      </c>
      <c r="P77" s="55">
        <v>-917250000</v>
      </c>
      <c r="Q77" s="55">
        <v>-255000000</v>
      </c>
      <c r="R77" s="55">
        <v>-152000000</v>
      </c>
      <c r="S77" s="55">
        <v>-28500000</v>
      </c>
      <c r="T77">
        <v>0</v>
      </c>
      <c r="U77" s="55">
        <v>-630000</v>
      </c>
    </row>
    <row r="78" spans="1:22">
      <c r="A78" t="s">
        <v>484</v>
      </c>
      <c r="B78" s="55">
        <v>-38223000</v>
      </c>
      <c r="C78" s="55">
        <v>-38223000</v>
      </c>
      <c r="D78" s="55">
        <v>-130721000</v>
      </c>
      <c r="E78" s="55">
        <v>-85408000</v>
      </c>
      <c r="F78" s="55">
        <v>-76392000</v>
      </c>
      <c r="G78" s="55">
        <v>-139895000</v>
      </c>
      <c r="N78">
        <v>0</v>
      </c>
      <c r="O78">
        <v>0</v>
      </c>
      <c r="P78" s="55">
        <v>-58362000</v>
      </c>
      <c r="Q78" s="55">
        <v>-10220000</v>
      </c>
      <c r="R78" s="55">
        <v>-4297000</v>
      </c>
      <c r="S78" s="55">
        <v>-1252000</v>
      </c>
    </row>
    <row r="79" spans="1:22">
      <c r="A79" t="s">
        <v>485</v>
      </c>
      <c r="B79" s="55">
        <v>26020000</v>
      </c>
      <c r="C79" s="55">
        <v>26020000</v>
      </c>
      <c r="D79" s="55">
        <v>138656000</v>
      </c>
      <c r="E79" s="55">
        <v>240576000</v>
      </c>
      <c r="F79" s="55">
        <v>277791000</v>
      </c>
      <c r="G79" s="55">
        <v>193082000</v>
      </c>
      <c r="H79" s="55">
        <v>224172000</v>
      </c>
      <c r="I79" s="55">
        <v>197246000</v>
      </c>
      <c r="J79" s="55">
        <v>122405000</v>
      </c>
      <c r="K79" s="55">
        <v>-198653000</v>
      </c>
      <c r="L79" s="55">
        <v>74541000</v>
      </c>
      <c r="M79" s="55">
        <v>-3580601000</v>
      </c>
      <c r="N79" s="55">
        <v>18334000</v>
      </c>
      <c r="O79" s="55">
        <v>-29302000</v>
      </c>
      <c r="P79" s="55">
        <v>-134986000</v>
      </c>
      <c r="Q79" s="55">
        <v>-78497000</v>
      </c>
      <c r="R79" s="55">
        <v>-196122000</v>
      </c>
      <c r="S79" s="55">
        <v>-512131000</v>
      </c>
      <c r="T79" s="55">
        <v>-557386000</v>
      </c>
      <c r="U79" s="55">
        <v>-203053000</v>
      </c>
      <c r="V79" s="55">
        <v>-19000000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Historical Analysis</vt:lpstr>
      <vt:lpstr>Projections</vt:lpstr>
      <vt:lpstr>Valuation Analysis</vt:lpstr>
      <vt:lpstr>Equity Return</vt:lpstr>
      <vt:lpstr>Revenue Yahoo Input</vt:lpstr>
      <vt:lpstr>Sheet1</vt:lpstr>
      <vt:lpstr>Balance Sheet Yahoo Input</vt:lpstr>
      <vt:lpstr>Cash Flow Yahoo Input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2020-10-05T00:37:32Z</dcterms:created>
  <dcterms:modified xsi:type="dcterms:W3CDTF">2021-04-20T14:28:04Z</dcterms:modified>
</cp:coreProperties>
</file>