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580" activeTab="0"/>
  </bookViews>
  <sheets>
    <sheet name="Valuation" sheetId="1" r:id="rId1"/>
    <sheet name="Sheet3" sheetId="2" r:id="rId2"/>
    <sheet name="Sheet4" sheetId="3" r:id="rId3"/>
    <sheet name="Sheet5" sheetId="4" r:id="rId4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41380.6083796296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'Valuation'!$A$1:$L$142</definedName>
  </definedNames>
  <calcPr fullCalcOnLoad="1"/>
</workbook>
</file>

<file path=xl/sharedStrings.xml><?xml version="1.0" encoding="utf-8"?>
<sst xmlns="http://schemas.openxmlformats.org/spreadsheetml/2006/main" count="186" uniqueCount="162">
  <si>
    <t>Operating Expenses</t>
  </si>
  <si>
    <t>EBITDA</t>
  </si>
  <si>
    <t>CORPORATE VALUATIONS - Public Companies</t>
  </si>
  <si>
    <t xml:space="preserve">METHOD #1 - Stock Price </t>
  </si>
  <si>
    <t>Calculations</t>
  </si>
  <si>
    <t>SP</t>
  </si>
  <si>
    <t>SO</t>
  </si>
  <si>
    <t>SP * SO = EQ</t>
  </si>
  <si>
    <t>D</t>
  </si>
  <si>
    <t>EQ + D = EV</t>
  </si>
  <si>
    <t>Company</t>
  </si>
  <si>
    <t>Symbol</t>
  </si>
  <si>
    <t>Stocks Outstanding ($mm)</t>
  </si>
  <si>
    <t>Equity Value
 ($mm)</t>
  </si>
  <si>
    <t>Enterprise Value 
($mm)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</si>
  <si>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</si>
  <si>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</si>
  <si>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</si>
  <si>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</si>
  <si>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</si>
  <si>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</si>
  <si>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</si>
  <si>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</si>
  <si>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</si>
  <si>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</si>
  <si>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</si>
  <si>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</si>
  <si>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</si>
  <si>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</si>
  <si>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</si>
  <si>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</si>
  <si>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 xml:space="preserve">METHOD #2 - EBITDA Multiples </t>
  </si>
  <si>
    <t>E</t>
  </si>
  <si>
    <t>EV / E</t>
  </si>
  <si>
    <t>EBITDA Multiple</t>
  </si>
  <si>
    <t>Average</t>
  </si>
  <si>
    <t>EBITDA * Average Multiple</t>
  </si>
  <si>
    <t>METHOD #3 - Transaction Comparative Analysis</t>
  </si>
  <si>
    <t>METHOD #4 - Discount Cash Flow Valuation Analysis</t>
  </si>
  <si>
    <t>Discout Cash Flow Valuation Analysis</t>
  </si>
  <si>
    <t>EXIT YEAR</t>
  </si>
  <si>
    <t>Assumptions</t>
  </si>
  <si>
    <t>Revenues</t>
  </si>
  <si>
    <t xml:space="preserve">  Revenue Growth</t>
  </si>
  <si>
    <t>Cost of Revenues (CoGS)</t>
  </si>
  <si>
    <t xml:space="preserve"> EBIT</t>
  </si>
  <si>
    <t>Less Taxes / % of EBIT</t>
  </si>
  <si>
    <t>Plus Depreciation</t>
  </si>
  <si>
    <t>Cash Flow</t>
  </si>
  <si>
    <t>Terminal Value</t>
  </si>
  <si>
    <t xml:space="preserve">  EBITDA Multiple Method</t>
  </si>
  <si>
    <t xml:space="preserve">  Perpetuity Method </t>
  </si>
  <si>
    <t>Equity Cash Flows</t>
  </si>
  <si>
    <t>x</t>
  </si>
  <si>
    <t>PV Table</t>
  </si>
  <si>
    <t>=</t>
  </si>
  <si>
    <t>PV (1) =</t>
  </si>
  <si>
    <t>PV (2) =</t>
  </si>
  <si>
    <t>PV (3) =</t>
  </si>
  <si>
    <t>PV (4) =</t>
  </si>
  <si>
    <t>PV (5) =</t>
  </si>
  <si>
    <t>NPV=</t>
  </si>
  <si>
    <t>Enteprise Value =</t>
  </si>
  <si>
    <t>PV of Equity + PV of Debt</t>
  </si>
  <si>
    <t xml:space="preserve">PV of Equity = </t>
  </si>
  <si>
    <t xml:space="preserve">+ PV of Debt = </t>
  </si>
  <si>
    <t>ENTEPRISE VALUATION ANALYSIS</t>
  </si>
  <si>
    <t>Method #2</t>
  </si>
  <si>
    <t>Method #3</t>
  </si>
  <si>
    <t>Method #4</t>
  </si>
  <si>
    <t xml:space="preserve">Less Capex </t>
  </si>
  <si>
    <t>Equity Value at Terminal</t>
  </si>
  <si>
    <t>EV</t>
  </si>
  <si>
    <t>Debt</t>
  </si>
  <si>
    <t>Eq Value</t>
  </si>
  <si>
    <t>Shares Outs</t>
  </si>
  <si>
    <t>Stock Price</t>
  </si>
  <si>
    <t>Method #1 - Current Market Price</t>
  </si>
  <si>
    <t>Acquirer</t>
  </si>
  <si>
    <t>Less Debt Outstanding (at Exit)</t>
  </si>
  <si>
    <t>Cash</t>
  </si>
  <si>
    <t xml:space="preserve">  Average of other methods</t>
  </si>
  <si>
    <t>Stocks Outstanding (000)</t>
  </si>
  <si>
    <t>Equity Value (000)</t>
  </si>
  <si>
    <t>Debt  (000)</t>
  </si>
  <si>
    <t>Cash
(000)</t>
  </si>
  <si>
    <t>Enterprise Value 
(000)</t>
  </si>
  <si>
    <t>EBITDA (000)</t>
  </si>
  <si>
    <t>Beta</t>
  </si>
  <si>
    <t>BJ's Restaurant Inc</t>
  </si>
  <si>
    <t>BJRI</t>
  </si>
  <si>
    <t>EAT</t>
  </si>
  <si>
    <t>Darden Rest. (Red Lobster, Olive Garden)</t>
  </si>
  <si>
    <t>DRI</t>
  </si>
  <si>
    <t>Starbucks Corp.</t>
  </si>
  <si>
    <t>SBUX</t>
  </si>
  <si>
    <t>Texas Roadhouse</t>
  </si>
  <si>
    <t>TXRH</t>
  </si>
  <si>
    <t>YUM</t>
  </si>
  <si>
    <t>Date</t>
  </si>
  <si>
    <t>Target</t>
  </si>
  <si>
    <t>Value
($mm)</t>
  </si>
  <si>
    <t>EBITDA
($mm)</t>
  </si>
  <si>
    <t>Applebees</t>
  </si>
  <si>
    <t>IHOP</t>
  </si>
  <si>
    <t>Garden Fresh Holdings</t>
  </si>
  <si>
    <t>Sun Capital Partners</t>
  </si>
  <si>
    <t>RTM Restaurants</t>
  </si>
  <si>
    <t>Triarc Cos</t>
  </si>
  <si>
    <t>EACC Corp</t>
  </si>
  <si>
    <t>Banner Buffets LLC</t>
  </si>
  <si>
    <t>Chevy's Fresh Mex</t>
  </si>
  <si>
    <t>Real Mex Restaurant</t>
  </si>
  <si>
    <t>Bear Creek Corp.</t>
  </si>
  <si>
    <t>Wasserstein &amp; Co.</t>
  </si>
  <si>
    <t>Caribbean Restaurants</t>
  </si>
  <si>
    <t>Castle Harlan</t>
  </si>
  <si>
    <t>House of Blues</t>
  </si>
  <si>
    <t>Ares Corporate - Venture</t>
  </si>
  <si>
    <t>Texas Roadhouse's Enteprise Value</t>
  </si>
  <si>
    <t>Burger King</t>
  </si>
  <si>
    <t>Cheescake Factory</t>
  </si>
  <si>
    <t>CAKE</t>
  </si>
  <si>
    <t>McDonalds</t>
  </si>
  <si>
    <t>MCD</t>
  </si>
  <si>
    <t xml:space="preserve"> - PV of Cash =</t>
  </si>
  <si>
    <t>OSI Restaurant (Outback Steakhouse)</t>
  </si>
  <si>
    <t>Bain Capital</t>
  </si>
  <si>
    <t>3G Capital</t>
  </si>
  <si>
    <t>(5% per year debt payments)</t>
  </si>
  <si>
    <t>Wendy's/Arby's</t>
  </si>
  <si>
    <t>Pizza Hut Franchise</t>
  </si>
  <si>
    <t>Olympus Partners</t>
  </si>
  <si>
    <t>Wendy's</t>
  </si>
  <si>
    <t>WEN</t>
  </si>
  <si>
    <t>Brinker Intl (Chili's, Romano's)</t>
  </si>
  <si>
    <t>Yum Brands (Taco Bell, Pizza Hut, KFC)</t>
  </si>
  <si>
    <t>Chipotle Mexican Grill</t>
  </si>
  <si>
    <t>CMG</t>
  </si>
  <si>
    <t>Adj. Outliers</t>
  </si>
  <si>
    <t>Calculating WACC</t>
  </si>
  <si>
    <t>Amount</t>
  </si>
  <si>
    <t xml:space="preserve"> % Cap</t>
  </si>
  <si>
    <t>Return/Inter</t>
  </si>
  <si>
    <t>After Tax</t>
  </si>
  <si>
    <t xml:space="preserve"> WACC</t>
  </si>
  <si>
    <t>Market Value of Equity (Trading)</t>
  </si>
  <si>
    <t>Total Debt</t>
  </si>
  <si>
    <t xml:space="preserve">  Total Capital</t>
  </si>
  <si>
    <t>6-year Treasury Note =</t>
  </si>
  <si>
    <t>(given)</t>
  </si>
  <si>
    <t>Historical Market Premium =</t>
  </si>
  <si>
    <t>Company Beta =</t>
  </si>
  <si>
    <t>Tax Rate =</t>
  </si>
  <si>
    <t>WACC</t>
  </si>
  <si>
    <t>(Exit yr EBITDA x EBITDA Multiple)</t>
  </si>
  <si>
    <t>Next yr Cash Flow / (WACC - Next Yr Growth Rate)</t>
  </si>
  <si>
    <t>interest=</t>
  </si>
  <si>
    <t>Cash
 ($mm) 
as of 12/31/2014</t>
  </si>
  <si>
    <t>Stock Price (as of 10/26/2015)</t>
  </si>
  <si>
    <t>Debt (ST&amp;LT)
($mm)
 as of 6/30/2015</t>
  </si>
  <si>
    <t>Input (LTM)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</si>
</sst>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\x"/>
    <numFmt numFmtId="174" formatCode="0.0%"/>
    <numFmt numFmtId="175" formatCode="0.000%"/>
    <numFmt numFmtId="176" formatCode="_(* #,##0.000_);_(* \(#,##0.000\);_(* &quot;-&quot;??_);_(@_)"/>
    <numFmt numFmtId="177" formatCode="0.0\x"/>
    <numFmt numFmtId="178" formatCode="_(* #,##0.0000000_);_(* \(#,##0.0000000\);_(* &quot;-&quot;??_);_(@_)"/>
    <numFmt numFmtId="179" formatCode="_(* #,##0.0_);_(* \(#,##0.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"/>
    <numFmt numFmtId="185" formatCode="mmm\-yyyy"/>
    <numFmt numFmtId="186" formatCode="[$-409]dddd\,\ mmmm\ dd\,\ yyyy"/>
    <numFmt numFmtId="187" formatCode="[$-409]mmmm\-yy;@"/>
    <numFmt numFmtId="188" formatCode="[$-409]mmm\-yy;@"/>
  </numFmts>
  <fonts count="56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"/>
      <family val="2"/>
    </font>
    <font>
      <b/>
      <u val="singleAccounting"/>
      <sz val="10"/>
      <color indexed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4" fillId="33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44" fontId="2" fillId="0" borderId="13" xfId="44" applyFont="1" applyBorder="1" applyAlignment="1">
      <alignment/>
    </xf>
    <xf numFmtId="176" fontId="2" fillId="0" borderId="13" xfId="42" applyNumberFormat="1" applyFont="1" applyBorder="1" applyAlignment="1">
      <alignment/>
    </xf>
    <xf numFmtId="43" fontId="2" fillId="0" borderId="13" xfId="42" applyNumberFormat="1" applyFont="1" applyBorder="1" applyAlignment="1">
      <alignment/>
    </xf>
    <xf numFmtId="43" fontId="2" fillId="0" borderId="14" xfId="42" applyNumberFormat="1" applyFont="1" applyBorder="1" applyAlignment="1">
      <alignment/>
    </xf>
    <xf numFmtId="43" fontId="3" fillId="33" borderId="15" xfId="42" applyNumberFormat="1" applyFont="1" applyFill="1" applyBorder="1" applyAlignment="1">
      <alignment/>
    </xf>
    <xf numFmtId="0" fontId="8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176" fontId="2" fillId="0" borderId="10" xfId="42" applyNumberFormat="1" applyFont="1" applyBorder="1" applyAlignment="1">
      <alignment/>
    </xf>
    <xf numFmtId="43" fontId="2" fillId="0" borderId="17" xfId="42" applyNumberFormat="1" applyFont="1" applyBorder="1" applyAlignment="1">
      <alignment/>
    </xf>
    <xf numFmtId="43" fontId="3" fillId="33" borderId="18" xfId="42" applyNumberFormat="1" applyFont="1" applyFill="1" applyBorder="1" applyAlignment="1">
      <alignment/>
    </xf>
    <xf numFmtId="44" fontId="2" fillId="0" borderId="10" xfId="44" applyFont="1" applyFill="1" applyBorder="1" applyAlignment="1">
      <alignment/>
    </xf>
    <xf numFmtId="0" fontId="4" fillId="0" borderId="0" xfId="0" applyFont="1" applyBorder="1" applyAlignment="1">
      <alignment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4" fillId="33" borderId="19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173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173" fontId="0" fillId="0" borderId="21" xfId="0" applyNumberFormat="1" applyBorder="1" applyAlignment="1">
      <alignment/>
    </xf>
    <xf numFmtId="0" fontId="4" fillId="0" borderId="22" xfId="0" applyFont="1" applyBorder="1" applyAlignment="1">
      <alignment horizontal="right"/>
    </xf>
    <xf numFmtId="9" fontId="0" fillId="0" borderId="0" xfId="0" applyNumberFormat="1" applyAlignment="1">
      <alignment/>
    </xf>
    <xf numFmtId="172" fontId="0" fillId="0" borderId="0" xfId="42" applyNumberFormat="1" applyFont="1" applyBorder="1" applyAlignment="1">
      <alignment/>
    </xf>
    <xf numFmtId="172" fontId="0" fillId="0" borderId="23" xfId="42" applyNumberFormat="1" applyFont="1" applyBorder="1" applyAlignment="1">
      <alignment/>
    </xf>
    <xf numFmtId="174" fontId="0" fillId="0" borderId="0" xfId="0" applyNumberFormat="1" applyAlignment="1">
      <alignment/>
    </xf>
    <xf numFmtId="174" fontId="2" fillId="0" borderId="0" xfId="59" applyNumberFormat="1" applyFont="1" applyBorder="1" applyAlignment="1">
      <alignment/>
    </xf>
    <xf numFmtId="174" fontId="2" fillId="0" borderId="23" xfId="59" applyNumberFormat="1" applyFont="1" applyBorder="1" applyAlignment="1">
      <alignment/>
    </xf>
    <xf numFmtId="172" fontId="4" fillId="0" borderId="24" xfId="42" applyNumberFormat="1" applyFont="1" applyBorder="1" applyAlignment="1">
      <alignment/>
    </xf>
    <xf numFmtId="172" fontId="4" fillId="0" borderId="25" xfId="42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10" fillId="0" borderId="0" xfId="0" applyFont="1" applyAlignment="1">
      <alignment/>
    </xf>
    <xf numFmtId="177" fontId="0" fillId="0" borderId="0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4" xfId="42" applyNumberFormat="1" applyFont="1" applyBorder="1" applyAlignment="1">
      <alignment/>
    </xf>
    <xf numFmtId="172" fontId="0" fillId="0" borderId="0" xfId="0" applyNumberFormat="1" applyBorder="1" applyAlignment="1">
      <alignment/>
    </xf>
    <xf numFmtId="178" fontId="4" fillId="0" borderId="0" xfId="42" applyNumberFormat="1" applyFont="1" applyBorder="1" applyAlignment="1">
      <alignment horizontal="right"/>
    </xf>
    <xf numFmtId="178" fontId="4" fillId="0" borderId="23" xfId="42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78" fontId="4" fillId="0" borderId="0" xfId="42" applyNumberFormat="1" applyFont="1" applyBorder="1" applyAlignment="1">
      <alignment horizontal="center"/>
    </xf>
    <xf numFmtId="6" fontId="4" fillId="0" borderId="0" xfId="0" applyNumberFormat="1" applyFont="1" applyAlignment="1">
      <alignment/>
    </xf>
    <xf numFmtId="43" fontId="0" fillId="0" borderId="0" xfId="0" applyNumberFormat="1" applyAlignment="1">
      <alignment/>
    </xf>
    <xf numFmtId="6" fontId="4" fillId="0" borderId="25" xfId="0" applyNumberFormat="1" applyFont="1" applyBorder="1" applyAlignment="1">
      <alignment/>
    </xf>
    <xf numFmtId="0" fontId="0" fillId="0" borderId="0" xfId="0" applyAlignment="1" quotePrefix="1">
      <alignment/>
    </xf>
    <xf numFmtId="6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6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72" fontId="4" fillId="0" borderId="0" xfId="0" applyNumberFormat="1" applyFont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1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172" fontId="0" fillId="0" borderId="32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172" fontId="2" fillId="0" borderId="13" xfId="42" applyNumberFormat="1" applyFont="1" applyBorder="1" applyAlignment="1">
      <alignment/>
    </xf>
    <xf numFmtId="172" fontId="3" fillId="33" borderId="18" xfId="42" applyNumberFormat="1" applyFont="1" applyFill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33" xfId="0" applyNumberFormat="1" applyBorder="1" applyAlignment="1">
      <alignment/>
    </xf>
    <xf numFmtId="172" fontId="4" fillId="0" borderId="25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29" xfId="0" applyFont="1" applyBorder="1" applyAlignment="1">
      <alignment/>
    </xf>
    <xf numFmtId="44" fontId="0" fillId="0" borderId="15" xfId="44" applyNumberFormat="1" applyFont="1" applyBorder="1" applyAlignment="1">
      <alignment/>
    </xf>
    <xf numFmtId="44" fontId="4" fillId="0" borderId="36" xfId="44" applyNumberFormat="1" applyFont="1" applyBorder="1" applyAlignment="1">
      <alignment/>
    </xf>
    <xf numFmtId="43" fontId="2" fillId="0" borderId="32" xfId="42" applyNumberFormat="1" applyFont="1" applyBorder="1" applyAlignment="1">
      <alignment/>
    </xf>
    <xf numFmtId="43" fontId="2" fillId="0" borderId="33" xfId="42" applyNumberFormat="1" applyFont="1" applyBorder="1" applyAlignment="1">
      <alignment/>
    </xf>
    <xf numFmtId="14" fontId="0" fillId="0" borderId="12" xfId="0" applyNumberFormat="1" applyBorder="1" applyAlignment="1">
      <alignment horizontal="left"/>
    </xf>
    <xf numFmtId="0" fontId="0" fillId="0" borderId="37" xfId="0" applyBorder="1" applyAlignment="1">
      <alignment/>
    </xf>
    <xf numFmtId="173" fontId="0" fillId="0" borderId="38" xfId="0" applyNumberFormat="1" applyBorder="1" applyAlignment="1">
      <alignment/>
    </xf>
    <xf numFmtId="0" fontId="9" fillId="34" borderId="39" xfId="0" applyFont="1" applyFill="1" applyBorder="1" applyAlignment="1">
      <alignment horizontal="left" vertical="center" wrapText="1"/>
    </xf>
    <xf numFmtId="0" fontId="0" fillId="34" borderId="40" xfId="0" applyFill="1" applyBorder="1" applyAlignment="1">
      <alignment/>
    </xf>
    <xf numFmtId="172" fontId="4" fillId="34" borderId="41" xfId="0" applyNumberFormat="1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4" fillId="34" borderId="43" xfId="0" applyFont="1" applyFill="1" applyBorder="1" applyAlignment="1">
      <alignment/>
    </xf>
    <xf numFmtId="0" fontId="4" fillId="34" borderId="43" xfId="0" applyFont="1" applyFill="1" applyBorder="1" applyAlignment="1">
      <alignment horizontal="center" wrapText="1"/>
    </xf>
    <xf numFmtId="0" fontId="4" fillId="34" borderId="44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right"/>
    </xf>
    <xf numFmtId="0" fontId="4" fillId="34" borderId="45" xfId="0" applyFont="1" applyFill="1" applyBorder="1" applyAlignment="1">
      <alignment horizontal="center"/>
    </xf>
    <xf numFmtId="178" fontId="15" fillId="0" borderId="0" xfId="42" applyNumberFormat="1" applyFont="1" applyBorder="1" applyAlignment="1">
      <alignment/>
    </xf>
    <xf numFmtId="178" fontId="15" fillId="0" borderId="46" xfId="42" applyNumberFormat="1" applyFont="1" applyBorder="1" applyAlignment="1">
      <alignment/>
    </xf>
    <xf numFmtId="172" fontId="0" fillId="0" borderId="23" xfId="42" applyNumberFormat="1" applyFont="1" applyBorder="1" applyAlignment="1">
      <alignment/>
    </xf>
    <xf numFmtId="0" fontId="4" fillId="34" borderId="2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44" fontId="2" fillId="35" borderId="10" xfId="44" applyFont="1" applyFill="1" applyBorder="1" applyAlignment="1">
      <alignment/>
    </xf>
    <xf numFmtId="172" fontId="2" fillId="35" borderId="10" xfId="42" applyNumberFormat="1" applyFont="1" applyFill="1" applyBorder="1" applyAlignment="1">
      <alignment/>
    </xf>
    <xf numFmtId="172" fontId="2" fillId="35" borderId="17" xfId="42" applyNumberFormat="1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0" fillId="0" borderId="0" xfId="0" applyFill="1" applyAlignment="1" quotePrefix="1">
      <alignment horizontal="left"/>
    </xf>
    <xf numFmtId="44" fontId="14" fillId="0" borderId="10" xfId="44" applyFont="1" applyBorder="1" applyAlignment="1">
      <alignment/>
    </xf>
    <xf numFmtId="172" fontId="14" fillId="0" borderId="10" xfId="42" applyNumberFormat="1" applyFont="1" applyBorder="1" applyAlignment="1">
      <alignment/>
    </xf>
    <xf numFmtId="172" fontId="2" fillId="0" borderId="10" xfId="42" applyNumberFormat="1" applyFont="1" applyBorder="1" applyAlignment="1">
      <alignment/>
    </xf>
    <xf numFmtId="172" fontId="14" fillId="0" borderId="33" xfId="42" applyNumberFormat="1" applyFont="1" applyBorder="1" applyAlignment="1">
      <alignment/>
    </xf>
    <xf numFmtId="172" fontId="3" fillId="0" borderId="18" xfId="42" applyNumberFormat="1" applyFont="1" applyFill="1" applyBorder="1" applyAlignment="1">
      <alignment/>
    </xf>
    <xf numFmtId="172" fontId="14" fillId="0" borderId="17" xfId="42" applyNumberFormat="1" applyFont="1" applyBorder="1" applyAlignment="1">
      <alignment/>
    </xf>
    <xf numFmtId="173" fontId="3" fillId="33" borderId="18" xfId="42" applyNumberFormat="1" applyFont="1" applyFill="1" applyBorder="1" applyAlignment="1">
      <alignment/>
    </xf>
    <xf numFmtId="173" fontId="14" fillId="0" borderId="47" xfId="42" applyNumberFormat="1" applyFont="1" applyBorder="1" applyAlignment="1">
      <alignment/>
    </xf>
    <xf numFmtId="0" fontId="0" fillId="36" borderId="0" xfId="0" applyFill="1" applyAlignment="1">
      <alignment/>
    </xf>
    <xf numFmtId="0" fontId="4" fillId="33" borderId="42" xfId="0" applyFont="1" applyFill="1" applyBorder="1" applyAlignment="1">
      <alignment horizontal="center" wrapText="1"/>
    </xf>
    <xf numFmtId="0" fontId="4" fillId="33" borderId="43" xfId="0" applyFont="1" applyFill="1" applyBorder="1" applyAlignment="1">
      <alignment horizontal="center" wrapText="1"/>
    </xf>
    <xf numFmtId="179" fontId="4" fillId="33" borderId="43" xfId="42" applyNumberFormat="1" applyFont="1" applyFill="1" applyBorder="1" applyAlignment="1">
      <alignment horizontal="center" wrapText="1"/>
    </xf>
    <xf numFmtId="179" fontId="0" fillId="0" borderId="13" xfId="42" applyNumberFormat="1" applyFont="1" applyBorder="1" applyAlignment="1">
      <alignment/>
    </xf>
    <xf numFmtId="184" fontId="0" fillId="0" borderId="13" xfId="0" applyNumberFormat="1" applyBorder="1" applyAlignment="1">
      <alignment/>
    </xf>
    <xf numFmtId="14" fontId="0" fillId="0" borderId="16" xfId="0" applyNumberFormat="1" applyBorder="1" applyAlignment="1">
      <alignment horizontal="left"/>
    </xf>
    <xf numFmtId="179" fontId="0" fillId="0" borderId="10" xfId="42" applyNumberFormat="1" applyFont="1" applyBorder="1" applyAlignment="1">
      <alignment/>
    </xf>
    <xf numFmtId="184" fontId="0" fillId="0" borderId="10" xfId="0" applyNumberFormat="1" applyBorder="1" applyAlignment="1">
      <alignment/>
    </xf>
    <xf numFmtId="14" fontId="0" fillId="0" borderId="48" xfId="0" applyNumberFormat="1" applyBorder="1" applyAlignment="1">
      <alignment horizontal="left"/>
    </xf>
    <xf numFmtId="179" fontId="0" fillId="0" borderId="37" xfId="42" applyNumberFormat="1" applyFont="1" applyBorder="1" applyAlignment="1">
      <alignment/>
    </xf>
    <xf numFmtId="184" fontId="0" fillId="0" borderId="37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17" fillId="0" borderId="23" xfId="42" applyNumberFormat="1" applyFont="1" applyBorder="1" applyAlignment="1">
      <alignment/>
    </xf>
    <xf numFmtId="174" fontId="0" fillId="0" borderId="0" xfId="59" applyNumberFormat="1" applyFont="1" applyAlignment="1">
      <alignment/>
    </xf>
    <xf numFmtId="172" fontId="17" fillId="0" borderId="15" xfId="42" applyNumberFormat="1" applyFont="1" applyBorder="1" applyAlignment="1">
      <alignment/>
    </xf>
    <xf numFmtId="174" fontId="17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2" fontId="0" fillId="0" borderId="0" xfId="0" applyNumberFormat="1" applyBorder="1" applyAlignment="1" quotePrefix="1">
      <alignment/>
    </xf>
    <xf numFmtId="172" fontId="17" fillId="0" borderId="49" xfId="0" applyNumberFormat="1" applyFont="1" applyBorder="1" applyAlignment="1">
      <alignment/>
    </xf>
    <xf numFmtId="0" fontId="4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3" fillId="0" borderId="0" xfId="0" applyNumberFormat="1" applyFont="1" applyFill="1" applyAlignment="1">
      <alignment/>
    </xf>
    <xf numFmtId="10" fontId="17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34" borderId="4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wrapText="1"/>
    </xf>
    <xf numFmtId="176" fontId="4" fillId="34" borderId="41" xfId="42" applyNumberFormat="1" applyFont="1" applyFill="1" applyBorder="1" applyAlignment="1">
      <alignment horizontal="center"/>
    </xf>
    <xf numFmtId="172" fontId="2" fillId="0" borderId="33" xfId="42" applyNumberFormat="1" applyFont="1" applyBorder="1" applyAlignment="1">
      <alignment/>
    </xf>
    <xf numFmtId="172" fontId="3" fillId="0" borderId="18" xfId="42" applyNumberFormat="1" applyFont="1" applyFill="1" applyBorder="1" applyAlignment="1">
      <alignment/>
    </xf>
    <xf numFmtId="172" fontId="2" fillId="0" borderId="17" xfId="42" applyNumberFormat="1" applyFont="1" applyBorder="1" applyAlignment="1">
      <alignment/>
    </xf>
    <xf numFmtId="173" fontId="3" fillId="33" borderId="18" xfId="42" applyNumberFormat="1" applyFont="1" applyFill="1" applyBorder="1" applyAlignment="1">
      <alignment/>
    </xf>
    <xf numFmtId="172" fontId="17" fillId="0" borderId="0" xfId="0" applyNumberFormat="1" applyFont="1" applyBorder="1" applyAlignment="1">
      <alignment/>
    </xf>
    <xf numFmtId="173" fontId="14" fillId="0" borderId="47" xfId="42" applyNumberFormat="1" applyFont="1" applyBorder="1" applyAlignment="1">
      <alignment/>
    </xf>
    <xf numFmtId="188" fontId="18" fillId="34" borderId="46" xfId="0" applyNumberFormat="1" applyFont="1" applyFill="1" applyBorder="1" applyAlignment="1" quotePrefix="1">
      <alignment horizontal="right"/>
    </xf>
    <xf numFmtId="188" fontId="18" fillId="34" borderId="22" xfId="0" applyNumberFormat="1" applyFont="1" applyFill="1" applyBorder="1" applyAlignment="1">
      <alignment horizontal="right"/>
    </xf>
    <xf numFmtId="188" fontId="18" fillId="34" borderId="46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73" fontId="14" fillId="0" borderId="47" xfId="42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72" fontId="4" fillId="0" borderId="50" xfId="42" applyNumberFormat="1" applyFont="1" applyBorder="1" applyAlignment="1">
      <alignment/>
    </xf>
    <xf numFmtId="172" fontId="0" fillId="0" borderId="34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5" fontId="4" fillId="34" borderId="40" xfId="0" applyNumberFormat="1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4" fontId="0" fillId="0" borderId="0" xfId="59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0" fontId="0" fillId="0" borderId="51" xfId="0" applyFont="1" applyBorder="1" applyAlignment="1">
      <alignment/>
    </xf>
    <xf numFmtId="10" fontId="0" fillId="0" borderId="0" xfId="0" applyNumberFormat="1" applyFont="1" applyBorder="1" applyAlignment="1">
      <alignment/>
    </xf>
    <xf numFmtId="174" fontId="4" fillId="0" borderId="25" xfId="59" applyNumberFormat="1" applyFont="1" applyBorder="1" applyAlignment="1">
      <alignment/>
    </xf>
    <xf numFmtId="10" fontId="4" fillId="0" borderId="25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173" fontId="0" fillId="0" borderId="0" xfId="42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 quotePrefix="1">
      <alignment shrinkToFit="1"/>
    </xf>
    <xf numFmtId="17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2" fontId="55" fillId="0" borderId="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112</xdr:row>
      <xdr:rowOff>9525</xdr:rowOff>
    </xdr:from>
    <xdr:to>
      <xdr:col>5</xdr:col>
      <xdr:colOff>400050</xdr:colOff>
      <xdr:row>114</xdr:row>
      <xdr:rowOff>95250</xdr:rowOff>
    </xdr:to>
    <xdr:sp>
      <xdr:nvSpPr>
        <xdr:cNvPr id="1" name="Line 1"/>
        <xdr:cNvSpPr>
          <a:spLocks/>
        </xdr:cNvSpPr>
      </xdr:nvSpPr>
      <xdr:spPr>
        <a:xfrm>
          <a:off x="7239000" y="20221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112</xdr:row>
      <xdr:rowOff>19050</xdr:rowOff>
    </xdr:from>
    <xdr:to>
      <xdr:col>6</xdr:col>
      <xdr:colOff>352425</xdr:colOff>
      <xdr:row>115</xdr:row>
      <xdr:rowOff>104775</xdr:rowOff>
    </xdr:to>
    <xdr:sp>
      <xdr:nvSpPr>
        <xdr:cNvPr id="2" name="Line 2"/>
        <xdr:cNvSpPr>
          <a:spLocks/>
        </xdr:cNvSpPr>
      </xdr:nvSpPr>
      <xdr:spPr>
        <a:xfrm>
          <a:off x="8105775" y="202311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112</xdr:row>
      <xdr:rowOff>19050</xdr:rowOff>
    </xdr:from>
    <xdr:to>
      <xdr:col>7</xdr:col>
      <xdr:colOff>400050</xdr:colOff>
      <xdr:row>116</xdr:row>
      <xdr:rowOff>85725</xdr:rowOff>
    </xdr:to>
    <xdr:sp>
      <xdr:nvSpPr>
        <xdr:cNvPr id="3" name="Line 3"/>
        <xdr:cNvSpPr>
          <a:spLocks/>
        </xdr:cNvSpPr>
      </xdr:nvSpPr>
      <xdr:spPr>
        <a:xfrm>
          <a:off x="8886825" y="202311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112</xdr:row>
      <xdr:rowOff>38100</xdr:rowOff>
    </xdr:from>
    <xdr:to>
      <xdr:col>8</xdr:col>
      <xdr:colOff>409575</xdr:colOff>
      <xdr:row>117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9620250" y="20250150"/>
          <a:ext cx="95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57150</xdr:rowOff>
    </xdr:from>
    <xdr:to>
      <xdr:col>4</xdr:col>
      <xdr:colOff>476250</xdr:colOff>
      <xdr:row>113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6000750" y="20431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95250</xdr:rowOff>
    </xdr:from>
    <xdr:to>
      <xdr:col>5</xdr:col>
      <xdr:colOff>400050</xdr:colOff>
      <xdr:row>114</xdr:row>
      <xdr:rowOff>95250</xdr:rowOff>
    </xdr:to>
    <xdr:sp>
      <xdr:nvSpPr>
        <xdr:cNvPr id="6" name="Line 7"/>
        <xdr:cNvSpPr>
          <a:spLocks/>
        </xdr:cNvSpPr>
      </xdr:nvSpPr>
      <xdr:spPr>
        <a:xfrm flipH="1">
          <a:off x="6000750" y="20631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95250</xdr:rowOff>
    </xdr:from>
    <xdr:to>
      <xdr:col>6</xdr:col>
      <xdr:colOff>352425</xdr:colOff>
      <xdr:row>115</xdr:row>
      <xdr:rowOff>95250</xdr:rowOff>
    </xdr:to>
    <xdr:sp>
      <xdr:nvSpPr>
        <xdr:cNvPr id="7" name="Line 8"/>
        <xdr:cNvSpPr>
          <a:spLocks/>
        </xdr:cNvSpPr>
      </xdr:nvSpPr>
      <xdr:spPr>
        <a:xfrm flipH="1">
          <a:off x="6000750" y="207930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116</xdr:row>
      <xdr:rowOff>85725</xdr:rowOff>
    </xdr:from>
    <xdr:to>
      <xdr:col>7</xdr:col>
      <xdr:colOff>400050</xdr:colOff>
      <xdr:row>116</xdr:row>
      <xdr:rowOff>114300</xdr:rowOff>
    </xdr:to>
    <xdr:sp>
      <xdr:nvSpPr>
        <xdr:cNvPr id="8" name="Line 9"/>
        <xdr:cNvSpPr>
          <a:spLocks/>
        </xdr:cNvSpPr>
      </xdr:nvSpPr>
      <xdr:spPr>
        <a:xfrm flipH="1">
          <a:off x="6029325" y="20945475"/>
          <a:ext cx="28575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110</xdr:row>
      <xdr:rowOff>104775</xdr:rowOff>
    </xdr:from>
    <xdr:to>
      <xdr:col>4</xdr:col>
      <xdr:colOff>0</xdr:colOff>
      <xdr:row>110</xdr:row>
      <xdr:rowOff>104775</xdr:rowOff>
    </xdr:to>
    <xdr:sp>
      <xdr:nvSpPr>
        <xdr:cNvPr id="9" name="Line 11"/>
        <xdr:cNvSpPr>
          <a:spLocks/>
        </xdr:cNvSpPr>
      </xdr:nvSpPr>
      <xdr:spPr>
        <a:xfrm>
          <a:off x="5029200" y="199548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112</xdr:row>
      <xdr:rowOff>0</xdr:rowOff>
    </xdr:from>
    <xdr:to>
      <xdr:col>4</xdr:col>
      <xdr:colOff>466725</xdr:colOff>
      <xdr:row>113</xdr:row>
      <xdr:rowOff>57150</xdr:rowOff>
    </xdr:to>
    <xdr:sp>
      <xdr:nvSpPr>
        <xdr:cNvPr id="10" name="Line 12"/>
        <xdr:cNvSpPr>
          <a:spLocks/>
        </xdr:cNvSpPr>
      </xdr:nvSpPr>
      <xdr:spPr>
        <a:xfrm>
          <a:off x="6467475" y="202120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190500</xdr:rowOff>
    </xdr:from>
    <xdr:to>
      <xdr:col>2</xdr:col>
      <xdr:colOff>523875</xdr:colOff>
      <xdr:row>6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1590675" y="133350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</xdr:row>
      <xdr:rowOff>180975</xdr:rowOff>
    </xdr:from>
    <xdr:to>
      <xdr:col>8</xdr:col>
      <xdr:colOff>133350</xdr:colOff>
      <xdr:row>20</xdr:row>
      <xdr:rowOff>161925</xdr:rowOff>
    </xdr:to>
    <xdr:sp>
      <xdr:nvSpPr>
        <xdr:cNvPr id="12" name="Line 15"/>
        <xdr:cNvSpPr>
          <a:spLocks/>
        </xdr:cNvSpPr>
      </xdr:nvSpPr>
      <xdr:spPr>
        <a:xfrm flipV="1">
          <a:off x="5019675" y="2714625"/>
          <a:ext cx="43338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26</xdr:row>
      <xdr:rowOff>161925</xdr:rowOff>
    </xdr:from>
    <xdr:to>
      <xdr:col>2</xdr:col>
      <xdr:colOff>523875</xdr:colOff>
      <xdr:row>26</xdr:row>
      <xdr:rowOff>161925</xdr:rowOff>
    </xdr:to>
    <xdr:sp>
      <xdr:nvSpPr>
        <xdr:cNvPr id="13" name="Line 19"/>
        <xdr:cNvSpPr>
          <a:spLocks/>
        </xdr:cNvSpPr>
      </xdr:nvSpPr>
      <xdr:spPr>
        <a:xfrm>
          <a:off x="1590675" y="43148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117</xdr:row>
      <xdr:rowOff>76200</xdr:rowOff>
    </xdr:from>
    <xdr:to>
      <xdr:col>8</xdr:col>
      <xdr:colOff>409575</xdr:colOff>
      <xdr:row>117</xdr:row>
      <xdr:rowOff>76200</xdr:rowOff>
    </xdr:to>
    <xdr:sp>
      <xdr:nvSpPr>
        <xdr:cNvPr id="14" name="Line 20"/>
        <xdr:cNvSpPr>
          <a:spLocks/>
        </xdr:cNvSpPr>
      </xdr:nvSpPr>
      <xdr:spPr>
        <a:xfrm flipH="1">
          <a:off x="6076950" y="21097875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1"/>
  <sheetViews>
    <sheetView tabSelected="1" zoomScalePageLayoutView="0" workbookViewId="0" topLeftCell="A1">
      <selection activeCell="M111" sqref="M111"/>
    </sheetView>
  </sheetViews>
  <sheetFormatPr defaultColWidth="9.140625" defaultRowHeight="12.75"/>
  <cols>
    <col min="1" max="1" width="12.421875" style="0" customWidth="1"/>
    <col min="2" max="2" width="37.421875" style="0" customWidth="1"/>
    <col min="3" max="3" width="25.00390625" style="0" customWidth="1"/>
    <col min="4" max="4" width="15.140625" style="0" customWidth="1"/>
    <col min="5" max="5" width="12.57421875" style="0" customWidth="1"/>
    <col min="6" max="6" width="13.7109375" style="0" customWidth="1"/>
    <col min="7" max="8" width="11.00390625" style="0" customWidth="1"/>
    <col min="9" max="9" width="12.57421875" style="0" customWidth="1"/>
    <col min="10" max="10" width="11.140625" style="0" customWidth="1"/>
    <col min="11" max="11" width="10.28125" style="0" customWidth="1"/>
    <col min="12" max="12" width="7.8515625" style="0" customWidth="1"/>
  </cols>
  <sheetData>
    <row r="1" ht="12.75">
      <c r="B1" s="5" t="s">
        <v>2</v>
      </c>
    </row>
    <row r="2" ht="12.75">
      <c r="B2" s="5"/>
    </row>
    <row r="3" spans="2:10" ht="20.25">
      <c r="B3" s="6" t="s">
        <v>3</v>
      </c>
      <c r="C3" s="7"/>
      <c r="J3" s="8"/>
    </row>
    <row r="4" spans="2:10" ht="15.75">
      <c r="B4" s="9"/>
      <c r="C4" s="7"/>
      <c r="J4" s="8"/>
    </row>
    <row r="5" spans="2:10" ht="20.25">
      <c r="B5" s="153" t="s">
        <v>96</v>
      </c>
      <c r="C5" s="7"/>
      <c r="J5" s="8"/>
    </row>
    <row r="6" ht="8.25" customHeight="1">
      <c r="J6" s="8"/>
    </row>
    <row r="7" spans="2:10" ht="21" customHeight="1">
      <c r="B7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/>
      <c r="I7" s="11" t="s">
        <v>9</v>
      </c>
      <c r="J7" s="12"/>
    </row>
    <row r="8" spans="4:10" ht="9.75" customHeight="1" thickBot="1">
      <c r="D8" s="13"/>
      <c r="E8" s="13"/>
      <c r="F8" s="13"/>
      <c r="G8" s="13"/>
      <c r="H8" s="13"/>
      <c r="I8" s="14"/>
      <c r="J8" s="12"/>
    </row>
    <row r="9" spans="1:10" ht="78.75" customHeight="1" thickBot="1">
      <c r="A9" s="3">
        <f>+A6+1</f>
        <v>1</v>
      </c>
      <c r="B9" s="99" t="s">
        <v>10</v>
      </c>
      <c r="C9" s="100" t="s">
        <v>11</v>
      </c>
      <c r="D9" s="101" t="s">
        <v>159</v>
      </c>
      <c r="E9" s="101" t="s">
        <v>12</v>
      </c>
      <c r="F9" s="101" t="s">
        <v>13</v>
      </c>
      <c r="G9" s="102" t="s">
        <v>160</v>
      </c>
      <c r="H9" s="103" t="s">
        <v>158</v>
      </c>
      <c r="I9" s="15" t="s">
        <v>14</v>
      </c>
      <c r="J9" s="8"/>
    </row>
    <row r="10" spans="1:10" ht="15.75" customHeight="1" hidden="1">
      <c r="A10" s="3">
        <f>+A9+1</f>
        <v>2</v>
      </c>
      <c r="B10" s="16" t="s">
        <v>15</v>
      </c>
      <c r="C10" s="17" t="s">
        <v>16</v>
      </c>
      <c r="D10" s="18">
        <v>64.37</v>
      </c>
      <c r="E10" s="19">
        <v>32.696</v>
      </c>
      <c r="F10" s="20">
        <f aca="true" t="shared" si="0" ref="F10:F18">+E10*D10</f>
        <v>2104.64152</v>
      </c>
      <c r="G10" s="21">
        <f>10.15+318.56</f>
        <v>328.71</v>
      </c>
      <c r="H10" s="91"/>
      <c r="I10" s="22">
        <f>+F10+G10</f>
        <v>2433.35152</v>
      </c>
      <c r="J10" s="8"/>
    </row>
    <row r="11" spans="1:10" ht="15.75" customHeight="1" hidden="1">
      <c r="A11" s="3">
        <f aca="true" t="shared" si="1" ref="A11:A18">+A10+1</f>
        <v>3</v>
      </c>
      <c r="B11" s="23" t="s">
        <v>17</v>
      </c>
      <c r="C11" s="24" t="s">
        <v>18</v>
      </c>
      <c r="D11" s="25">
        <v>30.76</v>
      </c>
      <c r="E11" s="26">
        <v>74.518</v>
      </c>
      <c r="F11" s="20">
        <f t="shared" si="0"/>
        <v>2292.1736800000003</v>
      </c>
      <c r="G11" s="27">
        <f>4.1+398</f>
        <v>402.1</v>
      </c>
      <c r="H11" s="92"/>
      <c r="I11" s="28">
        <f aca="true" t="shared" si="2" ref="I11:I17">+G11+F11</f>
        <v>2694.2736800000002</v>
      </c>
      <c r="J11" s="8"/>
    </row>
    <row r="12" spans="1:10" ht="15.75" customHeight="1" hidden="1">
      <c r="A12" s="3">
        <f t="shared" si="1"/>
        <v>4</v>
      </c>
      <c r="B12" s="23" t="s">
        <v>19</v>
      </c>
      <c r="C12" s="24" t="s">
        <v>20</v>
      </c>
      <c r="D12" s="25">
        <v>24.35</v>
      </c>
      <c r="E12" s="26">
        <v>380.965</v>
      </c>
      <c r="F12" s="20">
        <f t="shared" si="0"/>
        <v>9276.49775</v>
      </c>
      <c r="G12" s="27">
        <f>14+3633</f>
        <v>3647</v>
      </c>
      <c r="H12" s="92"/>
      <c r="I12" s="28">
        <f t="shared" si="2"/>
        <v>12923.49775</v>
      </c>
      <c r="J12" s="8"/>
    </row>
    <row r="13" spans="1:10" ht="15.75" customHeight="1" hidden="1">
      <c r="A13" s="3">
        <f t="shared" si="1"/>
        <v>5</v>
      </c>
      <c r="B13" s="23" t="s">
        <v>21</v>
      </c>
      <c r="C13" s="24" t="s">
        <v>22</v>
      </c>
      <c r="D13" s="25">
        <v>23.6</v>
      </c>
      <c r="E13" s="26">
        <v>5.253</v>
      </c>
      <c r="F13" s="20">
        <f t="shared" si="0"/>
        <v>123.97080000000001</v>
      </c>
      <c r="G13" s="27">
        <f>739.48+25.72</f>
        <v>765.2</v>
      </c>
      <c r="H13" s="92"/>
      <c r="I13" s="28">
        <f t="shared" si="2"/>
        <v>889.1708000000001</v>
      </c>
      <c r="J13" s="8"/>
    </row>
    <row r="14" spans="1:10" ht="15.75" customHeight="1" hidden="1">
      <c r="A14" s="3">
        <f t="shared" si="1"/>
        <v>6</v>
      </c>
      <c r="B14" s="23" t="s">
        <v>23</v>
      </c>
      <c r="C14" s="24" t="s">
        <v>24</v>
      </c>
      <c r="D14" s="25">
        <v>8.52</v>
      </c>
      <c r="E14" s="26">
        <v>201.8</v>
      </c>
      <c r="F14" s="20">
        <f t="shared" si="0"/>
        <v>1719.336</v>
      </c>
      <c r="G14" s="27">
        <f>115.99+809.62</f>
        <v>925.61</v>
      </c>
      <c r="H14" s="92"/>
      <c r="I14" s="28">
        <f t="shared" si="2"/>
        <v>2644.946</v>
      </c>
      <c r="J14" s="8"/>
    </row>
    <row r="15" spans="1:10" ht="15.75" customHeight="1" hidden="1">
      <c r="A15" s="3">
        <f t="shared" si="1"/>
        <v>7</v>
      </c>
      <c r="B15" s="23" t="s">
        <v>25</v>
      </c>
      <c r="C15" s="25" t="s">
        <v>26</v>
      </c>
      <c r="D15" s="25">
        <v>19.92</v>
      </c>
      <c r="E15" s="26">
        <v>21.282</v>
      </c>
      <c r="F15" s="20">
        <f t="shared" si="0"/>
        <v>423.93744000000004</v>
      </c>
      <c r="G15" s="27">
        <f>27.54+170.89</f>
        <v>198.42999999999998</v>
      </c>
      <c r="H15" s="92"/>
      <c r="I15" s="28">
        <f t="shared" si="2"/>
        <v>622.36744</v>
      </c>
      <c r="J15" s="8"/>
    </row>
    <row r="16" spans="1:10" ht="15.75" customHeight="1" hidden="1">
      <c r="A16" s="3">
        <f t="shared" si="1"/>
        <v>8</v>
      </c>
      <c r="B16" s="23" t="s">
        <v>27</v>
      </c>
      <c r="C16" s="25" t="s">
        <v>28</v>
      </c>
      <c r="D16" s="25">
        <v>67.51</v>
      </c>
      <c r="E16" s="26">
        <v>216.711</v>
      </c>
      <c r="F16" s="20">
        <f t="shared" si="0"/>
        <v>14630.159610000002</v>
      </c>
      <c r="G16" s="27">
        <f>489+836</f>
        <v>1325</v>
      </c>
      <c r="H16" s="92"/>
      <c r="I16" s="28">
        <f t="shared" si="2"/>
        <v>15955.159610000002</v>
      </c>
      <c r="J16" s="8"/>
    </row>
    <row r="17" spans="1:10" ht="15.75" customHeight="1" hidden="1">
      <c r="A17" s="3">
        <f t="shared" si="1"/>
        <v>9</v>
      </c>
      <c r="B17" s="23" t="s">
        <v>29</v>
      </c>
      <c r="C17" s="29" t="s">
        <v>30</v>
      </c>
      <c r="D17" s="25">
        <v>28.92</v>
      </c>
      <c r="E17" s="26">
        <v>31.791</v>
      </c>
      <c r="F17" s="20">
        <f t="shared" si="0"/>
        <v>919.3957200000001</v>
      </c>
      <c r="G17" s="27">
        <f>89.17+537.46</f>
        <v>626.63</v>
      </c>
      <c r="H17" s="92"/>
      <c r="I17" s="28">
        <f t="shared" si="2"/>
        <v>1546.02572</v>
      </c>
      <c r="J17" s="8"/>
    </row>
    <row r="18" spans="1:10" ht="15.75" customHeight="1">
      <c r="A18" s="3">
        <f t="shared" si="1"/>
        <v>10</v>
      </c>
      <c r="B18" s="23" t="str">
        <f>+B5</f>
        <v>Texas Roadhouse</v>
      </c>
      <c r="C18" s="29" t="str">
        <f>+C40</f>
        <v>TXRH</v>
      </c>
      <c r="D18" s="111">
        <v>35.9</v>
      </c>
      <c r="E18" s="112">
        <v>70070</v>
      </c>
      <c r="F18" s="80">
        <f t="shared" si="0"/>
        <v>2515513</v>
      </c>
      <c r="G18" s="113">
        <f>136+50623</f>
        <v>50759</v>
      </c>
      <c r="H18" s="113">
        <v>70965</v>
      </c>
      <c r="I18" s="81">
        <f>+G18+F18-H18</f>
        <v>2495307</v>
      </c>
      <c r="J18" s="8"/>
    </row>
    <row r="19" spans="4:10" ht="5.25" customHeight="1">
      <c r="D19" s="2"/>
      <c r="F19" s="2"/>
      <c r="G19" s="2"/>
      <c r="H19" s="2"/>
      <c r="I19" s="2"/>
      <c r="J19" s="8"/>
    </row>
    <row r="20" ht="13.5" thickBot="1">
      <c r="J20" s="8"/>
    </row>
    <row r="21" spans="2:10" ht="15" thickBot="1">
      <c r="B21" s="96" t="str">
        <f>+B45</f>
        <v>Texas Roadhouse's Enteprise Value</v>
      </c>
      <c r="C21" s="98">
        <f>+I18</f>
        <v>2495307</v>
      </c>
      <c r="J21" s="8"/>
    </row>
    <row r="22" spans="9:10" ht="12.75">
      <c r="I22" s="5"/>
      <c r="J22" s="30"/>
    </row>
    <row r="23" ht="12.75">
      <c r="J23" s="8"/>
    </row>
    <row r="24" ht="20.25">
      <c r="B24" s="6" t="s">
        <v>31</v>
      </c>
    </row>
    <row r="25" ht="14.25" customHeight="1">
      <c r="B25" s="6"/>
    </row>
    <row r="26" spans="2:10" ht="18">
      <c r="B26" s="114" t="str">
        <f>+B5</f>
        <v>Texas Roadhouse</v>
      </c>
      <c r="I26" s="115"/>
      <c r="J26" s="8"/>
    </row>
    <row r="27" spans="2:15" ht="12.75">
      <c r="B27" t="s">
        <v>4</v>
      </c>
      <c r="D27" s="116" t="s">
        <v>5</v>
      </c>
      <c r="E27" s="116" t="s">
        <v>6</v>
      </c>
      <c r="F27" s="116" t="s">
        <v>7</v>
      </c>
      <c r="G27" s="116" t="s">
        <v>8</v>
      </c>
      <c r="H27" s="116"/>
      <c r="I27" s="117" t="s">
        <v>9</v>
      </c>
      <c r="J27" s="116" t="s">
        <v>32</v>
      </c>
      <c r="K27" s="116" t="s">
        <v>33</v>
      </c>
      <c r="L27" s="13"/>
      <c r="O27" s="13"/>
    </row>
    <row r="28" spans="4:15" ht="13.5" thickBot="1">
      <c r="D28" s="13"/>
      <c r="E28" s="13"/>
      <c r="F28" s="13"/>
      <c r="G28" s="13"/>
      <c r="H28" s="13"/>
      <c r="I28" s="118"/>
      <c r="J28" s="12"/>
      <c r="K28" s="13"/>
      <c r="L28" s="13"/>
      <c r="M28" s="13"/>
      <c r="N28" s="13"/>
      <c r="O28" s="13"/>
    </row>
    <row r="29" spans="2:12" ht="39" thickBot="1">
      <c r="B29" s="99" t="s">
        <v>10</v>
      </c>
      <c r="C29" s="100" t="s">
        <v>11</v>
      </c>
      <c r="D29" s="101" t="str">
        <f>+D9</f>
        <v>Stock Price (as of 10/26/2015)</v>
      </c>
      <c r="E29" s="101" t="s">
        <v>82</v>
      </c>
      <c r="F29" s="101" t="s">
        <v>83</v>
      </c>
      <c r="G29" s="101" t="s">
        <v>84</v>
      </c>
      <c r="H29" s="154" t="s">
        <v>85</v>
      </c>
      <c r="I29" s="155" t="s">
        <v>86</v>
      </c>
      <c r="J29" s="102" t="s">
        <v>87</v>
      </c>
      <c r="K29" s="156" t="s">
        <v>34</v>
      </c>
      <c r="L29" s="157" t="s">
        <v>88</v>
      </c>
    </row>
    <row r="30" spans="1:12" ht="12.75">
      <c r="A30" s="3">
        <v>1</v>
      </c>
      <c r="B30" s="23" t="s">
        <v>89</v>
      </c>
      <c r="C30" s="24" t="s">
        <v>90</v>
      </c>
      <c r="D30" s="119">
        <v>47.37</v>
      </c>
      <c r="E30" s="120">
        <v>25600</v>
      </c>
      <c r="F30" s="121">
        <f aca="true" t="shared" si="3" ref="F30:F38">+E30*D30</f>
        <v>1212672</v>
      </c>
      <c r="G30" s="120">
        <v>74700</v>
      </c>
      <c r="H30" s="122">
        <v>25460</v>
      </c>
      <c r="I30" s="123">
        <f aca="true" t="shared" si="4" ref="I30:I38">+G30+F30-H30</f>
        <v>1261912</v>
      </c>
      <c r="J30" s="124">
        <v>115540</v>
      </c>
      <c r="K30" s="125">
        <f aca="true" t="shared" si="5" ref="K30:K38">+I30/J30</f>
        <v>10.921862558421326</v>
      </c>
      <c r="L30" s="126">
        <v>1.86</v>
      </c>
    </row>
    <row r="31" spans="1:12" ht="12.75">
      <c r="A31" s="3">
        <f aca="true" t="shared" si="6" ref="A31:A38">+A30+1</f>
        <v>2</v>
      </c>
      <c r="B31" s="23" t="s">
        <v>135</v>
      </c>
      <c r="C31" s="24" t="s">
        <v>91</v>
      </c>
      <c r="D31" s="119">
        <v>47.12</v>
      </c>
      <c r="E31" s="120">
        <v>60111</v>
      </c>
      <c r="F31" s="121">
        <f t="shared" si="3"/>
        <v>2832430.32</v>
      </c>
      <c r="G31" s="120">
        <v>1130000</v>
      </c>
      <c r="H31" s="122">
        <v>66030</v>
      </c>
      <c r="I31" s="123">
        <f t="shared" si="4"/>
        <v>3896400.32</v>
      </c>
      <c r="J31" s="124">
        <v>467520</v>
      </c>
      <c r="K31" s="125">
        <f t="shared" si="5"/>
        <v>8.33418959616701</v>
      </c>
      <c r="L31" s="126">
        <v>1.1</v>
      </c>
    </row>
    <row r="32" spans="1:12" ht="12.75">
      <c r="A32" s="3">
        <f t="shared" si="6"/>
        <v>3</v>
      </c>
      <c r="B32" s="23" t="s">
        <v>137</v>
      </c>
      <c r="C32" s="167" t="s">
        <v>138</v>
      </c>
      <c r="D32" s="119">
        <v>659.69</v>
      </c>
      <c r="E32" s="120">
        <v>31190</v>
      </c>
      <c r="F32" s="121">
        <f t="shared" si="3"/>
        <v>20575731.1</v>
      </c>
      <c r="G32" s="120">
        <v>0</v>
      </c>
      <c r="H32" s="122">
        <v>959740</v>
      </c>
      <c r="I32" s="123">
        <f t="shared" si="4"/>
        <v>19615991.1</v>
      </c>
      <c r="J32" s="124">
        <v>983780</v>
      </c>
      <c r="K32" s="125">
        <f t="shared" si="5"/>
        <v>19.939408302669296</v>
      </c>
      <c r="L32" s="168">
        <v>0.88</v>
      </c>
    </row>
    <row r="33" spans="1:12" ht="12.75">
      <c r="A33" s="3">
        <f t="shared" si="6"/>
        <v>4</v>
      </c>
      <c r="B33" s="23" t="s">
        <v>92</v>
      </c>
      <c r="C33" s="24" t="s">
        <v>93</v>
      </c>
      <c r="D33" s="119">
        <v>64.71</v>
      </c>
      <c r="E33" s="120">
        <v>128140</v>
      </c>
      <c r="F33" s="121">
        <f t="shared" si="3"/>
        <v>8291939.399999999</v>
      </c>
      <c r="G33" s="120">
        <v>1450000</v>
      </c>
      <c r="H33" s="122">
        <v>690100</v>
      </c>
      <c r="I33" s="123">
        <f t="shared" si="4"/>
        <v>9051839.399999999</v>
      </c>
      <c r="J33" s="124">
        <v>834300</v>
      </c>
      <c r="K33" s="125">
        <f t="shared" si="5"/>
        <v>10.849621718806183</v>
      </c>
      <c r="L33" s="126">
        <v>0.68</v>
      </c>
    </row>
    <row r="34" spans="1:12" ht="12.75">
      <c r="A34" s="3">
        <f t="shared" si="6"/>
        <v>5</v>
      </c>
      <c r="B34" s="23" t="s">
        <v>121</v>
      </c>
      <c r="C34" s="24" t="s">
        <v>122</v>
      </c>
      <c r="D34" s="119">
        <v>51.99</v>
      </c>
      <c r="E34" s="120">
        <v>47250</v>
      </c>
      <c r="F34" s="121">
        <f t="shared" si="3"/>
        <v>2456527.5</v>
      </c>
      <c r="G34" s="120">
        <v>104220</v>
      </c>
      <c r="H34" s="122">
        <v>61550</v>
      </c>
      <c r="I34" s="123">
        <f t="shared" si="4"/>
        <v>2499197.5</v>
      </c>
      <c r="J34" s="124">
        <v>244160</v>
      </c>
      <c r="K34" s="125">
        <f t="shared" si="5"/>
        <v>10.235900638925294</v>
      </c>
      <c r="L34" s="126">
        <v>0.61</v>
      </c>
    </row>
    <row r="35" spans="1:12" ht="12.75">
      <c r="A35" s="3">
        <f t="shared" si="6"/>
        <v>6</v>
      </c>
      <c r="B35" s="23" t="s">
        <v>123</v>
      </c>
      <c r="C35" s="24" t="s">
        <v>124</v>
      </c>
      <c r="D35" s="119">
        <v>112.18</v>
      </c>
      <c r="E35" s="120">
        <v>941810</v>
      </c>
      <c r="F35" s="121">
        <f t="shared" si="3"/>
        <v>105652245.80000001</v>
      </c>
      <c r="G35" s="120">
        <v>17900000</v>
      </c>
      <c r="H35" s="122">
        <v>4000000</v>
      </c>
      <c r="I35" s="123">
        <f t="shared" si="4"/>
        <v>119552245.80000001</v>
      </c>
      <c r="J35" s="124">
        <v>8620000</v>
      </c>
      <c r="K35" s="125">
        <f t="shared" si="5"/>
        <v>13.869170046403713</v>
      </c>
      <c r="L35" s="126">
        <v>0.64</v>
      </c>
    </row>
    <row r="36" spans="1:12" ht="12.75">
      <c r="A36" s="3">
        <f t="shared" si="6"/>
        <v>7</v>
      </c>
      <c r="B36" s="23" t="s">
        <v>94</v>
      </c>
      <c r="C36" s="24" t="s">
        <v>95</v>
      </c>
      <c r="D36" s="119">
        <v>63.43</v>
      </c>
      <c r="E36" s="120">
        <v>1480000</v>
      </c>
      <c r="F36" s="121">
        <f t="shared" si="3"/>
        <v>93876400</v>
      </c>
      <c r="G36" s="120">
        <v>2940000</v>
      </c>
      <c r="H36" s="122">
        <v>2180000</v>
      </c>
      <c r="I36" s="123">
        <f t="shared" si="4"/>
        <v>94636400</v>
      </c>
      <c r="J36" s="124">
        <v>4130000</v>
      </c>
      <c r="K36" s="125">
        <f t="shared" si="5"/>
        <v>22.914382566585957</v>
      </c>
      <c r="L36" s="126">
        <v>0.82</v>
      </c>
    </row>
    <row r="37" spans="1:12" ht="12.75">
      <c r="A37" s="3">
        <f t="shared" si="6"/>
        <v>8</v>
      </c>
      <c r="B37" s="23" t="s">
        <v>133</v>
      </c>
      <c r="C37" s="24" t="s">
        <v>134</v>
      </c>
      <c r="D37" s="119">
        <v>9.01</v>
      </c>
      <c r="E37" s="120">
        <v>272350</v>
      </c>
      <c r="F37" s="121">
        <f t="shared" si="3"/>
        <v>2453873.5</v>
      </c>
      <c r="G37" s="120">
        <v>2400000</v>
      </c>
      <c r="H37" s="122">
        <v>1200000</v>
      </c>
      <c r="I37" s="123">
        <f t="shared" si="4"/>
        <v>3653873.5</v>
      </c>
      <c r="J37" s="124">
        <v>373840</v>
      </c>
      <c r="K37" s="125">
        <f t="shared" si="5"/>
        <v>9.773896586775091</v>
      </c>
      <c r="L37" s="126">
        <v>0.86</v>
      </c>
    </row>
    <row r="38" spans="1:12" ht="12.75">
      <c r="A38" s="3">
        <f t="shared" si="6"/>
        <v>9</v>
      </c>
      <c r="B38" s="23" t="s">
        <v>136</v>
      </c>
      <c r="C38" s="24" t="s">
        <v>98</v>
      </c>
      <c r="D38" s="119">
        <v>74.18</v>
      </c>
      <c r="E38" s="120">
        <v>431240</v>
      </c>
      <c r="F38" s="121">
        <f t="shared" si="3"/>
        <v>31989383.200000003</v>
      </c>
      <c r="G38" s="120">
        <v>3220000</v>
      </c>
      <c r="H38" s="122">
        <v>861000</v>
      </c>
      <c r="I38" s="123">
        <f t="shared" si="4"/>
        <v>34348383.2</v>
      </c>
      <c r="J38" s="124">
        <v>2790000</v>
      </c>
      <c r="K38" s="125">
        <f t="shared" si="5"/>
        <v>12.311248458781362</v>
      </c>
      <c r="L38" s="126">
        <v>1.2</v>
      </c>
    </row>
    <row r="39" spans="1:13" ht="8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2" ht="12.75">
      <c r="A40" s="3">
        <f>+A38+1</f>
        <v>10</v>
      </c>
      <c r="B40" s="23" t="s">
        <v>96</v>
      </c>
      <c r="C40" s="24" t="s">
        <v>97</v>
      </c>
      <c r="D40" s="25">
        <f>+D18</f>
        <v>35.9</v>
      </c>
      <c r="E40" s="121">
        <f>+E18</f>
        <v>70070</v>
      </c>
      <c r="F40" s="121">
        <f>+E40*D40</f>
        <v>2515513</v>
      </c>
      <c r="G40" s="121">
        <f>+G18</f>
        <v>50759</v>
      </c>
      <c r="H40" s="158">
        <f>+H18</f>
        <v>70965</v>
      </c>
      <c r="I40" s="159">
        <f>+G40+F40-H40</f>
        <v>2495307</v>
      </c>
      <c r="J40" s="160">
        <f>+D100</f>
        <v>201848</v>
      </c>
      <c r="K40" s="161">
        <f>+I40/J40</f>
        <v>12.36230728072609</v>
      </c>
      <c r="L40" s="163">
        <v>1.11</v>
      </c>
    </row>
    <row r="41" ht="12.75">
      <c r="I41" s="115"/>
    </row>
    <row r="42" spans="9:12" ht="12.75">
      <c r="I42" s="115"/>
      <c r="J42" s="5" t="s">
        <v>35</v>
      </c>
      <c r="K42" s="31">
        <f>AVERAGE(K30:K38)</f>
        <v>13.23885338594836</v>
      </c>
      <c r="L42" s="31">
        <f>AVERAGE(L30:L40)</f>
        <v>0.976</v>
      </c>
    </row>
    <row r="43" spans="2:11" s="115" customFormat="1" ht="12.75">
      <c r="B43" s="148" t="s">
        <v>36</v>
      </c>
      <c r="C43" s="149">
        <f>+J40</f>
        <v>201848</v>
      </c>
      <c r="D43" s="150">
        <f>+K43</f>
        <v>12.55730118725461</v>
      </c>
      <c r="F43" s="148"/>
      <c r="G43" s="151"/>
      <c r="H43" s="151"/>
      <c r="J43" s="169" t="s">
        <v>139</v>
      </c>
      <c r="K43" s="31">
        <f>(SUM(K30:K38)-MAX(K30:K38)-MIN(K30:K38))/(COUNT(K30:K38)-2)</f>
        <v>12.55730118725461</v>
      </c>
    </row>
    <row r="44" spans="2:8" s="115" customFormat="1" ht="9" customHeight="1" thickBot="1">
      <c r="B44" s="148"/>
      <c r="C44" s="149"/>
      <c r="D44" s="150"/>
      <c r="F44" s="148"/>
      <c r="G44" s="151"/>
      <c r="H44" s="151"/>
    </row>
    <row r="45" spans="2:3" s="115" customFormat="1" ht="15" thickBot="1">
      <c r="B45" s="96" t="s">
        <v>119</v>
      </c>
      <c r="C45" s="98">
        <f>+C43*D43</f>
        <v>2534666.130044969</v>
      </c>
    </row>
    <row r="46" s="115" customFormat="1" ht="12.75">
      <c r="B46" s="148"/>
    </row>
    <row r="47" spans="2:8" ht="12.75">
      <c r="B47" s="5"/>
      <c r="G47" s="5"/>
      <c r="H47" s="5"/>
    </row>
    <row r="48" ht="20.25">
      <c r="A48" s="1" t="s">
        <v>37</v>
      </c>
    </row>
    <row r="49" ht="15.75" customHeight="1" thickBot="1"/>
    <row r="50" spans="1:6" ht="30.75" customHeight="1" thickBot="1">
      <c r="A50" s="128" t="s">
        <v>99</v>
      </c>
      <c r="B50" s="129" t="s">
        <v>100</v>
      </c>
      <c r="C50" s="129" t="s">
        <v>78</v>
      </c>
      <c r="D50" s="130" t="s">
        <v>101</v>
      </c>
      <c r="E50" s="129" t="s">
        <v>102</v>
      </c>
      <c r="F50" s="33" t="s">
        <v>34</v>
      </c>
    </row>
    <row r="51" spans="1:6" ht="21" customHeight="1">
      <c r="A51" s="93">
        <v>40853</v>
      </c>
      <c r="B51" s="34" t="s">
        <v>131</v>
      </c>
      <c r="C51" s="34" t="s">
        <v>132</v>
      </c>
      <c r="D51" s="131">
        <v>755</v>
      </c>
      <c r="E51" s="132">
        <v>111.9</v>
      </c>
      <c r="F51" s="35">
        <f>+D51/E51</f>
        <v>6.747095621090259</v>
      </c>
    </row>
    <row r="52" spans="1:6" ht="21" customHeight="1">
      <c r="A52" s="93">
        <v>40492</v>
      </c>
      <c r="B52" s="34" t="s">
        <v>120</v>
      </c>
      <c r="C52" s="34" t="s">
        <v>128</v>
      </c>
      <c r="D52" s="131">
        <v>4277.8</v>
      </c>
      <c r="E52" s="132">
        <v>461</v>
      </c>
      <c r="F52" s="35">
        <f>+D52/E52</f>
        <v>9.279392624728851</v>
      </c>
    </row>
    <row r="53" spans="1:6" ht="21" customHeight="1">
      <c r="A53" s="93">
        <v>39720</v>
      </c>
      <c r="B53" s="34" t="s">
        <v>130</v>
      </c>
      <c r="C53" s="34" t="s">
        <v>108</v>
      </c>
      <c r="D53" s="131">
        <v>4675</v>
      </c>
      <c r="E53" s="132">
        <v>398.5</v>
      </c>
      <c r="F53" s="35">
        <f>+D53/E53</f>
        <v>11.731493099121707</v>
      </c>
    </row>
    <row r="54" spans="1:6" ht="21" customHeight="1">
      <c r="A54" s="93">
        <v>39268</v>
      </c>
      <c r="B54" s="34" t="s">
        <v>103</v>
      </c>
      <c r="C54" s="34" t="s">
        <v>104</v>
      </c>
      <c r="D54" s="131">
        <v>2040</v>
      </c>
      <c r="E54" s="132">
        <v>205.8</v>
      </c>
      <c r="F54" s="35">
        <f>+D54/E54</f>
        <v>9.912536443148687</v>
      </c>
    </row>
    <row r="55" spans="1:6" ht="21" customHeight="1">
      <c r="A55" s="93">
        <v>39027</v>
      </c>
      <c r="B55" s="34" t="s">
        <v>126</v>
      </c>
      <c r="C55" s="34" t="s">
        <v>127</v>
      </c>
      <c r="D55" s="131">
        <v>3200</v>
      </c>
      <c r="E55" s="132">
        <v>353.32</v>
      </c>
      <c r="F55" s="35">
        <f>+D55/E55</f>
        <v>9.05694554511491</v>
      </c>
    </row>
    <row r="56" spans="1:6" ht="21" customHeight="1">
      <c r="A56" s="93">
        <v>38644</v>
      </c>
      <c r="B56" s="34" t="s">
        <v>105</v>
      </c>
      <c r="C56" s="34" t="s">
        <v>106</v>
      </c>
      <c r="D56" s="131">
        <v>250</v>
      </c>
      <c r="E56" s="132">
        <v>21</v>
      </c>
      <c r="F56" s="35">
        <f aca="true" t="shared" si="7" ref="F56:F62">+D56/E56</f>
        <v>11.904761904761905</v>
      </c>
    </row>
    <row r="57" spans="1:6" ht="21" customHeight="1">
      <c r="A57" s="133">
        <v>38558</v>
      </c>
      <c r="B57" s="36" t="s">
        <v>107</v>
      </c>
      <c r="C57" s="36" t="s">
        <v>108</v>
      </c>
      <c r="D57" s="134">
        <v>780</v>
      </c>
      <c r="E57" s="135">
        <v>180.7</v>
      </c>
      <c r="F57" s="37">
        <f t="shared" si="7"/>
        <v>4.316546762589929</v>
      </c>
    </row>
    <row r="58" spans="1:6" ht="21" customHeight="1">
      <c r="A58" s="133">
        <v>38534</v>
      </c>
      <c r="B58" s="36" t="s">
        <v>109</v>
      </c>
      <c r="C58" s="36" t="s">
        <v>110</v>
      </c>
      <c r="D58" s="134">
        <v>30</v>
      </c>
      <c r="E58" s="135">
        <v>4.5</v>
      </c>
      <c r="F58" s="37">
        <f t="shared" si="7"/>
        <v>6.666666666666667</v>
      </c>
    </row>
    <row r="59" spans="1:6" ht="21" customHeight="1">
      <c r="A59" s="133">
        <v>38363</v>
      </c>
      <c r="B59" s="36" t="s">
        <v>111</v>
      </c>
      <c r="C59" s="36" t="s">
        <v>112</v>
      </c>
      <c r="D59" s="134">
        <v>77.9</v>
      </c>
      <c r="E59" s="135">
        <v>6.5</v>
      </c>
      <c r="F59" s="37">
        <f t="shared" si="7"/>
        <v>11.984615384615385</v>
      </c>
    </row>
    <row r="60" spans="1:6" ht="21" customHeight="1">
      <c r="A60" s="133">
        <v>38265</v>
      </c>
      <c r="B60" s="36" t="s">
        <v>113</v>
      </c>
      <c r="C60" s="36" t="s">
        <v>114</v>
      </c>
      <c r="D60" s="134">
        <v>260</v>
      </c>
      <c r="E60" s="135">
        <v>30</v>
      </c>
      <c r="F60" s="37">
        <f t="shared" si="7"/>
        <v>8.666666666666666</v>
      </c>
    </row>
    <row r="61" spans="1:6" ht="21" customHeight="1">
      <c r="A61" s="133">
        <v>38244</v>
      </c>
      <c r="B61" s="36" t="s">
        <v>115</v>
      </c>
      <c r="C61" s="36" t="s">
        <v>116</v>
      </c>
      <c r="D61" s="134">
        <v>340</v>
      </c>
      <c r="E61" s="135">
        <v>25</v>
      </c>
      <c r="F61" s="37">
        <f t="shared" si="7"/>
        <v>13.6</v>
      </c>
    </row>
    <row r="62" spans="1:6" ht="21" customHeight="1" thickBot="1">
      <c r="A62" s="136">
        <v>38163</v>
      </c>
      <c r="B62" s="94" t="s">
        <v>117</v>
      </c>
      <c r="C62" s="94" t="s">
        <v>118</v>
      </c>
      <c r="D62" s="137">
        <v>110</v>
      </c>
      <c r="E62" s="138">
        <v>8</v>
      </c>
      <c r="F62" s="95">
        <f t="shared" si="7"/>
        <v>13.75</v>
      </c>
    </row>
    <row r="63" spans="2:6" ht="19.5" customHeight="1">
      <c r="B63" t="s">
        <v>35</v>
      </c>
      <c r="F63" s="139">
        <f>AVERAGE(F51:F62)</f>
        <v>9.801393393208746</v>
      </c>
    </row>
    <row r="64" ht="12" customHeight="1">
      <c r="F64" s="139"/>
    </row>
    <row r="65" spans="1:256" s="127" customFormat="1" ht="12.75">
      <c r="A65" s="115"/>
      <c r="B65" s="148" t="s">
        <v>36</v>
      </c>
      <c r="C65" s="149">
        <f>+C43</f>
        <v>201848</v>
      </c>
      <c r="D65" s="150">
        <f>+F63</f>
        <v>9.801393393208746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X65" s="115"/>
      <c r="FY65" s="115"/>
      <c r="FZ65" s="115"/>
      <c r="GA65" s="115"/>
      <c r="GB65" s="115"/>
      <c r="GC65" s="115"/>
      <c r="GD65" s="115"/>
      <c r="GE65" s="115"/>
      <c r="GF65" s="115"/>
      <c r="GG65" s="115"/>
      <c r="GH65" s="115"/>
      <c r="GI65" s="115"/>
      <c r="GJ65" s="115"/>
      <c r="GK65" s="115"/>
      <c r="GL65" s="115"/>
      <c r="GM65" s="115"/>
      <c r="GN65" s="115"/>
      <c r="GO65" s="115"/>
      <c r="GP65" s="115"/>
      <c r="GQ65" s="115"/>
      <c r="GR65" s="115"/>
      <c r="GS65" s="115"/>
      <c r="GT65" s="115"/>
      <c r="GU65" s="115"/>
      <c r="GV65" s="115"/>
      <c r="GW65" s="115"/>
      <c r="GX65" s="115"/>
      <c r="GY65" s="115"/>
      <c r="GZ65" s="115"/>
      <c r="HA65" s="115"/>
      <c r="HB65" s="115"/>
      <c r="HC65" s="115"/>
      <c r="HD65" s="115"/>
      <c r="HE65" s="115"/>
      <c r="HF65" s="115"/>
      <c r="HG65" s="115"/>
      <c r="HH65" s="115"/>
      <c r="HI65" s="115"/>
      <c r="HJ65" s="115"/>
      <c r="HK65" s="115"/>
      <c r="HL65" s="115"/>
      <c r="HM65" s="115"/>
      <c r="HN65" s="115"/>
      <c r="HO65" s="115"/>
      <c r="HP65" s="115"/>
      <c r="HQ65" s="115"/>
      <c r="HR65" s="115"/>
      <c r="HS65" s="115"/>
      <c r="HT65" s="115"/>
      <c r="HU65" s="115"/>
      <c r="HV65" s="115"/>
      <c r="HW65" s="115"/>
      <c r="HX65" s="115"/>
      <c r="HY65" s="115"/>
      <c r="HZ65" s="115"/>
      <c r="IA65" s="115"/>
      <c r="IB65" s="115"/>
      <c r="IC65" s="115"/>
      <c r="ID65" s="115"/>
      <c r="IE65" s="115"/>
      <c r="IF65" s="115"/>
      <c r="IG65" s="115"/>
      <c r="IH65" s="115"/>
      <c r="II65" s="115"/>
      <c r="IJ65" s="115"/>
      <c r="IK65" s="115"/>
      <c r="IL65" s="115"/>
      <c r="IM65" s="115"/>
      <c r="IN65" s="115"/>
      <c r="IO65" s="115"/>
      <c r="IP65" s="115"/>
      <c r="IQ65" s="115"/>
      <c r="IR65" s="115"/>
      <c r="IS65" s="115"/>
      <c r="IT65" s="115"/>
      <c r="IU65" s="115"/>
      <c r="IV65" s="115"/>
    </row>
    <row r="66" spans="1:256" s="127" customFormat="1" ht="7.5" customHeight="1" thickBot="1">
      <c r="A66" s="115"/>
      <c r="B66" s="148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5"/>
      <c r="GP66" s="115"/>
      <c r="GQ66" s="115"/>
      <c r="GR66" s="115"/>
      <c r="GS66" s="115"/>
      <c r="GT66" s="115"/>
      <c r="GU66" s="115"/>
      <c r="GV66" s="115"/>
      <c r="GW66" s="115"/>
      <c r="GX66" s="115"/>
      <c r="GY66" s="115"/>
      <c r="GZ66" s="115"/>
      <c r="HA66" s="115"/>
      <c r="HB66" s="115"/>
      <c r="HC66" s="115"/>
      <c r="HD66" s="115"/>
      <c r="HE66" s="115"/>
      <c r="HF66" s="115"/>
      <c r="HG66" s="115"/>
      <c r="HH66" s="115"/>
      <c r="HI66" s="115"/>
      <c r="HJ66" s="115"/>
      <c r="HK66" s="115"/>
      <c r="HL66" s="115"/>
      <c r="HM66" s="115"/>
      <c r="HN66" s="115"/>
      <c r="HO66" s="115"/>
      <c r="HP66" s="115"/>
      <c r="HQ66" s="115"/>
      <c r="HR66" s="115"/>
      <c r="HS66" s="115"/>
      <c r="HT66" s="115"/>
      <c r="HU66" s="115"/>
      <c r="HV66" s="115"/>
      <c r="HW66" s="115"/>
      <c r="HX66" s="115"/>
      <c r="HY66" s="115"/>
      <c r="HZ66" s="115"/>
      <c r="IA66" s="115"/>
      <c r="IB66" s="115"/>
      <c r="IC66" s="115"/>
      <c r="ID66" s="115"/>
      <c r="IE66" s="115"/>
      <c r="IF66" s="115"/>
      <c r="IG66" s="115"/>
      <c r="IH66" s="115"/>
      <c r="II66" s="115"/>
      <c r="IJ66" s="115"/>
      <c r="IK66" s="115"/>
      <c r="IL66" s="115"/>
      <c r="IM66" s="115"/>
      <c r="IN66" s="115"/>
      <c r="IO66" s="115"/>
      <c r="IP66" s="115"/>
      <c r="IQ66" s="115"/>
      <c r="IR66" s="115"/>
      <c r="IS66" s="115"/>
      <c r="IT66" s="115"/>
      <c r="IU66" s="115"/>
      <c r="IV66" s="115"/>
    </row>
    <row r="67" spans="1:256" s="127" customFormat="1" ht="15" thickBot="1">
      <c r="A67" s="115"/>
      <c r="B67" s="96" t="str">
        <f>+B45</f>
        <v>Texas Roadhouse's Enteprise Value</v>
      </c>
      <c r="C67" s="98">
        <f>+C65*D65</f>
        <v>1978391.6536323992</v>
      </c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  <c r="HE67" s="115"/>
      <c r="HF67" s="115"/>
      <c r="HG67" s="115"/>
      <c r="HH67" s="115"/>
      <c r="HI67" s="115"/>
      <c r="HJ67" s="115"/>
      <c r="HK67" s="115"/>
      <c r="HL67" s="115"/>
      <c r="HM67" s="115"/>
      <c r="HN67" s="115"/>
      <c r="HO67" s="115"/>
      <c r="HP67" s="115"/>
      <c r="HQ67" s="115"/>
      <c r="HR67" s="115"/>
      <c r="HS67" s="115"/>
      <c r="HT67" s="115"/>
      <c r="HU67" s="115"/>
      <c r="HV67" s="115"/>
      <c r="HW67" s="115"/>
      <c r="HX67" s="115"/>
      <c r="HY67" s="115"/>
      <c r="HZ67" s="115"/>
      <c r="IA67" s="115"/>
      <c r="IB67" s="115"/>
      <c r="IC67" s="115"/>
      <c r="ID67" s="115"/>
      <c r="IE67" s="115"/>
      <c r="IF67" s="115"/>
      <c r="IG67" s="115"/>
      <c r="IH67" s="115"/>
      <c r="II67" s="115"/>
      <c r="IJ67" s="115"/>
      <c r="IK67" s="115"/>
      <c r="IL67" s="115"/>
      <c r="IM67" s="115"/>
      <c r="IN67" s="115"/>
      <c r="IO67" s="115"/>
      <c r="IP67" s="115"/>
      <c r="IQ67" s="115"/>
      <c r="IR67" s="115"/>
      <c r="IS67" s="115"/>
      <c r="IT67" s="115"/>
      <c r="IU67" s="115"/>
      <c r="IV67" s="115"/>
    </row>
    <row r="68" spans="1:256" s="127" customFormat="1" ht="12.75">
      <c r="A68" s="115"/>
      <c r="B68" s="148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  <c r="IJ68" s="115"/>
      <c r="IK68" s="115"/>
      <c r="IL68" s="115"/>
      <c r="IM68" s="115"/>
      <c r="IN68" s="115"/>
      <c r="IO68" s="115"/>
      <c r="IP68" s="115"/>
      <c r="IQ68" s="115"/>
      <c r="IR68" s="115"/>
      <c r="IS68" s="115"/>
      <c r="IT68" s="115"/>
      <c r="IU68" s="115"/>
      <c r="IV68" s="115"/>
    </row>
    <row r="69" ht="12.75">
      <c r="B69" s="5"/>
    </row>
    <row r="70" ht="12.75">
      <c r="B70" s="5"/>
    </row>
    <row r="71" ht="20.25">
      <c r="B71" s="1" t="s">
        <v>38</v>
      </c>
    </row>
    <row r="72" ht="19.5" customHeight="1">
      <c r="B72" s="1"/>
    </row>
    <row r="73" spans="2:10" ht="16.5" customHeight="1" thickBot="1">
      <c r="B73" s="5" t="s">
        <v>140</v>
      </c>
      <c r="C73" s="172"/>
      <c r="D73" s="172"/>
      <c r="E73" s="172"/>
      <c r="F73" s="172"/>
      <c r="G73" s="172"/>
      <c r="H73" s="172"/>
      <c r="I73" s="172"/>
      <c r="J73" s="172"/>
    </row>
    <row r="74" spans="2:10" ht="15" customHeight="1" thickBot="1">
      <c r="B74" s="173"/>
      <c r="C74" s="174"/>
      <c r="D74" s="175" t="s">
        <v>141</v>
      </c>
      <c r="E74" s="175" t="s">
        <v>142</v>
      </c>
      <c r="F74" s="175" t="s">
        <v>143</v>
      </c>
      <c r="G74" s="175" t="s">
        <v>144</v>
      </c>
      <c r="H74" s="175" t="s">
        <v>145</v>
      </c>
      <c r="I74" s="176"/>
      <c r="J74" s="172"/>
    </row>
    <row r="75" spans="2:10" ht="12.75" customHeight="1">
      <c r="B75" s="177" t="s">
        <v>146</v>
      </c>
      <c r="C75" s="178"/>
      <c r="D75" s="179">
        <f>+F18</f>
        <v>2515513</v>
      </c>
      <c r="E75" s="180">
        <f>+D75/$D$77</f>
        <v>0.9802207248491197</v>
      </c>
      <c r="F75" s="181">
        <f>+D79+(D81*D80)</f>
        <v>0.1164</v>
      </c>
      <c r="G75" s="181">
        <f>+F75</f>
        <v>0.1164</v>
      </c>
      <c r="H75" s="181">
        <f>+G75*E75</f>
        <v>0.11409769237243754</v>
      </c>
      <c r="I75" s="182"/>
      <c r="J75" s="172"/>
    </row>
    <row r="76" spans="2:10" ht="12.75" customHeight="1">
      <c r="B76" s="177" t="s">
        <v>147</v>
      </c>
      <c r="C76" s="178"/>
      <c r="D76" s="179">
        <f>+G18</f>
        <v>50759</v>
      </c>
      <c r="E76" s="180">
        <f>+D76/$D$77</f>
        <v>0.019779275150880342</v>
      </c>
      <c r="F76" s="183">
        <f>+G79/D76</f>
        <v>0.03983530014381686</v>
      </c>
      <c r="G76" s="183">
        <f>+F76*(1-D82)</f>
        <v>0.02589294509348096</v>
      </c>
      <c r="H76" s="181">
        <f>+G76*E76</f>
        <v>0.000512143685470597</v>
      </c>
      <c r="I76" s="182"/>
      <c r="J76" s="172"/>
    </row>
    <row r="77" spans="2:10" ht="12.75" customHeight="1" thickBot="1">
      <c r="B77" s="177" t="s">
        <v>148</v>
      </c>
      <c r="C77" s="178"/>
      <c r="D77" s="84">
        <f>SUM(D75:D76)</f>
        <v>2566272</v>
      </c>
      <c r="E77" s="184">
        <f>+E76+E75</f>
        <v>1</v>
      </c>
      <c r="F77" s="30"/>
      <c r="G77" s="30"/>
      <c r="H77" s="185">
        <f>SUM(H75:H76)</f>
        <v>0.11460983605790814</v>
      </c>
      <c r="I77" s="182"/>
      <c r="J77" s="172"/>
    </row>
    <row r="78" spans="2:10" ht="10.5" customHeight="1" thickTop="1">
      <c r="B78" s="177"/>
      <c r="C78" s="178"/>
      <c r="D78" s="178"/>
      <c r="E78" s="178"/>
      <c r="F78" s="178"/>
      <c r="G78" s="178"/>
      <c r="H78" s="178"/>
      <c r="I78" s="182"/>
      <c r="J78" s="172"/>
    </row>
    <row r="79" spans="2:10" ht="15" customHeight="1">
      <c r="B79" s="177" t="s">
        <v>149</v>
      </c>
      <c r="C79" s="8"/>
      <c r="D79" s="183">
        <v>0.0165</v>
      </c>
      <c r="E79" s="178" t="s">
        <v>150</v>
      </c>
      <c r="F79" s="193" t="s">
        <v>157</v>
      </c>
      <c r="G79" s="194">
        <f>495+515+520+492</f>
        <v>2022</v>
      </c>
      <c r="H79" s="178"/>
      <c r="I79" s="182"/>
      <c r="J79" s="172"/>
    </row>
    <row r="80" spans="2:10" ht="15" customHeight="1">
      <c r="B80" s="177" t="s">
        <v>151</v>
      </c>
      <c r="C80" s="178"/>
      <c r="D80" s="183">
        <v>0.09</v>
      </c>
      <c r="E80" s="186" t="s">
        <v>150</v>
      </c>
      <c r="F80" s="8"/>
      <c r="G80" s="8"/>
      <c r="H80" s="178"/>
      <c r="I80" s="182"/>
      <c r="J80" s="172"/>
    </row>
    <row r="81" spans="2:10" ht="15" customHeight="1">
      <c r="B81" s="177" t="s">
        <v>152</v>
      </c>
      <c r="C81" s="178"/>
      <c r="D81" s="187">
        <f>+L40</f>
        <v>1.11</v>
      </c>
      <c r="E81" s="178"/>
      <c r="F81" s="8"/>
      <c r="G81" s="8"/>
      <c r="H81" s="178"/>
      <c r="I81" s="182"/>
      <c r="J81" s="172"/>
    </row>
    <row r="82" spans="2:10" ht="15" customHeight="1">
      <c r="B82" s="177" t="s">
        <v>153</v>
      </c>
      <c r="C82" s="178"/>
      <c r="D82" s="183">
        <f>+C95</f>
        <v>0.35</v>
      </c>
      <c r="E82" s="178"/>
      <c r="F82" s="8"/>
      <c r="G82" s="8"/>
      <c r="H82" s="178"/>
      <c r="I82" s="182"/>
      <c r="J82" s="172"/>
    </row>
    <row r="83" spans="2:10" ht="10.5" customHeight="1" thickBot="1">
      <c r="B83" s="188"/>
      <c r="C83" s="189"/>
      <c r="D83" s="189"/>
      <c r="E83" s="189"/>
      <c r="F83" s="189"/>
      <c r="G83" s="189"/>
      <c r="H83" s="189"/>
      <c r="I83" s="190"/>
      <c r="J83" s="172"/>
    </row>
    <row r="84" ht="10.5" customHeight="1">
      <c r="B84" s="1"/>
    </row>
    <row r="85" spans="1:10" ht="21" thickBot="1">
      <c r="A85">
        <v>6</v>
      </c>
      <c r="B85" s="1" t="str">
        <f>+B5</f>
        <v>Texas Roadhouse</v>
      </c>
      <c r="D85" s="8"/>
      <c r="E85">
        <v>1</v>
      </c>
      <c r="F85">
        <v>2</v>
      </c>
      <c r="G85">
        <v>3</v>
      </c>
      <c r="H85">
        <v>4</v>
      </c>
      <c r="I85">
        <v>5</v>
      </c>
      <c r="J85" s="8">
        <v>6</v>
      </c>
    </row>
    <row r="86" spans="1:9" ht="12.75">
      <c r="A86">
        <f aca="true" t="shared" si="8" ref="A86:A125">+A85+1</f>
        <v>7</v>
      </c>
      <c r="B86" t="s">
        <v>39</v>
      </c>
      <c r="D86" s="105" t="s">
        <v>161</v>
      </c>
      <c r="I86" s="105" t="s">
        <v>40</v>
      </c>
    </row>
    <row r="87" spans="1:10" ht="13.5" thickBot="1">
      <c r="A87">
        <f t="shared" si="8"/>
        <v>8</v>
      </c>
      <c r="C87" s="104" t="s">
        <v>41</v>
      </c>
      <c r="D87" s="164">
        <v>42185</v>
      </c>
      <c r="E87" s="165">
        <f>+D87+365</f>
        <v>42550</v>
      </c>
      <c r="F87" s="165">
        <f>+E87+365</f>
        <v>42915</v>
      </c>
      <c r="G87" s="165">
        <f>+F87+365</f>
        <v>43280</v>
      </c>
      <c r="H87" s="165">
        <f>+G87+365</f>
        <v>43645</v>
      </c>
      <c r="I87" s="166">
        <f>+H87+366</f>
        <v>44011</v>
      </c>
      <c r="J87" s="165">
        <f>+I87+365</f>
        <v>44376</v>
      </c>
    </row>
    <row r="88" spans="1:10" ht="12.75">
      <c r="A88">
        <f t="shared" si="8"/>
        <v>9</v>
      </c>
      <c r="B88" t="s">
        <v>42</v>
      </c>
      <c r="C88" s="39"/>
      <c r="D88" s="140">
        <f>454698+460230+404425+385218</f>
        <v>1704571</v>
      </c>
      <c r="E88" s="40">
        <f aca="true" t="shared" si="9" ref="E88:J88">+D88*(1+E89)</f>
        <v>1875028.1</v>
      </c>
      <c r="F88" s="40">
        <f t="shared" si="9"/>
        <v>2062530.9100000004</v>
      </c>
      <c r="G88" s="40">
        <f t="shared" si="9"/>
        <v>2268784.0010000006</v>
      </c>
      <c r="H88" s="40">
        <f t="shared" si="9"/>
        <v>2495662.401100001</v>
      </c>
      <c r="I88" s="41">
        <f>+H88*(1+I89)</f>
        <v>2745228.641210001</v>
      </c>
      <c r="J88" s="40">
        <f t="shared" si="9"/>
        <v>3019751.5053310012</v>
      </c>
    </row>
    <row r="89" spans="1:11" ht="12.75">
      <c r="A89">
        <f t="shared" si="8"/>
        <v>10</v>
      </c>
      <c r="B89" t="s">
        <v>43</v>
      </c>
      <c r="C89" s="42">
        <v>0.1</v>
      </c>
      <c r="D89" s="108"/>
      <c r="E89" s="43">
        <f>+C89</f>
        <v>0.1</v>
      </c>
      <c r="F89" s="43">
        <f>+E89</f>
        <v>0.1</v>
      </c>
      <c r="G89" s="43">
        <f>+F89</f>
        <v>0.1</v>
      </c>
      <c r="H89" s="43">
        <f>+G89</f>
        <v>0.1</v>
      </c>
      <c r="I89" s="44">
        <f>+H89</f>
        <v>0.1</v>
      </c>
      <c r="J89" s="43">
        <f>+I89</f>
        <v>0.1</v>
      </c>
      <c r="K89" s="191"/>
    </row>
    <row r="90" spans="1:10" ht="6.75" customHeight="1">
      <c r="A90">
        <f t="shared" si="8"/>
        <v>11</v>
      </c>
      <c r="C90" s="42"/>
      <c r="D90" s="108"/>
      <c r="E90" s="43"/>
      <c r="F90" s="43"/>
      <c r="G90" s="43"/>
      <c r="H90" s="43"/>
      <c r="I90" s="44"/>
      <c r="J90" s="43"/>
    </row>
    <row r="91" spans="1:10" ht="12.75">
      <c r="A91">
        <f t="shared" si="8"/>
        <v>12</v>
      </c>
      <c r="B91" t="s">
        <v>44</v>
      </c>
      <c r="C91" s="141">
        <f>-D91/D88</f>
        <v>0.3574547496114858</v>
      </c>
      <c r="D91" s="140">
        <f>-168077-159980-143592-137658</f>
        <v>-609307</v>
      </c>
      <c r="E91" s="40">
        <f aca="true" t="shared" si="10" ref="E91:J91">-$C$91*E88</f>
        <v>-670237.7000000001</v>
      </c>
      <c r="F91" s="40">
        <f t="shared" si="10"/>
        <v>-737261.4700000001</v>
      </c>
      <c r="G91" s="40">
        <f t="shared" si="10"/>
        <v>-810987.6170000002</v>
      </c>
      <c r="H91" s="40">
        <f t="shared" si="10"/>
        <v>-892086.3787000004</v>
      </c>
      <c r="I91" s="41">
        <f>-$C$91*I88</f>
        <v>-981295.0165700003</v>
      </c>
      <c r="J91" s="40">
        <f t="shared" si="10"/>
        <v>-1079424.5182270005</v>
      </c>
    </row>
    <row r="92" spans="1:10" ht="9" customHeight="1">
      <c r="A92">
        <f t="shared" si="8"/>
        <v>13</v>
      </c>
      <c r="C92" s="42"/>
      <c r="D92" s="44"/>
      <c r="E92" s="43"/>
      <c r="F92" s="43"/>
      <c r="G92" s="43"/>
      <c r="H92" s="43"/>
      <c r="I92" s="44"/>
      <c r="J92" s="43"/>
    </row>
    <row r="93" spans="1:10" ht="12.75">
      <c r="A93">
        <f t="shared" si="8"/>
        <v>14</v>
      </c>
      <c r="B93" t="s">
        <v>0</v>
      </c>
      <c r="C93" s="141">
        <f>-D93/$D$88</f>
        <v>0.5615653440073778</v>
      </c>
      <c r="D93" s="142">
        <v>-957228</v>
      </c>
      <c r="E93" s="78">
        <f aca="true" t="shared" si="11" ref="E93:J93">-$C$93*E88</f>
        <v>-1052950.8</v>
      </c>
      <c r="F93" s="78">
        <f t="shared" si="11"/>
        <v>-1158245.8800000001</v>
      </c>
      <c r="G93" s="78">
        <f t="shared" si="11"/>
        <v>-1274070.4680000003</v>
      </c>
      <c r="H93" s="78">
        <f t="shared" si="11"/>
        <v>-1401477.5148000005</v>
      </c>
      <c r="I93" s="79">
        <f>-$C$93*I88</f>
        <v>-1541625.2662800006</v>
      </c>
      <c r="J93" s="171">
        <f t="shared" si="11"/>
        <v>-1695787.7929080005</v>
      </c>
    </row>
    <row r="94" spans="1:10" ht="12.75">
      <c r="A94">
        <f t="shared" si="8"/>
        <v>15</v>
      </c>
      <c r="B94" t="s">
        <v>45</v>
      </c>
      <c r="D94" s="108">
        <f>+D88+D91+D93</f>
        <v>138036</v>
      </c>
      <c r="E94" s="40">
        <f aca="true" t="shared" si="12" ref="E94:J94">+E88+E91+E93</f>
        <v>151839.59999999986</v>
      </c>
      <c r="F94" s="40">
        <f t="shared" si="12"/>
        <v>167023.5600000003</v>
      </c>
      <c r="G94" s="40">
        <f t="shared" si="12"/>
        <v>183725.9160000002</v>
      </c>
      <c r="H94" s="40">
        <f t="shared" si="12"/>
        <v>202098.50760000013</v>
      </c>
      <c r="I94" s="41">
        <f t="shared" si="12"/>
        <v>222308.35835999995</v>
      </c>
      <c r="J94" s="40">
        <f t="shared" si="12"/>
        <v>244539.19419600023</v>
      </c>
    </row>
    <row r="95" spans="1:10" ht="12.75">
      <c r="A95">
        <f t="shared" si="8"/>
        <v>16</v>
      </c>
      <c r="B95" t="s">
        <v>46</v>
      </c>
      <c r="C95" s="144">
        <v>0.35</v>
      </c>
      <c r="D95" s="108">
        <f aca="true" t="shared" si="13" ref="D95:J95">-$C$95*D94</f>
        <v>-48312.6</v>
      </c>
      <c r="E95" s="40">
        <f t="shared" si="13"/>
        <v>-53143.85999999995</v>
      </c>
      <c r="F95" s="40">
        <f t="shared" si="13"/>
        <v>-58458.246000000094</v>
      </c>
      <c r="G95" s="40">
        <f t="shared" si="13"/>
        <v>-64304.070600000065</v>
      </c>
      <c r="H95" s="40">
        <f t="shared" si="13"/>
        <v>-70734.47766000003</v>
      </c>
      <c r="I95" s="41">
        <f t="shared" si="13"/>
        <v>-77807.92542599997</v>
      </c>
      <c r="J95" s="40">
        <f t="shared" si="13"/>
        <v>-85588.71796860007</v>
      </c>
    </row>
    <row r="96" spans="1:10" ht="12.75">
      <c r="A96">
        <f t="shared" si="8"/>
        <v>17</v>
      </c>
      <c r="B96" t="s">
        <v>47</v>
      </c>
      <c r="C96" s="145">
        <f>+D96/D88</f>
        <v>0.03743581229529307</v>
      </c>
      <c r="D96" s="140">
        <f>16816+16335+15497+15164</f>
        <v>63812</v>
      </c>
      <c r="E96" s="40">
        <f aca="true" t="shared" si="14" ref="E96:J96">+$C$96*E88</f>
        <v>70193.2</v>
      </c>
      <c r="F96" s="40">
        <f t="shared" si="14"/>
        <v>77212.52000000002</v>
      </c>
      <c r="G96" s="40">
        <f t="shared" si="14"/>
        <v>84933.77200000003</v>
      </c>
      <c r="H96" s="40">
        <f t="shared" si="14"/>
        <v>93427.14920000003</v>
      </c>
      <c r="I96" s="41">
        <f>+$C$96*I88</f>
        <v>102769.86412000003</v>
      </c>
      <c r="J96" s="40">
        <f t="shared" si="14"/>
        <v>113046.85053200004</v>
      </c>
    </row>
    <row r="97" spans="1:10" ht="12.75">
      <c r="A97">
        <f t="shared" si="8"/>
        <v>18</v>
      </c>
      <c r="B97" t="s">
        <v>70</v>
      </c>
      <c r="C97" s="143">
        <f>-D97/D88</f>
        <v>0.08354418795110324</v>
      </c>
      <c r="D97" s="140">
        <f>-37496-33437-35800-35674</f>
        <v>-142407</v>
      </c>
      <c r="E97" s="40">
        <f aca="true" t="shared" si="15" ref="E97:J97">-$C$97*E88</f>
        <v>-156647.7</v>
      </c>
      <c r="F97" s="40">
        <f t="shared" si="15"/>
        <v>-172312.47000000003</v>
      </c>
      <c r="G97" s="40">
        <f t="shared" si="15"/>
        <v>-189543.71700000006</v>
      </c>
      <c r="H97" s="40">
        <f t="shared" si="15"/>
        <v>-208498.08870000008</v>
      </c>
      <c r="I97" s="41">
        <f>-$C$97*I88</f>
        <v>-229347.8975700001</v>
      </c>
      <c r="J97" s="40">
        <f t="shared" si="15"/>
        <v>-252282.6873270001</v>
      </c>
    </row>
    <row r="98" spans="1:10" ht="13.5" thickBot="1">
      <c r="A98">
        <f t="shared" si="8"/>
        <v>19</v>
      </c>
      <c r="B98" t="s">
        <v>48</v>
      </c>
      <c r="D98" s="45">
        <f aca="true" t="shared" si="16" ref="D98:J98">SUM(D94:D97)</f>
        <v>11128.399999999994</v>
      </c>
      <c r="E98" s="46">
        <f t="shared" si="16"/>
        <v>12241.239999999874</v>
      </c>
      <c r="F98" s="46">
        <f t="shared" si="16"/>
        <v>13465.364000000176</v>
      </c>
      <c r="G98" s="46">
        <f t="shared" si="16"/>
        <v>14811.9004000001</v>
      </c>
      <c r="H98" s="46">
        <f t="shared" si="16"/>
        <v>16293.090440000058</v>
      </c>
      <c r="I98" s="45">
        <f t="shared" si="16"/>
        <v>17922.399483999936</v>
      </c>
      <c r="J98" s="170">
        <f t="shared" si="16"/>
        <v>19714.639432400087</v>
      </c>
    </row>
    <row r="99" spans="1:10" ht="7.5" customHeight="1" thickTop="1">
      <c r="A99">
        <f t="shared" si="8"/>
        <v>20</v>
      </c>
      <c r="D99" s="40"/>
      <c r="E99" s="40"/>
      <c r="F99" s="40"/>
      <c r="G99" s="40"/>
      <c r="H99" s="40"/>
      <c r="I99" s="41"/>
      <c r="J99" s="40"/>
    </row>
    <row r="100" spans="1:10" ht="12.75">
      <c r="A100">
        <f t="shared" si="8"/>
        <v>21</v>
      </c>
      <c r="B100" t="s">
        <v>1</v>
      </c>
      <c r="D100" s="47">
        <f aca="true" t="shared" si="17" ref="D100:J100">+D94+D96</f>
        <v>201848</v>
      </c>
      <c r="E100" s="47">
        <f t="shared" si="17"/>
        <v>222032.79999999987</v>
      </c>
      <c r="F100" s="47">
        <f t="shared" si="17"/>
        <v>244236.0800000003</v>
      </c>
      <c r="G100" s="47">
        <f t="shared" si="17"/>
        <v>268659.6880000002</v>
      </c>
      <c r="H100" s="47">
        <f t="shared" si="17"/>
        <v>295525.6568000002</v>
      </c>
      <c r="I100" s="48">
        <f>+I94+I96</f>
        <v>325078.22248</v>
      </c>
      <c r="J100" s="47">
        <f t="shared" si="17"/>
        <v>357586.0447280003</v>
      </c>
    </row>
    <row r="101" spans="1:10" ht="6.75" customHeight="1">
      <c r="A101">
        <f t="shared" si="8"/>
        <v>22</v>
      </c>
      <c r="D101" s="8"/>
      <c r="E101" s="8"/>
      <c r="F101" s="8"/>
      <c r="G101" s="8"/>
      <c r="H101" s="8"/>
      <c r="I101" s="49"/>
      <c r="J101" s="8"/>
    </row>
    <row r="102" spans="1:10" ht="13.5" thickBot="1">
      <c r="A102">
        <f t="shared" si="8"/>
        <v>23</v>
      </c>
      <c r="B102" s="50" t="s">
        <v>49</v>
      </c>
      <c r="C102" s="38" t="s">
        <v>41</v>
      </c>
      <c r="D102" s="8"/>
      <c r="E102" s="8"/>
      <c r="F102" s="8"/>
      <c r="G102" s="8"/>
      <c r="H102" s="8"/>
      <c r="I102" s="49"/>
      <c r="J102" s="8"/>
    </row>
    <row r="103" spans="1:10" ht="12.75">
      <c r="A103">
        <f t="shared" si="8"/>
        <v>24</v>
      </c>
      <c r="B103" t="s">
        <v>50</v>
      </c>
      <c r="C103" s="32">
        <f>+K43</f>
        <v>12.55730118725461</v>
      </c>
      <c r="D103" s="51"/>
      <c r="E103" s="186" t="s">
        <v>155</v>
      </c>
      <c r="F103" s="8"/>
      <c r="G103" s="8"/>
      <c r="H103" s="8"/>
      <c r="I103" s="52">
        <f>+C103*I100</f>
        <v>4082105.1490987223</v>
      </c>
      <c r="J103" s="54"/>
    </row>
    <row r="104" spans="1:10" ht="12.75">
      <c r="A104">
        <f t="shared" si="8"/>
        <v>25</v>
      </c>
      <c r="B104" t="s">
        <v>51</v>
      </c>
      <c r="C104" s="152">
        <f>+H77</f>
        <v>0.11460983605790814</v>
      </c>
      <c r="D104" s="192" t="s">
        <v>154</v>
      </c>
      <c r="E104" s="186" t="s">
        <v>156</v>
      </c>
      <c r="F104" s="8"/>
      <c r="G104" s="8"/>
      <c r="H104" s="8"/>
      <c r="I104" s="41">
        <f>+J98/(C104-J89)</f>
        <v>1349408.6692183502</v>
      </c>
      <c r="J104" s="40"/>
    </row>
    <row r="105" spans="1:10" ht="13.5" thickBot="1">
      <c r="A105">
        <f t="shared" si="8"/>
        <v>26</v>
      </c>
      <c r="B105" t="s">
        <v>35</v>
      </c>
      <c r="D105" s="8"/>
      <c r="E105" s="8"/>
      <c r="F105" s="8"/>
      <c r="G105" s="8"/>
      <c r="H105" s="8"/>
      <c r="I105" s="53">
        <f>+(I103+I104)/2</f>
        <v>2715756.9091585362</v>
      </c>
      <c r="J105" s="40"/>
    </row>
    <row r="106" spans="1:10" ht="13.5" thickTop="1">
      <c r="A106">
        <f t="shared" si="8"/>
        <v>27</v>
      </c>
      <c r="B106" t="s">
        <v>79</v>
      </c>
      <c r="C106" s="144">
        <v>0.25</v>
      </c>
      <c r="D106" s="146" t="s">
        <v>129</v>
      </c>
      <c r="E106" s="8"/>
      <c r="F106" s="8"/>
      <c r="G106" s="8"/>
      <c r="H106" s="8"/>
      <c r="I106" s="147">
        <f>-(1-C106)*F40</f>
        <v>-1886634.75</v>
      </c>
      <c r="J106" s="162"/>
    </row>
    <row r="107" spans="1:10" ht="12.75">
      <c r="A107">
        <f t="shared" si="8"/>
        <v>28</v>
      </c>
      <c r="B107" t="s">
        <v>71</v>
      </c>
      <c r="D107" s="8"/>
      <c r="E107" s="8"/>
      <c r="F107" s="8"/>
      <c r="G107" s="8"/>
      <c r="H107" s="8"/>
      <c r="I107" s="52">
        <f>+I106+I105</f>
        <v>829122.1591585362</v>
      </c>
      <c r="J107" s="54"/>
    </row>
    <row r="108" spans="1:10" ht="12.75">
      <c r="A108">
        <f t="shared" si="8"/>
        <v>29</v>
      </c>
      <c r="D108" s="8"/>
      <c r="E108" s="8"/>
      <c r="F108" s="8"/>
      <c r="G108" s="8"/>
      <c r="H108" s="8"/>
      <c r="I108" s="49"/>
      <c r="J108" s="8"/>
    </row>
    <row r="109" spans="1:10" ht="12.75">
      <c r="A109">
        <f t="shared" si="8"/>
        <v>30</v>
      </c>
      <c r="B109" t="s">
        <v>52</v>
      </c>
      <c r="D109" s="47"/>
      <c r="E109" s="47">
        <f>+E98</f>
        <v>12241.239999999874</v>
      </c>
      <c r="F109" s="47">
        <f>+F98</f>
        <v>13465.364000000176</v>
      </c>
      <c r="G109" s="47">
        <f>+G98</f>
        <v>14811.9004000001</v>
      </c>
      <c r="H109" s="47">
        <f>+H98</f>
        <v>16293.090440000058</v>
      </c>
      <c r="I109" s="48">
        <f>+I107+I98</f>
        <v>847044.5586425362</v>
      </c>
      <c r="J109" s="47"/>
    </row>
    <row r="110" spans="1:10" ht="12.75">
      <c r="A110">
        <f t="shared" si="8"/>
        <v>31</v>
      </c>
      <c r="D110" s="54"/>
      <c r="E110" s="55" t="s">
        <v>53</v>
      </c>
      <c r="F110" s="55" t="s">
        <v>53</v>
      </c>
      <c r="G110" s="55" t="s">
        <v>53</v>
      </c>
      <c r="H110" s="55" t="s">
        <v>53</v>
      </c>
      <c r="I110" s="56" t="s">
        <v>53</v>
      </c>
      <c r="J110" s="55"/>
    </row>
    <row r="111" spans="1:10" ht="15.75" thickBot="1">
      <c r="A111">
        <f t="shared" si="8"/>
        <v>32</v>
      </c>
      <c r="C111" s="57" t="s">
        <v>54</v>
      </c>
      <c r="D111" s="54"/>
      <c r="E111" s="106">
        <f>1/((1+$F$75)^E85)</f>
        <v>0.8957362952346829</v>
      </c>
      <c r="F111" s="106">
        <f>1/((1+$F$75)^F85)</f>
        <v>0.8023435106007549</v>
      </c>
      <c r="G111" s="106">
        <f>1/((1+$F$75)^G85)</f>
        <v>0.7186882036911098</v>
      </c>
      <c r="H111" s="106">
        <f>1/((1+$F$75)^H85)</f>
        <v>0.6437551090031437</v>
      </c>
      <c r="I111" s="107">
        <f>1/((1+$F$75)^I85)</f>
        <v>0.5766348163768754</v>
      </c>
      <c r="J111" s="106"/>
    </row>
    <row r="112" spans="1:10" ht="12.75">
      <c r="A112">
        <f t="shared" si="8"/>
        <v>33</v>
      </c>
      <c r="C112" s="57"/>
      <c r="D112" s="54"/>
      <c r="E112" s="58" t="s">
        <v>55</v>
      </c>
      <c r="F112" s="58" t="s">
        <v>55</v>
      </c>
      <c r="G112" s="58" t="s">
        <v>55</v>
      </c>
      <c r="H112" s="58" t="s">
        <v>55</v>
      </c>
      <c r="I112" s="58" t="s">
        <v>55</v>
      </c>
      <c r="J112" s="58"/>
    </row>
    <row r="113" spans="1:3" ht="12.75">
      <c r="A113">
        <f t="shared" si="8"/>
        <v>34</v>
      </c>
      <c r="C113" s="57"/>
    </row>
    <row r="114" spans="1:5" ht="12.75">
      <c r="A114">
        <f t="shared" si="8"/>
        <v>35</v>
      </c>
      <c r="C114" s="57" t="s">
        <v>56</v>
      </c>
      <c r="D114" s="59">
        <f>+E111*E109</f>
        <v>10964.922966678498</v>
      </c>
      <c r="E114" s="60"/>
    </row>
    <row r="115" spans="1:4" ht="12.75">
      <c r="A115">
        <f t="shared" si="8"/>
        <v>36</v>
      </c>
      <c r="C115" s="57" t="s">
        <v>57</v>
      </c>
      <c r="D115" s="59">
        <f>+F111*F109</f>
        <v>10803.847423277164</v>
      </c>
    </row>
    <row r="116" spans="1:4" ht="12.75">
      <c r="A116">
        <f t="shared" si="8"/>
        <v>37</v>
      </c>
      <c r="C116" s="57" t="s">
        <v>58</v>
      </c>
      <c r="D116" s="59">
        <f>+G111*G109</f>
        <v>10645.138091727702</v>
      </c>
    </row>
    <row r="117" spans="1:4" ht="12.75">
      <c r="A117">
        <f t="shared" si="8"/>
        <v>38</v>
      </c>
      <c r="C117" s="57" t="s">
        <v>59</v>
      </c>
      <c r="D117" s="59">
        <f>+H111*H109</f>
        <v>10488.760212200315</v>
      </c>
    </row>
    <row r="118" spans="1:4" ht="12.75">
      <c r="A118">
        <f t="shared" si="8"/>
        <v>39</v>
      </c>
      <c r="C118" s="57" t="s">
        <v>60</v>
      </c>
      <c r="D118" s="59">
        <f>+I111*I109</f>
        <v>488435.38353587035</v>
      </c>
    </row>
    <row r="119" spans="1:5" ht="13.5" thickBot="1">
      <c r="A119">
        <f t="shared" si="8"/>
        <v>40</v>
      </c>
      <c r="C119" s="57" t="s">
        <v>61</v>
      </c>
      <c r="D119" s="61">
        <f>SUM(D114:D118)</f>
        <v>531338.052229754</v>
      </c>
      <c r="E119" s="62"/>
    </row>
    <row r="120" spans="1:5" ht="13.5" thickTop="1">
      <c r="A120">
        <f t="shared" si="8"/>
        <v>41</v>
      </c>
      <c r="C120" s="57"/>
      <c r="D120" s="63"/>
      <c r="E120" s="62"/>
    </row>
    <row r="121" spans="1:5" ht="12.75">
      <c r="A121">
        <f t="shared" si="8"/>
        <v>42</v>
      </c>
      <c r="C121" s="64" t="s">
        <v>62</v>
      </c>
      <c r="D121" s="65" t="s">
        <v>63</v>
      </c>
      <c r="E121" s="4"/>
    </row>
    <row r="122" spans="1:4" ht="12.75">
      <c r="A122">
        <f t="shared" si="8"/>
        <v>43</v>
      </c>
      <c r="C122" s="66" t="s">
        <v>64</v>
      </c>
      <c r="D122" s="59">
        <f>+D119</f>
        <v>531338.052229754</v>
      </c>
    </row>
    <row r="123" spans="1:4" ht="12.75">
      <c r="A123">
        <f t="shared" si="8"/>
        <v>44</v>
      </c>
      <c r="C123" s="67" t="s">
        <v>65</v>
      </c>
      <c r="D123" s="68">
        <f>+G40</f>
        <v>50759</v>
      </c>
    </row>
    <row r="124" spans="1:4" ht="13.5" thickBot="1">
      <c r="A124">
        <f t="shared" si="8"/>
        <v>45</v>
      </c>
      <c r="C124" s="67" t="s">
        <v>125</v>
      </c>
      <c r="D124" s="68">
        <f>-H18</f>
        <v>-70965</v>
      </c>
    </row>
    <row r="125" spans="1:4" ht="15" thickBot="1">
      <c r="A125">
        <f t="shared" si="8"/>
        <v>46</v>
      </c>
      <c r="B125" s="96" t="str">
        <f>+B67</f>
        <v>Texas Roadhouse's Enteprise Value</v>
      </c>
      <c r="C125" s="97"/>
      <c r="D125" s="98">
        <f>+D123+D122+D124</f>
        <v>511132.05222975404</v>
      </c>
    </row>
    <row r="126" spans="2:3" ht="12.75">
      <c r="B126" s="66"/>
      <c r="C126" s="7"/>
    </row>
    <row r="128" ht="13.5" thickBot="1"/>
    <row r="129" spans="1:3" ht="20.25">
      <c r="A129" s="69"/>
      <c r="B129" s="70" t="s">
        <v>66</v>
      </c>
      <c r="C129" s="71"/>
    </row>
    <row r="130" spans="1:3" ht="12.75">
      <c r="A130" s="73"/>
      <c r="B130" s="8"/>
      <c r="C130" s="8"/>
    </row>
    <row r="131" spans="1:3" ht="21" thickBot="1">
      <c r="A131" s="73"/>
      <c r="B131" s="74" t="str">
        <f>+B5</f>
        <v>Texas Roadhouse</v>
      </c>
      <c r="C131" s="8"/>
    </row>
    <row r="132" spans="1:8" ht="21" thickBot="1">
      <c r="A132" s="73"/>
      <c r="B132" s="85"/>
      <c r="C132" s="71"/>
      <c r="D132" s="71"/>
      <c r="E132" s="71"/>
      <c r="F132" s="71"/>
      <c r="G132" s="71"/>
      <c r="H132" s="72"/>
    </row>
    <row r="133" spans="1:8" ht="13.5" thickBot="1">
      <c r="A133" s="73"/>
      <c r="B133" s="73"/>
      <c r="C133" s="109" t="s">
        <v>72</v>
      </c>
      <c r="D133" s="109" t="s">
        <v>73</v>
      </c>
      <c r="E133" s="109" t="s">
        <v>80</v>
      </c>
      <c r="F133" s="109" t="s">
        <v>74</v>
      </c>
      <c r="G133" s="109" t="s">
        <v>75</v>
      </c>
      <c r="H133" s="110" t="s">
        <v>76</v>
      </c>
    </row>
    <row r="134" spans="1:8" ht="12.75">
      <c r="A134" s="73"/>
      <c r="B134" s="86" t="s">
        <v>77</v>
      </c>
      <c r="C134" s="82">
        <f>+C21</f>
        <v>2495307</v>
      </c>
      <c r="D134" s="82">
        <f>+$D$123</f>
        <v>50759</v>
      </c>
      <c r="E134" s="82">
        <f>+H40</f>
        <v>70965</v>
      </c>
      <c r="F134" s="82">
        <f>+C134-D134+E134</f>
        <v>2515513</v>
      </c>
      <c r="G134" s="82">
        <f>+E40</f>
        <v>70070</v>
      </c>
      <c r="H134" s="89">
        <f>+F134/G134</f>
        <v>35.9</v>
      </c>
    </row>
    <row r="135" spans="1:8" ht="12.75">
      <c r="A135" s="73"/>
      <c r="B135" s="86"/>
      <c r="C135" s="82"/>
      <c r="D135" s="82"/>
      <c r="E135" s="82"/>
      <c r="F135" s="82"/>
      <c r="G135" s="82"/>
      <c r="H135" s="89"/>
    </row>
    <row r="136" spans="1:8" ht="12.75">
      <c r="A136" s="73"/>
      <c r="B136" s="87" t="s">
        <v>67</v>
      </c>
      <c r="C136" s="83">
        <f>+C45</f>
        <v>2534666.130044969</v>
      </c>
      <c r="D136" s="82">
        <f>+D134</f>
        <v>50759</v>
      </c>
      <c r="E136" s="82">
        <f>+E134</f>
        <v>70965</v>
      </c>
      <c r="F136" s="82">
        <f>+C136-D136+E136</f>
        <v>2554872.130044969</v>
      </c>
      <c r="G136" s="82">
        <f>+G134</f>
        <v>70070</v>
      </c>
      <c r="H136" s="89">
        <f>+F136/G136</f>
        <v>36.461711574781916</v>
      </c>
    </row>
    <row r="137" spans="1:8" ht="12.75">
      <c r="A137" s="73"/>
      <c r="B137" s="87" t="s">
        <v>68</v>
      </c>
      <c r="C137" s="83">
        <f>+C67</f>
        <v>1978391.6536323992</v>
      </c>
      <c r="D137" s="82">
        <f>+D134</f>
        <v>50759</v>
      </c>
      <c r="E137" s="82">
        <f>+E134</f>
        <v>70965</v>
      </c>
      <c r="F137" s="82">
        <f>+C137-D137+E137</f>
        <v>1998597.6536323992</v>
      </c>
      <c r="G137" s="82">
        <f>+G134</f>
        <v>70070</v>
      </c>
      <c r="H137" s="89">
        <f>+F137/G137</f>
        <v>28.522872179711705</v>
      </c>
    </row>
    <row r="138" spans="1:8" ht="12.75">
      <c r="A138" s="73"/>
      <c r="B138" s="86" t="s">
        <v>69</v>
      </c>
      <c r="C138" s="82">
        <f>+D125</f>
        <v>511132.05222975404</v>
      </c>
      <c r="D138" s="82">
        <f>+D134</f>
        <v>50759</v>
      </c>
      <c r="E138" s="82">
        <f>+E134</f>
        <v>70965</v>
      </c>
      <c r="F138" s="82">
        <f>+C138-D138+E138</f>
        <v>531338.052229754</v>
      </c>
      <c r="G138" s="82">
        <f>+G134</f>
        <v>70070</v>
      </c>
      <c r="H138" s="89">
        <f>+F138/G138</f>
        <v>7.582960642639561</v>
      </c>
    </row>
    <row r="139" spans="1:8" ht="12.75">
      <c r="A139" s="73"/>
      <c r="B139" s="73"/>
      <c r="C139" s="54"/>
      <c r="D139" s="54"/>
      <c r="E139" s="54"/>
      <c r="F139" s="54"/>
      <c r="G139" s="54"/>
      <c r="H139" s="52"/>
    </row>
    <row r="140" spans="1:8" ht="13.5" thickBot="1">
      <c r="A140" s="73"/>
      <c r="B140" s="88" t="s">
        <v>81</v>
      </c>
      <c r="C140" s="84">
        <f>AVERAGE(C134:C138)</f>
        <v>1879874.2089767803</v>
      </c>
      <c r="D140" s="84">
        <f>AVERAGE(D134:D138)</f>
        <v>50759</v>
      </c>
      <c r="E140" s="84">
        <f>AVERAGE(E134:E138)</f>
        <v>70965</v>
      </c>
      <c r="F140" s="84">
        <f>AVERAGE(F134:F138)</f>
        <v>1900080.2089767803</v>
      </c>
      <c r="G140" s="84"/>
      <c r="H140" s="90">
        <f>AVERAGE(H133:H138)</f>
        <v>27.116886099283292</v>
      </c>
    </row>
    <row r="141" spans="1:8" ht="14.25" thickBot="1" thickTop="1">
      <c r="A141" s="75"/>
      <c r="B141" s="75"/>
      <c r="C141" s="76"/>
      <c r="D141" s="76"/>
      <c r="E141" s="76"/>
      <c r="F141" s="76"/>
      <c r="G141" s="76"/>
      <c r="H141" s="77"/>
    </row>
    <row r="146" spans="4:10" ht="12.75">
      <c r="D146" s="2"/>
      <c r="F146" s="2"/>
      <c r="G146" s="2"/>
      <c r="H146" s="2"/>
      <c r="I146" s="2"/>
      <c r="J146" s="2"/>
    </row>
    <row r="147" spans="4:10" ht="12.75">
      <c r="D147" s="2"/>
      <c r="F147" s="2"/>
      <c r="G147" s="2"/>
      <c r="H147" s="2"/>
      <c r="I147" s="2"/>
      <c r="J147" s="2"/>
    </row>
    <row r="148" spans="4:10" ht="12.75">
      <c r="D148" s="2"/>
      <c r="F148" s="2"/>
      <c r="G148" s="2"/>
      <c r="H148" s="2"/>
      <c r="I148" s="2"/>
      <c r="J148" s="2"/>
    </row>
    <row r="149" spans="4:10" ht="12.75">
      <c r="D149" s="2"/>
      <c r="F149" s="2"/>
      <c r="G149" s="2"/>
      <c r="H149" s="2"/>
      <c r="I149" s="2"/>
      <c r="J149" s="2"/>
    </row>
    <row r="150" spans="4:10" ht="12.75">
      <c r="D150" s="2"/>
      <c r="F150" s="2"/>
      <c r="G150" s="2"/>
      <c r="H150" s="2"/>
      <c r="I150" s="2"/>
      <c r="J150" s="2"/>
    </row>
    <row r="151" spans="4:6" ht="12.75">
      <c r="D151" s="2"/>
      <c r="F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</sheetData>
  <sheetProtection/>
  <printOptions/>
  <pageMargins left="0.2" right="0.23" top="1" bottom="1" header="0.5" footer="0.5"/>
  <pageSetup horizontalDpi="600" verticalDpi="600" orientation="landscape" scale="75" r:id="rId2"/>
  <rowBreaks count="4" manualBreakCount="4">
    <brk id="22" max="255" man="1"/>
    <brk id="46" max="255" man="1"/>
    <brk id="68" max="255" man="1"/>
    <brk id="1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u000293</dc:creator>
  <cp:keywords/>
  <dc:description/>
  <cp:lastModifiedBy>Christakis Droussiotis</cp:lastModifiedBy>
  <cp:lastPrinted>2010-11-17T22:06:32Z</cp:lastPrinted>
  <dcterms:created xsi:type="dcterms:W3CDTF">2006-01-04T20:00:38Z</dcterms:created>
  <dcterms:modified xsi:type="dcterms:W3CDTF">2015-10-27T12:16:18Z</dcterms:modified>
  <cp:category/>
  <cp:version/>
  <cp:contentType/>
  <cp:contentStatus/>
</cp:coreProperties>
</file>