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580" activeTab="0"/>
  </bookViews>
  <sheets>
    <sheet name="Valuation" sheetId="1" r:id="rId1"/>
    <sheet name="Sheet3" sheetId="2" r:id="rId2"/>
    <sheet name="Sheet4" sheetId="3" r:id="rId3"/>
    <sheet name="Sheet5" sheetId="4" r:id="rId4"/>
  </sheets>
  <externalReferences>
    <externalReference r:id="rId7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41380.6083796296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'Valuation'!$A$1:$L$140</definedName>
  </definedNames>
  <calcPr fullCalcOnLoad="1"/>
</workbook>
</file>

<file path=xl/sharedStrings.xml><?xml version="1.0" encoding="utf-8"?>
<sst xmlns="http://schemas.openxmlformats.org/spreadsheetml/2006/main" count="195" uniqueCount="166">
  <si>
    <t>Operating Expenses</t>
  </si>
  <si>
    <t>EBITDA</t>
  </si>
  <si>
    <t>CORPORATE VALUATIONS - Public Companies</t>
  </si>
  <si>
    <t xml:space="preserve">METHOD #1 - Stock Price 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</si>
  <si>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</si>
  <si>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</si>
  <si>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</si>
  <si>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</si>
  <si>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</si>
  <si>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</si>
  <si>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</si>
  <si>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</si>
  <si>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Stocks Outstanding ($mm)</t>
  </si>
  <si>
    <t>Equity Value
 ($mm)</t>
  </si>
  <si>
    <t>Enterprise Value 
($mm)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</si>
  <si>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</si>
  <si>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</si>
  <si>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</si>
  <si>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</si>
  <si>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</si>
  <si>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</si>
  <si>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</si>
  <si>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</si>
  <si>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</si>
  <si>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</si>
  <si>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</si>
  <si>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</si>
  <si>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</si>
  <si>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</si>
  <si>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</si>
  <si>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</si>
  <si>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 xml:space="preserve">METHOD #2 - EBITDA Multiples </t>
  </si>
  <si>
    <t>E</t>
  </si>
  <si>
    <t>EV / E</t>
  </si>
  <si>
    <t>EBITDA Multiple</t>
  </si>
  <si>
    <t>Average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</si>
  <si>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</si>
  <si>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</si>
  <si>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</si>
  <si>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</si>
  <si>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</si>
  <si>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</si>
  <si>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</si>
  <si>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</si>
  <si>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</si>
  <si>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</si>
  <si>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</si>
  <si>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</si>
  <si>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</si>
  <si>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</si>
  <si>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</si>
  <si>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</si>
  <si>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</si>
  <si>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</si>
  <si>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</si>
  <si>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</si>
  <si>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</si>
  <si>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Less Taxes / % of EBIT</t>
  </si>
  <si>
    <t>Plus Depreciation</t>
  </si>
  <si>
    <t>Cash Flow</t>
  </si>
  <si>
    <t>Terminal Value</t>
  </si>
  <si>
    <t xml:space="preserve">  EBITDA Multiple Method</t>
  </si>
  <si>
    <t xml:space="preserve">  Perpetuity Method 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</si>
  <si>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</si>
  <si>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</si>
  <si>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</si>
  <si>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</si>
  <si>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</si>
  <si>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</si>
  <si>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</si>
  <si>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</si>
  <si>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</si>
  <si>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NPV=</t>
  </si>
  <si>
    <t>Enteprise Value =</t>
  </si>
  <si>
    <t>PV of Equity + PV of Debt</t>
  </si>
  <si>
    <t xml:space="preserve">PV of Equity = </t>
  </si>
  <si>
    <t xml:space="preserve">+ PV of Debt = </t>
  </si>
  <si>
    <t>ENTEPRISE VALUATION ANALYSIS</t>
  </si>
  <si>
    <t>Method #2</t>
  </si>
  <si>
    <t>Method #3</t>
  </si>
  <si>
    <t>Method #4</t>
  </si>
  <si>
    <t xml:space="preserve">Less Capex </t>
  </si>
  <si>
    <t>Equity Value at Terminal</t>
  </si>
  <si>
    <t>EV</t>
  </si>
  <si>
    <t>Debt</t>
  </si>
  <si>
    <t>Eq Value</t>
  </si>
  <si>
    <t>Shares Outs</t>
  </si>
  <si>
    <t>Stock Price</t>
  </si>
  <si>
    <t>Method #1 - Current Market Price</t>
  </si>
  <si>
    <t>Acquirer</t>
  </si>
  <si>
    <t>Less Debt Outstanding (at Exit)</t>
  </si>
  <si>
    <t>Cash</t>
  </si>
  <si>
    <t xml:space="preserve">  Average of other methods</t>
  </si>
  <si>
    <t>Stocks Outstanding (000)</t>
  </si>
  <si>
    <t>Equity Value (000)</t>
  </si>
  <si>
    <t>Debt  (000)</t>
  </si>
  <si>
    <t>Enterprise Value 
(000)</t>
  </si>
  <si>
    <t>EBITDA (000)</t>
  </si>
  <si>
    <t>Beta</t>
  </si>
  <si>
    <t>PNK</t>
  </si>
  <si>
    <t>MGM Mirage</t>
  </si>
  <si>
    <t>MGM</t>
  </si>
  <si>
    <t>LVS</t>
  </si>
  <si>
    <t>Station Casinos</t>
  </si>
  <si>
    <t>BYD</t>
  </si>
  <si>
    <t>GAMING COMPARABLES</t>
  </si>
  <si>
    <t>Ca</t>
  </si>
  <si>
    <t>EQ + D + Ca = EV</t>
  </si>
  <si>
    <t>Cash
($mm)</t>
  </si>
  <si>
    <t>Harrah's</t>
  </si>
  <si>
    <t>Texas Pacific Group/Apollo</t>
  </si>
  <si>
    <t>Argosy Baton Rouge</t>
  </si>
  <si>
    <t>Columbia Sussex</t>
  </si>
  <si>
    <t>5/11/2005</t>
  </si>
  <si>
    <t>Reno Hilton (Ceasars)</t>
  </si>
  <si>
    <t>Grand Siera Resort</t>
  </si>
  <si>
    <t>3/23/2005</t>
  </si>
  <si>
    <t>MotorCity (Mandalay)</t>
  </si>
  <si>
    <t>Marion</t>
  </si>
  <si>
    <t>02/04/2005</t>
  </si>
  <si>
    <t>Golden Nuggett</t>
  </si>
  <si>
    <t>Landry's</t>
  </si>
  <si>
    <t>11/03/2004</t>
  </si>
  <si>
    <t>Argosy Gaming</t>
  </si>
  <si>
    <t>Penn National</t>
  </si>
  <si>
    <t>10/25/2004</t>
  </si>
  <si>
    <t>Mandalay Resort</t>
  </si>
  <si>
    <t>07/15/2004</t>
  </si>
  <si>
    <t>Caesars</t>
  </si>
  <si>
    <t>Pinnacle Entertainment</t>
  </si>
  <si>
    <t>10/30/2007</t>
  </si>
  <si>
    <t>CtW Investment</t>
  </si>
  <si>
    <t>-  PV of Cash =</t>
  </si>
  <si>
    <t>Wynn Resorts</t>
  </si>
  <si>
    <t>Outliers</t>
  </si>
  <si>
    <t>Penn National Gaming</t>
  </si>
  <si>
    <t>PENN</t>
  </si>
  <si>
    <t>WYNN</t>
  </si>
  <si>
    <t>(5% per year payment)</t>
  </si>
  <si>
    <t>Calculating WACC</t>
  </si>
  <si>
    <t>Amount</t>
  </si>
  <si>
    <t xml:space="preserve"> % Cap</t>
  </si>
  <si>
    <t>Return/Inter</t>
  </si>
  <si>
    <t>After Tax</t>
  </si>
  <si>
    <t xml:space="preserve"> WACC</t>
  </si>
  <si>
    <t>Market Value of Equity (Trading)</t>
  </si>
  <si>
    <t>Total Debt</t>
  </si>
  <si>
    <t xml:space="preserve">  Total Capital</t>
  </si>
  <si>
    <t>6-year Treasury Note =</t>
  </si>
  <si>
    <t>(given)</t>
  </si>
  <si>
    <t>Historical Market Premium =</t>
  </si>
  <si>
    <t>Company Beta =</t>
  </si>
  <si>
    <t>Historical Tax Rate =</t>
  </si>
  <si>
    <t>Current Interest Payment =</t>
  </si>
  <si>
    <t>MGM Resorts</t>
  </si>
  <si>
    <t>CZR</t>
  </si>
  <si>
    <t>LTM</t>
  </si>
  <si>
    <t>(2018 EBITDA x Current EBITDA Multiple)</t>
  </si>
  <si>
    <t>(2019 Cash Flow / Discount Rate - 2019 Growth)</t>
  </si>
  <si>
    <t>Ceasars Entert. (Harrah's, Horseshoe)</t>
  </si>
  <si>
    <t>Las Vegas Sands (Venetian, Pallazzo)</t>
  </si>
  <si>
    <t>Boyd Gaming (Borgata)</t>
  </si>
  <si>
    <t>Stock Price (as of 10/26/2015)</t>
  </si>
  <si>
    <t>Debt (ST&amp;LT)
($mm)
as of 6/30/15</t>
  </si>
  <si>
    <t>Cash
 ($mm)
as of 
6/30/15</t>
  </si>
  <si>
    <t>(6/30/2015)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</si>
</sst>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0.000%"/>
    <numFmt numFmtId="176" formatCode="_(* #,##0.000_);_(* \(#,##0.000\);_(* &quot;-&quot;??_);_(@_)"/>
    <numFmt numFmtId="177" formatCode="0.0\x"/>
    <numFmt numFmtId="178" formatCode="_(* #,##0.0000000_);_(* \(#,##0.0000000\);_(* &quot;-&quot;??_);_(@_)"/>
    <numFmt numFmtId="179" formatCode="_(* #,##0.0_);_(* \(#,##0.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"/>
  </numFmts>
  <fonts count="5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4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44" fontId="2" fillId="0" borderId="13" xfId="44" applyFont="1" applyBorder="1" applyAlignment="1">
      <alignment/>
    </xf>
    <xf numFmtId="176" fontId="2" fillId="0" borderId="13" xfId="42" applyNumberFormat="1" applyFont="1" applyBorder="1" applyAlignment="1">
      <alignment/>
    </xf>
    <xf numFmtId="43" fontId="2" fillId="0" borderId="13" xfId="42" applyNumberFormat="1" applyFont="1" applyBorder="1" applyAlignment="1">
      <alignment/>
    </xf>
    <xf numFmtId="43" fontId="2" fillId="0" borderId="14" xfId="42" applyNumberFormat="1" applyFont="1" applyBorder="1" applyAlignment="1">
      <alignment/>
    </xf>
    <xf numFmtId="43" fontId="3" fillId="33" borderId="15" xfId="42" applyNumberFormat="1" applyFont="1" applyFill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176" fontId="2" fillId="0" borderId="10" xfId="42" applyNumberFormat="1" applyFont="1" applyBorder="1" applyAlignment="1">
      <alignment/>
    </xf>
    <xf numFmtId="43" fontId="2" fillId="0" borderId="17" xfId="42" applyNumberFormat="1" applyFont="1" applyBorder="1" applyAlignment="1">
      <alignment/>
    </xf>
    <xf numFmtId="43" fontId="3" fillId="33" borderId="18" xfId="42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33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172" fontId="0" fillId="0" borderId="21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0" xfId="59" applyNumberFormat="1" applyFont="1" applyBorder="1" applyAlignment="1">
      <alignment/>
    </xf>
    <xf numFmtId="174" fontId="2" fillId="0" borderId="21" xfId="59" applyNumberFormat="1" applyFont="1" applyBorder="1" applyAlignment="1">
      <alignment/>
    </xf>
    <xf numFmtId="172" fontId="4" fillId="0" borderId="22" xfId="42" applyNumberFormat="1" applyFont="1" applyBorder="1" applyAlignment="1">
      <alignment/>
    </xf>
    <xf numFmtId="172" fontId="4" fillId="0" borderId="23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177" fontId="0" fillId="0" borderId="0" xfId="0" applyNumberFormat="1" applyBorder="1" applyAlignment="1">
      <alignment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172" fontId="0" fillId="0" borderId="22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178" fontId="4" fillId="0" borderId="0" xfId="42" applyNumberFormat="1" applyFont="1" applyBorder="1" applyAlignment="1">
      <alignment horizontal="right"/>
    </xf>
    <xf numFmtId="178" fontId="4" fillId="0" borderId="21" xfId="4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42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4" fillId="0" borderId="23" xfId="0" applyNumberFormat="1" applyFont="1" applyBorder="1" applyAlignment="1">
      <alignment/>
    </xf>
    <xf numFmtId="0" fontId="0" fillId="0" borderId="0" xfId="0" applyAlignment="1" quotePrefix="1">
      <alignment/>
    </xf>
    <xf numFmtId="6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4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172" fontId="0" fillId="0" borderId="30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3" fillId="33" borderId="18" xfId="42" applyNumberFormat="1" applyFont="1" applyFill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4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/>
    </xf>
    <xf numFmtId="44" fontId="0" fillId="0" borderId="15" xfId="44" applyNumberFormat="1" applyFont="1" applyBorder="1" applyAlignment="1">
      <alignment/>
    </xf>
    <xf numFmtId="44" fontId="4" fillId="0" borderId="34" xfId="44" applyNumberFormat="1" applyFont="1" applyBorder="1" applyAlignment="1">
      <alignment/>
    </xf>
    <xf numFmtId="43" fontId="2" fillId="0" borderId="30" xfId="42" applyNumberFormat="1" applyFont="1" applyBorder="1" applyAlignment="1">
      <alignment/>
    </xf>
    <xf numFmtId="43" fontId="2" fillId="0" borderId="31" xfId="42" applyNumberFormat="1" applyFont="1" applyBorder="1" applyAlignment="1">
      <alignment/>
    </xf>
    <xf numFmtId="0" fontId="9" fillId="34" borderId="35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/>
    </xf>
    <xf numFmtId="172" fontId="4" fillId="34" borderId="37" xfId="0" applyNumberFormat="1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39" xfId="0" applyFont="1" applyFill="1" applyBorder="1" applyAlignment="1">
      <alignment horizontal="center" wrapText="1"/>
    </xf>
    <xf numFmtId="0" fontId="4" fillId="34" borderId="40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right"/>
    </xf>
    <xf numFmtId="0" fontId="4" fillId="34" borderId="41" xfId="0" applyFont="1" applyFill="1" applyBorder="1" applyAlignment="1">
      <alignment horizontal="center"/>
    </xf>
    <xf numFmtId="178" fontId="15" fillId="0" borderId="0" xfId="42" applyNumberFormat="1" applyFont="1" applyBorder="1" applyAlignment="1">
      <alignment/>
    </xf>
    <xf numFmtId="178" fontId="15" fillId="0" borderId="42" xfId="42" applyNumberFormat="1" applyFont="1" applyBorder="1" applyAlignment="1">
      <alignment/>
    </xf>
    <xf numFmtId="172" fontId="0" fillId="0" borderId="21" xfId="42" applyNumberFormat="1" applyFont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4" fontId="2" fillId="35" borderId="10" xfId="44" applyFont="1" applyFill="1" applyBorder="1" applyAlignment="1">
      <alignment/>
    </xf>
    <xf numFmtId="172" fontId="2" fillId="35" borderId="10" xfId="42" applyNumberFormat="1" applyFont="1" applyFill="1" applyBorder="1" applyAlignment="1">
      <alignment/>
    </xf>
    <xf numFmtId="172" fontId="2" fillId="35" borderId="17" xfId="42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44" fontId="14" fillId="0" borderId="10" xfId="44" applyFont="1" applyBorder="1" applyAlignment="1">
      <alignment/>
    </xf>
    <xf numFmtId="172" fontId="14" fillId="0" borderId="1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172" fontId="14" fillId="0" borderId="31" xfId="42" applyNumberFormat="1" applyFont="1" applyBorder="1" applyAlignment="1">
      <alignment/>
    </xf>
    <xf numFmtId="172" fontId="3" fillId="0" borderId="18" xfId="42" applyNumberFormat="1" applyFont="1" applyFill="1" applyBorder="1" applyAlignment="1">
      <alignment/>
    </xf>
    <xf numFmtId="172" fontId="14" fillId="0" borderId="17" xfId="42" applyNumberFormat="1" applyFont="1" applyBorder="1" applyAlignment="1">
      <alignment/>
    </xf>
    <xf numFmtId="173" fontId="3" fillId="33" borderId="18" xfId="42" applyNumberFormat="1" applyFont="1" applyFill="1" applyBorder="1" applyAlignment="1">
      <alignment/>
    </xf>
    <xf numFmtId="173" fontId="14" fillId="0" borderId="43" xfId="42" applyNumberFormat="1" applyFont="1" applyBorder="1" applyAlignment="1">
      <alignment/>
    </xf>
    <xf numFmtId="0" fontId="0" fillId="36" borderId="0" xfId="0" applyFill="1" applyAlignment="1">
      <alignment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173" fontId="0" fillId="0" borderId="0" xfId="0" applyNumberFormat="1" applyBorder="1" applyAlignment="1">
      <alignment/>
    </xf>
    <xf numFmtId="172" fontId="17" fillId="0" borderId="21" xfId="42" applyNumberFormat="1" applyFont="1" applyBorder="1" applyAlignment="1">
      <alignment/>
    </xf>
    <xf numFmtId="174" fontId="0" fillId="0" borderId="0" xfId="59" applyNumberFormat="1" applyFont="1" applyAlignment="1">
      <alignment/>
    </xf>
    <xf numFmtId="172" fontId="17" fillId="0" borderId="15" xfId="42" applyNumberFormat="1" applyFont="1" applyBorder="1" applyAlignment="1">
      <alignment/>
    </xf>
    <xf numFmtId="174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5" fontId="18" fillId="34" borderId="20" xfId="0" applyNumberFormat="1" applyFont="1" applyFill="1" applyBorder="1" applyAlignment="1">
      <alignment horizontal="right"/>
    </xf>
    <xf numFmtId="15" fontId="18" fillId="34" borderId="42" xfId="0" applyNumberFormat="1" applyFont="1" applyFill="1" applyBorder="1" applyAlignment="1">
      <alignment horizontal="right"/>
    </xf>
    <xf numFmtId="172" fontId="0" fillId="0" borderId="0" xfId="0" applyNumberFormat="1" applyBorder="1" applyAlignment="1" quotePrefix="1">
      <alignment/>
    </xf>
    <xf numFmtId="172" fontId="17" fillId="0" borderId="44" xfId="0" applyNumberFormat="1" applyFont="1" applyBorder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10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6" fontId="18" fillId="0" borderId="37" xfId="42" applyNumberFormat="1" applyFont="1" applyBorder="1" applyAlignment="1">
      <alignment horizontal="center"/>
    </xf>
    <xf numFmtId="172" fontId="2" fillId="0" borderId="10" xfId="42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14" fontId="2" fillId="0" borderId="12" xfId="0" applyNumberFormat="1" applyFont="1" applyBorder="1" applyAlignment="1">
      <alignment horizontal="left"/>
    </xf>
    <xf numFmtId="44" fontId="14" fillId="0" borderId="13" xfId="44" applyFont="1" applyBorder="1" applyAlignment="1">
      <alignment/>
    </xf>
    <xf numFmtId="173" fontId="2" fillId="0" borderId="45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14" fontId="2" fillId="0" borderId="16" xfId="0" applyNumberFormat="1" applyFont="1" applyBorder="1" applyAlignment="1" quotePrefix="1">
      <alignment/>
    </xf>
    <xf numFmtId="173" fontId="2" fillId="0" borderId="46" xfId="0" applyNumberFormat="1" applyFont="1" applyBorder="1" applyAlignment="1">
      <alignment/>
    </xf>
    <xf numFmtId="0" fontId="2" fillId="0" borderId="33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47" xfId="0" applyFont="1" applyBorder="1" applyAlignment="1" quotePrefix="1">
      <alignment/>
    </xf>
    <xf numFmtId="0" fontId="2" fillId="0" borderId="48" xfId="0" applyFont="1" applyBorder="1" applyAlignment="1">
      <alignment/>
    </xf>
    <xf numFmtId="44" fontId="2" fillId="0" borderId="48" xfId="44" applyFont="1" applyBorder="1" applyAlignment="1">
      <alignment/>
    </xf>
    <xf numFmtId="172" fontId="2" fillId="0" borderId="48" xfId="42" applyNumberFormat="1" applyFont="1" applyBorder="1" applyAlignment="1">
      <alignment/>
    </xf>
    <xf numFmtId="44" fontId="2" fillId="0" borderId="48" xfId="0" applyNumberFormat="1" applyFont="1" applyBorder="1" applyAlignment="1">
      <alignment/>
    </xf>
    <xf numFmtId="173" fontId="2" fillId="0" borderId="4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5" xfId="0" applyFont="1" applyBorder="1" applyAlignment="1">
      <alignment/>
    </xf>
    <xf numFmtId="173" fontId="3" fillId="0" borderId="37" xfId="0" applyNumberFormat="1" applyFont="1" applyBorder="1" applyAlignment="1">
      <alignment/>
    </xf>
    <xf numFmtId="14" fontId="2" fillId="0" borderId="12" xfId="0" applyNumberFormat="1" applyFont="1" applyBorder="1" applyAlignment="1" quotePrefix="1">
      <alignment horizontal="left"/>
    </xf>
    <xf numFmtId="181" fontId="2" fillId="0" borderId="13" xfId="0" applyNumberFormat="1" applyFont="1" applyBorder="1" applyAlignment="1">
      <alignment/>
    </xf>
    <xf numFmtId="181" fontId="2" fillId="0" borderId="13" xfId="44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2" fillId="0" borderId="10" xfId="44" applyNumberFormat="1" applyFont="1" applyBorder="1" applyAlignment="1">
      <alignment/>
    </xf>
    <xf numFmtId="0" fontId="0" fillId="0" borderId="5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 quotePrefix="1">
      <alignment/>
    </xf>
    <xf numFmtId="14" fontId="18" fillId="34" borderId="42" xfId="0" applyNumberFormat="1" applyFont="1" applyFill="1" applyBorder="1" applyAlignment="1" quotePrefix="1">
      <alignment horizontal="right"/>
    </xf>
    <xf numFmtId="15" fontId="18" fillId="34" borderId="28" xfId="0" applyNumberFormat="1" applyFont="1" applyFill="1" applyBorder="1" applyAlignment="1">
      <alignment horizontal="right"/>
    </xf>
    <xf numFmtId="172" fontId="0" fillId="0" borderId="32" xfId="42" applyNumberFormat="1" applyFont="1" applyBorder="1" applyAlignment="1">
      <alignment/>
    </xf>
    <xf numFmtId="172" fontId="4" fillId="0" borderId="51" xfId="42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44" fontId="2" fillId="34" borderId="10" xfId="44" applyFont="1" applyFill="1" applyBorder="1" applyAlignment="1">
      <alignment/>
    </xf>
    <xf numFmtId="172" fontId="2" fillId="34" borderId="10" xfId="42" applyNumberFormat="1" applyFont="1" applyFill="1" applyBorder="1" applyAlignment="1">
      <alignment/>
    </xf>
    <xf numFmtId="172" fontId="3" fillId="34" borderId="10" xfId="42" applyNumberFormat="1" applyFont="1" applyFill="1" applyBorder="1" applyAlignment="1">
      <alignment/>
    </xf>
    <xf numFmtId="173" fontId="3" fillId="34" borderId="10" xfId="42" applyNumberFormat="1" applyFont="1" applyFill="1" applyBorder="1" applyAlignment="1">
      <alignment/>
    </xf>
    <xf numFmtId="173" fontId="14" fillId="34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5" fontId="4" fillId="34" borderId="36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50" xfId="0" applyFont="1" applyBorder="1" applyAlignment="1">
      <alignment/>
    </xf>
    <xf numFmtId="10" fontId="0" fillId="0" borderId="0" xfId="0" applyNumberFormat="1" applyFont="1" applyBorder="1" applyAlignment="1">
      <alignment/>
    </xf>
    <xf numFmtId="174" fontId="4" fillId="0" borderId="23" xfId="59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73" fontId="0" fillId="0" borderId="0" xfId="42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4" fontId="57" fillId="0" borderId="0" xfId="59" applyNumberFormat="1" applyFont="1" applyBorder="1" applyAlignment="1">
      <alignment/>
    </xf>
    <xf numFmtId="172" fontId="58" fillId="0" borderId="0" xfId="42" applyNumberFormat="1" applyFont="1" applyBorder="1" applyAlignment="1">
      <alignment/>
    </xf>
    <xf numFmtId="0" fontId="0" fillId="0" borderId="5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110</xdr:row>
      <xdr:rowOff>9525</xdr:rowOff>
    </xdr:from>
    <xdr:to>
      <xdr:col>5</xdr:col>
      <xdr:colOff>400050</xdr:colOff>
      <xdr:row>112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6000750" y="193738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110</xdr:row>
      <xdr:rowOff>19050</xdr:rowOff>
    </xdr:from>
    <xdr:to>
      <xdr:col>6</xdr:col>
      <xdr:colOff>352425</xdr:colOff>
      <xdr:row>113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800850" y="19383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110</xdr:row>
      <xdr:rowOff>19050</xdr:rowOff>
    </xdr:from>
    <xdr:to>
      <xdr:col>7</xdr:col>
      <xdr:colOff>400050</xdr:colOff>
      <xdr:row>114</xdr:row>
      <xdr:rowOff>76200</xdr:rowOff>
    </xdr:to>
    <xdr:sp>
      <xdr:nvSpPr>
        <xdr:cNvPr id="3" name="Line 3"/>
        <xdr:cNvSpPr>
          <a:spLocks/>
        </xdr:cNvSpPr>
      </xdr:nvSpPr>
      <xdr:spPr>
        <a:xfrm>
          <a:off x="7562850" y="193833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110</xdr:row>
      <xdr:rowOff>38100</xdr:rowOff>
    </xdr:from>
    <xdr:to>
      <xdr:col>8</xdr:col>
      <xdr:colOff>400050</xdr:colOff>
      <xdr:row>115</xdr:row>
      <xdr:rowOff>95250</xdr:rowOff>
    </xdr:to>
    <xdr:sp>
      <xdr:nvSpPr>
        <xdr:cNvPr id="4" name="Line 4"/>
        <xdr:cNvSpPr>
          <a:spLocks/>
        </xdr:cNvSpPr>
      </xdr:nvSpPr>
      <xdr:spPr>
        <a:xfrm>
          <a:off x="8420100" y="194024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57150</xdr:rowOff>
    </xdr:from>
    <xdr:to>
      <xdr:col>4</xdr:col>
      <xdr:colOff>476250</xdr:colOff>
      <xdr:row>111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4810125" y="19583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95250</xdr:rowOff>
    </xdr:from>
    <xdr:to>
      <xdr:col>5</xdr:col>
      <xdr:colOff>400050</xdr:colOff>
      <xdr:row>112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4810125" y="197834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95250</xdr:rowOff>
    </xdr:from>
    <xdr:to>
      <xdr:col>6</xdr:col>
      <xdr:colOff>352425</xdr:colOff>
      <xdr:row>113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4810125" y="19945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115</xdr:row>
      <xdr:rowOff>85725</xdr:rowOff>
    </xdr:from>
    <xdr:to>
      <xdr:col>8</xdr:col>
      <xdr:colOff>428625</xdr:colOff>
      <xdr:row>115</xdr:row>
      <xdr:rowOff>85725</xdr:rowOff>
    </xdr:to>
    <xdr:sp>
      <xdr:nvSpPr>
        <xdr:cNvPr id="8" name="Line 9"/>
        <xdr:cNvSpPr>
          <a:spLocks/>
        </xdr:cNvSpPr>
      </xdr:nvSpPr>
      <xdr:spPr>
        <a:xfrm flipH="1">
          <a:off x="4829175" y="202596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108</xdr:row>
      <xdr:rowOff>104775</xdr:rowOff>
    </xdr:from>
    <xdr:to>
      <xdr:col>4</xdr:col>
      <xdr:colOff>0</xdr:colOff>
      <xdr:row>108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3943350" y="191071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110</xdr:row>
      <xdr:rowOff>0</xdr:rowOff>
    </xdr:from>
    <xdr:to>
      <xdr:col>4</xdr:col>
      <xdr:colOff>466725</xdr:colOff>
      <xdr:row>111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276850" y="1936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666875" y="13335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152400</xdr:rowOff>
    </xdr:from>
    <xdr:to>
      <xdr:col>8</xdr:col>
      <xdr:colOff>161925</xdr:colOff>
      <xdr:row>20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3933825" y="2505075"/>
          <a:ext cx="4248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26</xdr:row>
      <xdr:rowOff>161925</xdr:rowOff>
    </xdr:from>
    <xdr:to>
      <xdr:col>2</xdr:col>
      <xdr:colOff>523875</xdr:colOff>
      <xdr:row>26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1666875" y="41338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47</xdr:row>
      <xdr:rowOff>171450</xdr:rowOff>
    </xdr:from>
    <xdr:to>
      <xdr:col>3</xdr:col>
      <xdr:colOff>0</xdr:colOff>
      <xdr:row>47</xdr:row>
      <xdr:rowOff>171450</xdr:rowOff>
    </xdr:to>
    <xdr:sp>
      <xdr:nvSpPr>
        <xdr:cNvPr id="14" name="Line 21"/>
        <xdr:cNvSpPr>
          <a:spLocks/>
        </xdr:cNvSpPr>
      </xdr:nvSpPr>
      <xdr:spPr>
        <a:xfrm>
          <a:off x="714375" y="80200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218</xdr:row>
      <xdr:rowOff>85725</xdr:rowOff>
    </xdr:from>
    <xdr:to>
      <xdr:col>13</xdr:col>
      <xdr:colOff>228600</xdr:colOff>
      <xdr:row>218</xdr:row>
      <xdr:rowOff>85725</xdr:rowOff>
    </xdr:to>
    <xdr:sp>
      <xdr:nvSpPr>
        <xdr:cNvPr id="15" name="Line 22"/>
        <xdr:cNvSpPr>
          <a:spLocks/>
        </xdr:cNvSpPr>
      </xdr:nvSpPr>
      <xdr:spPr>
        <a:xfrm flipH="1">
          <a:off x="9620250" y="371570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114</xdr:row>
      <xdr:rowOff>66675</xdr:rowOff>
    </xdr:from>
    <xdr:to>
      <xdr:col>7</xdr:col>
      <xdr:colOff>409575</xdr:colOff>
      <xdr:row>114</xdr:row>
      <xdr:rowOff>76200</xdr:rowOff>
    </xdr:to>
    <xdr:sp>
      <xdr:nvSpPr>
        <xdr:cNvPr id="16" name="Line 23"/>
        <xdr:cNvSpPr>
          <a:spLocks/>
        </xdr:cNvSpPr>
      </xdr:nvSpPr>
      <xdr:spPr>
        <a:xfrm flipH="1">
          <a:off x="4791075" y="20078700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95</xdr:row>
      <xdr:rowOff>95250</xdr:rowOff>
    </xdr:from>
    <xdr:to>
      <xdr:col>9</xdr:col>
      <xdr:colOff>304800</xdr:colOff>
      <xdr:row>101</xdr:row>
      <xdr:rowOff>114300</xdr:rowOff>
    </xdr:to>
    <xdr:sp>
      <xdr:nvSpPr>
        <xdr:cNvPr id="17" name="Line 24"/>
        <xdr:cNvSpPr>
          <a:spLocks/>
        </xdr:cNvSpPr>
      </xdr:nvSpPr>
      <xdr:spPr>
        <a:xfrm flipV="1">
          <a:off x="8839200" y="17097375"/>
          <a:ext cx="314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Documents%20and%20Settings\cdroussiotis\My%20Documents\Personal\FDU\Valuation%20Material\Valuation%20Spreadsheet%20update%2011-07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1">
        <row r="36">
          <cell r="E36">
            <v>508610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PageLayoutView="0" workbookViewId="0" topLeftCell="B1">
      <selection activeCell="J22" sqref="J22"/>
    </sheetView>
  </sheetViews>
  <sheetFormatPr defaultColWidth="9.140625" defaultRowHeight="12.75"/>
  <cols>
    <col min="1" max="1" width="13.57421875" style="0" customWidth="1"/>
    <col min="2" max="2" width="29.140625" style="0" customWidth="1"/>
    <col min="3" max="3" width="15.8515625" style="0" customWidth="1"/>
    <col min="4" max="4" width="13.57421875" style="0" customWidth="1"/>
    <col min="5" max="5" width="11.8515625" style="0" customWidth="1"/>
    <col min="6" max="6" width="12.7109375" style="0" customWidth="1"/>
    <col min="7" max="7" width="10.7109375" style="0" customWidth="1"/>
    <col min="8" max="8" width="12.8515625" style="0" customWidth="1"/>
    <col min="9" max="9" width="12.421875" style="0" customWidth="1"/>
    <col min="10" max="10" width="12.57421875" style="0" customWidth="1"/>
    <col min="11" max="12" width="8.140625" style="0" customWidth="1"/>
  </cols>
  <sheetData>
    <row r="1" ht="12.75">
      <c r="B1" s="5" t="s">
        <v>2</v>
      </c>
    </row>
    <row r="2" ht="12.75">
      <c r="B2" s="5"/>
    </row>
    <row r="3" spans="2:10" ht="20.25">
      <c r="B3" s="6" t="s">
        <v>3</v>
      </c>
      <c r="C3" s="7"/>
      <c r="J3" s="8"/>
    </row>
    <row r="4" spans="2:10" ht="15.75">
      <c r="B4" s="9"/>
      <c r="C4" s="7"/>
      <c r="J4" s="8"/>
    </row>
    <row r="5" spans="2:10" ht="20.25">
      <c r="B5" s="147" t="str">
        <f>+B37</f>
        <v>Pinnacle Entertainment</v>
      </c>
      <c r="C5" s="7"/>
      <c r="J5" s="8"/>
    </row>
    <row r="6" ht="8.25" customHeight="1">
      <c r="J6" s="8"/>
    </row>
    <row r="7" spans="2:10" ht="21" customHeight="1">
      <c r="B7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/>
      <c r="I7" s="11" t="s">
        <v>9</v>
      </c>
      <c r="J7" s="12"/>
    </row>
    <row r="8" spans="4:10" ht="9.75" customHeight="1" thickBot="1">
      <c r="D8" s="13"/>
      <c r="E8" s="13"/>
      <c r="F8" s="13"/>
      <c r="G8" s="13"/>
      <c r="H8" s="13"/>
      <c r="I8" s="14"/>
      <c r="J8" s="12"/>
    </row>
    <row r="9" spans="1:10" ht="64.5" customHeight="1" thickBot="1">
      <c r="A9" s="3">
        <f>+A6+1</f>
        <v>1</v>
      </c>
      <c r="B9" s="94" t="s">
        <v>10</v>
      </c>
      <c r="C9" s="95" t="s">
        <v>11</v>
      </c>
      <c r="D9" s="96" t="s">
        <v>162</v>
      </c>
      <c r="E9" s="96" t="s">
        <v>12</v>
      </c>
      <c r="F9" s="96" t="s">
        <v>13</v>
      </c>
      <c r="G9" s="97" t="s">
        <v>163</v>
      </c>
      <c r="H9" s="98" t="s">
        <v>164</v>
      </c>
      <c r="I9" s="15" t="s">
        <v>14</v>
      </c>
      <c r="J9" s="8"/>
    </row>
    <row r="10" spans="1:10" ht="15.75" customHeight="1" hidden="1">
      <c r="A10" s="3">
        <f>+A9+1</f>
        <v>2</v>
      </c>
      <c r="B10" s="16" t="s">
        <v>15</v>
      </c>
      <c r="C10" s="17" t="s">
        <v>16</v>
      </c>
      <c r="D10" s="18">
        <v>64.37</v>
      </c>
      <c r="E10" s="19">
        <v>32.696</v>
      </c>
      <c r="F10" s="20">
        <f>+E10*D10</f>
        <v>2104.64152</v>
      </c>
      <c r="G10" s="21">
        <f>10.15+318.56</f>
        <v>328.71</v>
      </c>
      <c r="H10" s="89"/>
      <c r="I10" s="22">
        <f>+F10+G10</f>
        <v>2433.35152</v>
      </c>
      <c r="J10" s="8"/>
    </row>
    <row r="11" spans="1:10" ht="15.75" customHeight="1" hidden="1">
      <c r="A11" s="3">
        <f aca="true" t="shared" si="0" ref="A11:A18">+A10+1</f>
        <v>3</v>
      </c>
      <c r="B11" s="23" t="s">
        <v>17</v>
      </c>
      <c r="C11" s="24" t="s">
        <v>18</v>
      </c>
      <c r="D11" s="25">
        <v>30.76</v>
      </c>
      <c r="E11" s="26">
        <v>74.518</v>
      </c>
      <c r="F11" s="20">
        <f aca="true" t="shared" si="1" ref="F11:F18">+E11*D11</f>
        <v>2292.1736800000003</v>
      </c>
      <c r="G11" s="27">
        <f>4.1+398</f>
        <v>402.1</v>
      </c>
      <c r="H11" s="90"/>
      <c r="I11" s="28">
        <f aca="true" t="shared" si="2" ref="I11:I17">+G11+F11</f>
        <v>2694.2736800000002</v>
      </c>
      <c r="J11" s="8"/>
    </row>
    <row r="12" spans="1:10" ht="15.75" customHeight="1" hidden="1">
      <c r="A12" s="3">
        <f t="shared" si="0"/>
        <v>4</v>
      </c>
      <c r="B12" s="23" t="s">
        <v>19</v>
      </c>
      <c r="C12" s="24" t="s">
        <v>20</v>
      </c>
      <c r="D12" s="25">
        <v>24.35</v>
      </c>
      <c r="E12" s="26">
        <v>380.965</v>
      </c>
      <c r="F12" s="20">
        <f t="shared" si="1"/>
        <v>9276.49775</v>
      </c>
      <c r="G12" s="27">
        <f>14+3633</f>
        <v>3647</v>
      </c>
      <c r="H12" s="90"/>
      <c r="I12" s="28">
        <f t="shared" si="2"/>
        <v>12923.49775</v>
      </c>
      <c r="J12" s="8"/>
    </row>
    <row r="13" spans="1:10" ht="15.75" customHeight="1" hidden="1">
      <c r="A13" s="3">
        <f t="shared" si="0"/>
        <v>5</v>
      </c>
      <c r="B13" s="23" t="s">
        <v>21</v>
      </c>
      <c r="C13" s="24" t="s">
        <v>22</v>
      </c>
      <c r="D13" s="25">
        <v>23.6</v>
      </c>
      <c r="E13" s="26">
        <v>5.253</v>
      </c>
      <c r="F13" s="20">
        <f t="shared" si="1"/>
        <v>123.97080000000001</v>
      </c>
      <c r="G13" s="27">
        <f>739.48+25.72</f>
        <v>765.2</v>
      </c>
      <c r="H13" s="90"/>
      <c r="I13" s="28">
        <f t="shared" si="2"/>
        <v>889.1708000000001</v>
      </c>
      <c r="J13" s="8"/>
    </row>
    <row r="14" spans="1:10" ht="15.75" customHeight="1" hidden="1">
      <c r="A14" s="3">
        <f t="shared" si="0"/>
        <v>6</v>
      </c>
      <c r="B14" s="23" t="s">
        <v>23</v>
      </c>
      <c r="C14" s="24" t="s">
        <v>24</v>
      </c>
      <c r="D14" s="25">
        <v>8.52</v>
      </c>
      <c r="E14" s="26">
        <v>201.8</v>
      </c>
      <c r="F14" s="20">
        <f t="shared" si="1"/>
        <v>1719.336</v>
      </c>
      <c r="G14" s="27">
        <f>115.99+809.62</f>
        <v>925.61</v>
      </c>
      <c r="H14" s="90"/>
      <c r="I14" s="28">
        <f t="shared" si="2"/>
        <v>2644.946</v>
      </c>
      <c r="J14" s="8"/>
    </row>
    <row r="15" spans="1:10" ht="15.75" customHeight="1" hidden="1">
      <c r="A15" s="3">
        <f t="shared" si="0"/>
        <v>7</v>
      </c>
      <c r="B15" s="23" t="s">
        <v>25</v>
      </c>
      <c r="C15" s="25" t="s">
        <v>26</v>
      </c>
      <c r="D15" s="25">
        <v>19.92</v>
      </c>
      <c r="E15" s="26">
        <v>21.282</v>
      </c>
      <c r="F15" s="20">
        <f t="shared" si="1"/>
        <v>423.93744000000004</v>
      </c>
      <c r="G15" s="27">
        <f>27.54+170.89</f>
        <v>198.42999999999998</v>
      </c>
      <c r="H15" s="90"/>
      <c r="I15" s="28">
        <f t="shared" si="2"/>
        <v>622.36744</v>
      </c>
      <c r="J15" s="8"/>
    </row>
    <row r="16" spans="1:10" ht="15.75" customHeight="1" hidden="1">
      <c r="A16" s="3">
        <f t="shared" si="0"/>
        <v>8</v>
      </c>
      <c r="B16" s="23" t="s">
        <v>27</v>
      </c>
      <c r="C16" s="25" t="s">
        <v>28</v>
      </c>
      <c r="D16" s="25">
        <v>67.51</v>
      </c>
      <c r="E16" s="26">
        <v>216.711</v>
      </c>
      <c r="F16" s="20">
        <f t="shared" si="1"/>
        <v>14630.159610000002</v>
      </c>
      <c r="G16" s="27">
        <f>489+836</f>
        <v>1325</v>
      </c>
      <c r="H16" s="90"/>
      <c r="I16" s="28">
        <f t="shared" si="2"/>
        <v>15955.159610000002</v>
      </c>
      <c r="J16" s="8"/>
    </row>
    <row r="17" spans="1:10" ht="15.75" customHeight="1" hidden="1">
      <c r="A17" s="3">
        <f t="shared" si="0"/>
        <v>9</v>
      </c>
      <c r="B17" s="23" t="s">
        <v>29</v>
      </c>
      <c r="C17" s="29" t="s">
        <v>30</v>
      </c>
      <c r="D17" s="25">
        <v>28.92</v>
      </c>
      <c r="E17" s="26">
        <v>31.791</v>
      </c>
      <c r="F17" s="20">
        <f t="shared" si="1"/>
        <v>919.3957200000001</v>
      </c>
      <c r="G17" s="27">
        <f>89.17+537.46</f>
        <v>626.63</v>
      </c>
      <c r="H17" s="90"/>
      <c r="I17" s="28">
        <f t="shared" si="2"/>
        <v>1546.02572</v>
      </c>
      <c r="J17" s="8"/>
    </row>
    <row r="18" spans="1:10" ht="15.75" customHeight="1">
      <c r="A18" s="3">
        <f t="shared" si="0"/>
        <v>10</v>
      </c>
      <c r="B18" s="23" t="str">
        <f>+B5</f>
        <v>Pinnacle Entertainment</v>
      </c>
      <c r="C18" s="29" t="str">
        <f>+C37</f>
        <v>PNK</v>
      </c>
      <c r="D18" s="106">
        <v>36.09</v>
      </c>
      <c r="E18" s="107">
        <v>60710</v>
      </c>
      <c r="F18" s="78">
        <f t="shared" si="1"/>
        <v>2191023.9000000004</v>
      </c>
      <c r="G18" s="108">
        <f>11006+3782322</f>
        <v>3793328</v>
      </c>
      <c r="H18" s="108">
        <v>122011</v>
      </c>
      <c r="I18" s="79">
        <f>+G18+F18-H18</f>
        <v>5862340.9</v>
      </c>
      <c r="J18" s="8"/>
    </row>
    <row r="19" spans="4:10" ht="5.25" customHeight="1">
      <c r="D19" s="2"/>
      <c r="F19" s="2"/>
      <c r="G19" s="2"/>
      <c r="H19" s="2"/>
      <c r="I19" s="2"/>
      <c r="J19" s="8"/>
    </row>
    <row r="20" ht="13.5" thickBot="1">
      <c r="J20" s="8"/>
    </row>
    <row r="21" spans="2:10" ht="15" thickBot="1">
      <c r="B21" s="91" t="str">
        <f>+B5&amp;"  EV"</f>
        <v>Pinnacle Entertainment  EV</v>
      </c>
      <c r="C21" s="93">
        <f>+I18</f>
        <v>5862340.9</v>
      </c>
      <c r="J21" s="8"/>
    </row>
    <row r="22" spans="9:10" ht="12.75">
      <c r="I22" s="5"/>
      <c r="J22" s="30"/>
    </row>
    <row r="23" ht="12.75">
      <c r="J23" s="8"/>
    </row>
    <row r="24" ht="20.25">
      <c r="B24" s="6" t="s">
        <v>31</v>
      </c>
    </row>
    <row r="25" ht="14.25" customHeight="1">
      <c r="B25" s="6"/>
    </row>
    <row r="26" spans="2:10" ht="18">
      <c r="B26" s="109" t="str">
        <f>+B5</f>
        <v>Pinnacle Entertainment</v>
      </c>
      <c r="I26" s="110"/>
      <c r="J26" s="8"/>
    </row>
    <row r="27" spans="2:12" ht="12.75">
      <c r="B27" t="s">
        <v>4</v>
      </c>
      <c r="D27" s="111" t="s">
        <v>5</v>
      </c>
      <c r="E27" s="111" t="s">
        <v>6</v>
      </c>
      <c r="F27" s="111" t="s">
        <v>7</v>
      </c>
      <c r="G27" s="111" t="s">
        <v>8</v>
      </c>
      <c r="H27" s="111"/>
      <c r="I27" s="112" t="s">
        <v>9</v>
      </c>
      <c r="J27" s="111" t="s">
        <v>32</v>
      </c>
      <c r="K27" s="111" t="s">
        <v>33</v>
      </c>
      <c r="L27" s="13"/>
    </row>
    <row r="28" spans="4:12" ht="13.5" thickBot="1">
      <c r="D28" s="13"/>
      <c r="E28" s="13"/>
      <c r="F28" s="13"/>
      <c r="G28" s="13"/>
      <c r="H28" s="13"/>
      <c r="I28" s="113"/>
      <c r="J28" s="13"/>
      <c r="K28" s="13"/>
      <c r="L28" s="13"/>
    </row>
    <row r="29" spans="2:12" ht="39" thickBot="1">
      <c r="B29" s="114" t="s">
        <v>10</v>
      </c>
      <c r="C29" s="115" t="s">
        <v>11</v>
      </c>
      <c r="D29" s="116" t="str">
        <f>+D9</f>
        <v>Stock Price (as of 10/26/2015)</v>
      </c>
      <c r="E29" s="116" t="s">
        <v>93</v>
      </c>
      <c r="F29" s="116" t="s">
        <v>94</v>
      </c>
      <c r="G29" s="119" t="s">
        <v>95</v>
      </c>
      <c r="H29" s="117" t="s">
        <v>91</v>
      </c>
      <c r="I29" s="118" t="s">
        <v>96</v>
      </c>
      <c r="J29" s="119" t="s">
        <v>97</v>
      </c>
      <c r="K29" s="31" t="s">
        <v>34</v>
      </c>
      <c r="L29" s="148" t="s">
        <v>98</v>
      </c>
    </row>
    <row r="30" spans="2:12" ht="12.75">
      <c r="B30" s="23" t="s">
        <v>154</v>
      </c>
      <c r="C30" s="24" t="s">
        <v>101</v>
      </c>
      <c r="D30" s="120">
        <v>22.08</v>
      </c>
      <c r="E30" s="121">
        <v>491310</v>
      </c>
      <c r="F30" s="149">
        <f aca="true" t="shared" si="3" ref="F30:F35">+E30*D30</f>
        <v>10848124.799999999</v>
      </c>
      <c r="G30" s="125">
        <v>14170000</v>
      </c>
      <c r="H30" s="123">
        <v>2280000</v>
      </c>
      <c r="I30" s="124">
        <f aca="true" t="shared" si="4" ref="I30:I35">+F30+G30-H30</f>
        <v>22738124.799999997</v>
      </c>
      <c r="J30" s="125">
        <v>2120000</v>
      </c>
      <c r="K30" s="126">
        <f aca="true" t="shared" si="5" ref="K30:K35">+I30/J30</f>
        <v>10.725530566037735</v>
      </c>
      <c r="L30" s="127">
        <v>1.56</v>
      </c>
    </row>
    <row r="31" spans="2:12" ht="12.75">
      <c r="B31" s="23" t="s">
        <v>133</v>
      </c>
      <c r="C31" s="24" t="s">
        <v>137</v>
      </c>
      <c r="D31" s="120">
        <v>90.77</v>
      </c>
      <c r="E31" s="121">
        <v>120560</v>
      </c>
      <c r="F31" s="149">
        <f t="shared" si="3"/>
        <v>10943231.2</v>
      </c>
      <c r="G31" s="125">
        <v>5050000</v>
      </c>
      <c r="H31" s="123">
        <v>183000</v>
      </c>
      <c r="I31" s="124">
        <f t="shared" si="4"/>
        <v>15810231.2</v>
      </c>
      <c r="J31" s="125">
        <v>1220000</v>
      </c>
      <c r="K31" s="126">
        <f t="shared" si="5"/>
        <v>12.959205901639343</v>
      </c>
      <c r="L31" s="127">
        <v>0.99</v>
      </c>
    </row>
    <row r="32" spans="2:12" ht="12.75">
      <c r="B32" s="23" t="s">
        <v>135</v>
      </c>
      <c r="C32" s="24" t="s">
        <v>136</v>
      </c>
      <c r="D32" s="120">
        <v>16.68</v>
      </c>
      <c r="E32" s="121">
        <v>79030</v>
      </c>
      <c r="F32" s="149">
        <f t="shared" si="3"/>
        <v>1318220.4</v>
      </c>
      <c r="G32" s="125">
        <v>1270000</v>
      </c>
      <c r="H32" s="123">
        <v>208670</v>
      </c>
      <c r="I32" s="124">
        <f t="shared" si="4"/>
        <v>2379550.4</v>
      </c>
      <c r="J32" s="125">
        <v>253970</v>
      </c>
      <c r="K32" s="126">
        <f t="shared" si="5"/>
        <v>9.369415285269913</v>
      </c>
      <c r="L32" s="127">
        <v>0.91</v>
      </c>
    </row>
    <row r="33" spans="2:12" ht="12" customHeight="1">
      <c r="B33" s="23" t="s">
        <v>159</v>
      </c>
      <c r="C33" s="211" t="s">
        <v>155</v>
      </c>
      <c r="D33" s="120">
        <v>9.65</v>
      </c>
      <c r="E33" s="121">
        <v>144680</v>
      </c>
      <c r="F33" s="149">
        <f t="shared" si="3"/>
        <v>1396162</v>
      </c>
      <c r="G33" s="125">
        <v>23210000</v>
      </c>
      <c r="H33" s="123">
        <v>2810000</v>
      </c>
      <c r="I33" s="124">
        <f t="shared" si="4"/>
        <v>21796162</v>
      </c>
      <c r="J33" s="125">
        <v>1460000</v>
      </c>
      <c r="K33" s="126">
        <f t="shared" si="5"/>
        <v>14.928878082191781</v>
      </c>
      <c r="L33" s="127">
        <v>1.53</v>
      </c>
    </row>
    <row r="34" spans="2:12" ht="13.5" customHeight="1">
      <c r="B34" s="23" t="s">
        <v>160</v>
      </c>
      <c r="C34" s="24" t="s">
        <v>102</v>
      </c>
      <c r="D34" s="120">
        <v>55.12</v>
      </c>
      <c r="E34" s="121">
        <v>797750</v>
      </c>
      <c r="F34" s="149">
        <f t="shared" si="3"/>
        <v>43971980</v>
      </c>
      <c r="G34" s="125">
        <v>9900000</v>
      </c>
      <c r="H34" s="123">
        <v>3510000</v>
      </c>
      <c r="I34" s="124">
        <f t="shared" si="4"/>
        <v>50361980</v>
      </c>
      <c r="J34" s="125">
        <v>5180000</v>
      </c>
      <c r="K34" s="126">
        <f t="shared" si="5"/>
        <v>9.722389961389961</v>
      </c>
      <c r="L34" s="127">
        <v>1.76</v>
      </c>
    </row>
    <row r="35" spans="2:12" ht="12.75">
      <c r="B35" s="23" t="s">
        <v>161</v>
      </c>
      <c r="C35" s="24" t="s">
        <v>104</v>
      </c>
      <c r="D35" s="120">
        <v>13.4</v>
      </c>
      <c r="E35" s="121">
        <v>109300</v>
      </c>
      <c r="F35" s="149">
        <f t="shared" si="3"/>
        <v>1464620</v>
      </c>
      <c r="G35" s="125">
        <v>3460000</v>
      </c>
      <c r="H35" s="123">
        <v>145740</v>
      </c>
      <c r="I35" s="124">
        <f t="shared" si="4"/>
        <v>4778880</v>
      </c>
      <c r="J35" s="125">
        <v>560160</v>
      </c>
      <c r="K35" s="126">
        <f t="shared" si="5"/>
        <v>8.531276778063411</v>
      </c>
      <c r="L35" s="127">
        <v>1.55</v>
      </c>
    </row>
    <row r="36" ht="12.75">
      <c r="I36" s="110"/>
    </row>
    <row r="37" spans="2:12" ht="12.75">
      <c r="B37" s="185" t="s">
        <v>129</v>
      </c>
      <c r="C37" s="186" t="s">
        <v>99</v>
      </c>
      <c r="D37" s="187">
        <f>+D18</f>
        <v>36.09</v>
      </c>
      <c r="E37" s="188">
        <f>+E18</f>
        <v>60710</v>
      </c>
      <c r="F37" s="188">
        <f>+E37*D37</f>
        <v>2191023.9000000004</v>
      </c>
      <c r="G37" s="188">
        <f>+G18</f>
        <v>3793328</v>
      </c>
      <c r="H37" s="188">
        <f>+H18</f>
        <v>122011</v>
      </c>
      <c r="I37" s="189">
        <f>+F37+G37-H37</f>
        <v>5862340.9</v>
      </c>
      <c r="J37" s="188">
        <f>+D98</f>
        <v>589605</v>
      </c>
      <c r="K37" s="190">
        <f>+I37/J37</f>
        <v>9.942827655803463</v>
      </c>
      <c r="L37" s="191">
        <v>1.05</v>
      </c>
    </row>
    <row r="39" spans="9:12" ht="12.75">
      <c r="I39" s="5" t="s">
        <v>35</v>
      </c>
      <c r="K39" s="32">
        <f>AVERAGE(K30:K35)</f>
        <v>11.03944942909869</v>
      </c>
      <c r="L39" s="32">
        <f>AVERAGE(L34:L35)</f>
        <v>1.655</v>
      </c>
    </row>
    <row r="40" spans="9:15" ht="12.75">
      <c r="I40" s="30" t="s">
        <v>134</v>
      </c>
      <c r="J40" s="8"/>
      <c r="K40" s="32">
        <f>AVERAGE(K30,K31,K34,K35)</f>
        <v>10.484600801782612</v>
      </c>
      <c r="L40" s="8"/>
      <c r="M40" s="8"/>
      <c r="N40" s="150"/>
      <c r="O40" s="150"/>
    </row>
    <row r="41" spans="2:11" s="110" customFormat="1" ht="12.75">
      <c r="B41" s="142" t="s">
        <v>36</v>
      </c>
      <c r="C41" s="143">
        <f>+J37</f>
        <v>589605</v>
      </c>
      <c r="D41" s="144">
        <f>+K40</f>
        <v>10.484600801782612</v>
      </c>
      <c r="F41" s="142"/>
      <c r="G41" s="145"/>
      <c r="H41" s="145"/>
      <c r="K41" s="179"/>
    </row>
    <row r="42" spans="2:8" s="110" customFormat="1" ht="13.5" thickBot="1">
      <c r="B42" s="142"/>
      <c r="C42" s="143"/>
      <c r="D42" s="144"/>
      <c r="F42" s="142"/>
      <c r="G42" s="145"/>
      <c r="H42" s="145"/>
    </row>
    <row r="43" spans="2:3" s="110" customFormat="1" ht="15" thickBot="1">
      <c r="B43" s="91" t="str">
        <f>+B21</f>
        <v>Pinnacle Entertainment  EV</v>
      </c>
      <c r="C43" s="93">
        <f>+C41*D41</f>
        <v>6181773.055735037</v>
      </c>
    </row>
    <row r="44" s="110" customFormat="1" ht="12.75">
      <c r="B44" s="142"/>
    </row>
    <row r="45" s="110" customFormat="1" ht="20.25">
      <c r="A45" s="154" t="s">
        <v>37</v>
      </c>
    </row>
    <row r="46" spans="2:8" ht="12.75">
      <c r="B46" s="5"/>
      <c r="G46" s="5"/>
      <c r="H46" s="5"/>
    </row>
    <row r="47" ht="12.75">
      <c r="A47" s="151" t="s">
        <v>105</v>
      </c>
    </row>
    <row r="48" spans="1:10" ht="15.75" customHeight="1">
      <c r="A48" t="s">
        <v>4</v>
      </c>
      <c r="D48" s="152" t="s">
        <v>38</v>
      </c>
      <c r="E48" s="152" t="s">
        <v>6</v>
      </c>
      <c r="F48" s="152" t="s">
        <v>39</v>
      </c>
      <c r="G48" s="152" t="s">
        <v>106</v>
      </c>
      <c r="H48" s="153" t="s">
        <v>107</v>
      </c>
      <c r="I48" s="152" t="s">
        <v>32</v>
      </c>
      <c r="J48" s="152" t="s">
        <v>33</v>
      </c>
    </row>
    <row r="49" spans="4:10" ht="10.5" customHeight="1" thickBot="1">
      <c r="D49" s="13"/>
      <c r="E49" s="13"/>
      <c r="F49" s="13"/>
      <c r="G49" s="13"/>
      <c r="H49" s="34"/>
      <c r="I49" s="13"/>
      <c r="J49" s="13"/>
    </row>
    <row r="50" spans="1:11" ht="41.25" customHeight="1" thickBot="1">
      <c r="A50" s="129" t="s">
        <v>40</v>
      </c>
      <c r="B50" s="130" t="s">
        <v>41</v>
      </c>
      <c r="C50" s="130" t="s">
        <v>89</v>
      </c>
      <c r="D50" s="130" t="s">
        <v>42</v>
      </c>
      <c r="E50" s="130" t="s">
        <v>43</v>
      </c>
      <c r="F50" s="130" t="s">
        <v>44</v>
      </c>
      <c r="G50" s="130" t="s">
        <v>108</v>
      </c>
      <c r="H50" s="130" t="s">
        <v>45</v>
      </c>
      <c r="I50" s="130" t="s">
        <v>46</v>
      </c>
      <c r="J50" s="130" t="s">
        <v>47</v>
      </c>
      <c r="K50" s="35" t="s">
        <v>34</v>
      </c>
    </row>
    <row r="51" spans="1:11" ht="17.25" customHeight="1">
      <c r="A51" s="172" t="s">
        <v>130</v>
      </c>
      <c r="B51" s="17" t="s">
        <v>103</v>
      </c>
      <c r="C51" s="17" t="s">
        <v>131</v>
      </c>
      <c r="D51" s="156">
        <v>90</v>
      </c>
      <c r="E51" s="78">
        <v>57260000</v>
      </c>
      <c r="F51" s="173">
        <f>+E51*D51/1000000</f>
        <v>5153.4</v>
      </c>
      <c r="G51" s="173">
        <v>105.15</v>
      </c>
      <c r="H51" s="174">
        <v>3430</v>
      </c>
      <c r="I51" s="173">
        <f>+H51+F51-G51</f>
        <v>8478.25</v>
      </c>
      <c r="J51" s="173">
        <v>505.51</v>
      </c>
      <c r="K51" s="157">
        <f>+I51/J51</f>
        <v>16.771676129057784</v>
      </c>
    </row>
    <row r="52" spans="1:11" ht="17.25" customHeight="1">
      <c r="A52" s="155">
        <v>39156</v>
      </c>
      <c r="B52" s="17" t="s">
        <v>109</v>
      </c>
      <c r="C52" s="17" t="s">
        <v>110</v>
      </c>
      <c r="D52" s="156">
        <v>90</v>
      </c>
      <c r="E52" s="78">
        <f>+'[1]Method #2'!E36*1000</f>
        <v>508610000</v>
      </c>
      <c r="F52" s="173">
        <f>+E52*D52/1000000</f>
        <v>45774.9</v>
      </c>
      <c r="G52" s="173">
        <v>721</v>
      </c>
      <c r="H52" s="174">
        <v>12200</v>
      </c>
      <c r="I52" s="173">
        <f>+H52+F52-G52</f>
        <v>57253.9</v>
      </c>
      <c r="J52" s="173">
        <v>2480</v>
      </c>
      <c r="K52" s="157">
        <f>+I52/J52</f>
        <v>23.08625</v>
      </c>
    </row>
    <row r="53" spans="1:12" ht="17.25" customHeight="1">
      <c r="A53" s="155">
        <v>38523</v>
      </c>
      <c r="B53" s="17" t="s">
        <v>111</v>
      </c>
      <c r="C53" s="17" t="s">
        <v>112</v>
      </c>
      <c r="D53" s="18"/>
      <c r="E53" s="78"/>
      <c r="F53" s="173"/>
      <c r="G53" s="173"/>
      <c r="H53" s="174"/>
      <c r="I53" s="173">
        <v>150</v>
      </c>
      <c r="J53" s="173">
        <f>+I53/K53</f>
        <v>20.27027027027027</v>
      </c>
      <c r="K53" s="157">
        <v>7.4</v>
      </c>
      <c r="L53" s="13"/>
    </row>
    <row r="54" spans="1:12" ht="17.25" customHeight="1">
      <c r="A54" s="158" t="s">
        <v>113</v>
      </c>
      <c r="B54" s="17" t="s">
        <v>114</v>
      </c>
      <c r="C54" s="17" t="s">
        <v>115</v>
      </c>
      <c r="D54" s="18"/>
      <c r="E54" s="78"/>
      <c r="F54" s="173"/>
      <c r="G54" s="173"/>
      <c r="H54" s="174"/>
      <c r="I54" s="173">
        <v>150</v>
      </c>
      <c r="J54" s="173">
        <f>+I54/K54</f>
        <v>11.029411764705882</v>
      </c>
      <c r="K54" s="157">
        <v>13.6</v>
      </c>
      <c r="L54" s="13"/>
    </row>
    <row r="55" spans="1:12" ht="17.25" customHeight="1">
      <c r="A55" s="159" t="s">
        <v>116</v>
      </c>
      <c r="B55" s="24" t="s">
        <v>117</v>
      </c>
      <c r="C55" s="24" t="s">
        <v>118</v>
      </c>
      <c r="D55" s="25"/>
      <c r="E55" s="122"/>
      <c r="F55" s="175"/>
      <c r="G55" s="175"/>
      <c r="H55" s="176"/>
      <c r="I55" s="175">
        <v>525</v>
      </c>
      <c r="J55" s="175">
        <f>+I55/K55</f>
        <v>67.3076923076923</v>
      </c>
      <c r="K55" s="160">
        <v>7.8</v>
      </c>
      <c r="L55" s="8"/>
    </row>
    <row r="56" spans="1:12" ht="17.25" customHeight="1">
      <c r="A56" s="161" t="s">
        <v>119</v>
      </c>
      <c r="B56" s="24" t="s">
        <v>120</v>
      </c>
      <c r="C56" s="24" t="s">
        <v>121</v>
      </c>
      <c r="D56" s="25"/>
      <c r="E56" s="122"/>
      <c r="F56" s="175"/>
      <c r="G56" s="175"/>
      <c r="H56" s="176"/>
      <c r="I56" s="175">
        <v>295</v>
      </c>
      <c r="J56" s="175">
        <f>+I56/K56</f>
        <v>22.692307692307693</v>
      </c>
      <c r="K56" s="160">
        <v>13</v>
      </c>
      <c r="L56" s="8"/>
    </row>
    <row r="57" spans="1:12" ht="17.25" customHeight="1">
      <c r="A57" s="158" t="s">
        <v>122</v>
      </c>
      <c r="B57" s="17" t="s">
        <v>123</v>
      </c>
      <c r="C57" s="17" t="s">
        <v>124</v>
      </c>
      <c r="D57" s="18"/>
      <c r="E57" s="78"/>
      <c r="F57" s="173"/>
      <c r="G57" s="173"/>
      <c r="H57" s="174"/>
      <c r="I57" s="173">
        <v>2200</v>
      </c>
      <c r="J57" s="175">
        <f>+I57/K57</f>
        <v>258.8235294117647</v>
      </c>
      <c r="K57" s="160">
        <v>8.5</v>
      </c>
      <c r="L57" s="8"/>
    </row>
    <row r="58" spans="1:12" ht="17.25" customHeight="1">
      <c r="A58" s="162" t="s">
        <v>125</v>
      </c>
      <c r="B58" s="17" t="s">
        <v>126</v>
      </c>
      <c r="C58" s="17" t="s">
        <v>100</v>
      </c>
      <c r="D58" s="18">
        <v>68</v>
      </c>
      <c r="E58" s="78">
        <f>+F58/D58*1000000</f>
        <v>71323529.41176471</v>
      </c>
      <c r="F58" s="173">
        <f>+I58-H58</f>
        <v>4850</v>
      </c>
      <c r="G58" s="173">
        <v>0</v>
      </c>
      <c r="H58" s="174">
        <v>2800</v>
      </c>
      <c r="I58" s="173">
        <v>7650</v>
      </c>
      <c r="J58" s="175">
        <f>409.26+175.53</f>
        <v>584.79</v>
      </c>
      <c r="K58" s="160">
        <f>+I58/J58</f>
        <v>13.08161904273329</v>
      </c>
      <c r="L58" s="8"/>
    </row>
    <row r="59" spans="1:12" ht="17.25" customHeight="1">
      <c r="A59" s="158" t="s">
        <v>127</v>
      </c>
      <c r="B59" s="17" t="s">
        <v>128</v>
      </c>
      <c r="C59" s="17" t="s">
        <v>109</v>
      </c>
      <c r="D59" s="18">
        <v>61.2658227848101</v>
      </c>
      <c r="E59" s="78">
        <v>55300</v>
      </c>
      <c r="F59" s="173">
        <f>+E59*D59/1000</f>
        <v>3387.9999999999986</v>
      </c>
      <c r="G59" s="173">
        <f>+I59-F59-H59</f>
        <v>1792.0000000000018</v>
      </c>
      <c r="H59" s="174">
        <v>4260</v>
      </c>
      <c r="I59" s="173">
        <v>9440</v>
      </c>
      <c r="J59" s="175">
        <f>+I59/K59</f>
        <v>1180</v>
      </c>
      <c r="K59" s="160">
        <v>8</v>
      </c>
      <c r="L59" s="8"/>
    </row>
    <row r="60" spans="1:12" ht="17.25" customHeight="1" thickBot="1">
      <c r="A60" s="163"/>
      <c r="B60" s="164"/>
      <c r="C60" s="164"/>
      <c r="D60" s="165"/>
      <c r="E60" s="166"/>
      <c r="F60" s="167"/>
      <c r="G60" s="167"/>
      <c r="H60" s="165"/>
      <c r="I60" s="167"/>
      <c r="J60" s="167"/>
      <c r="K60" s="168"/>
      <c r="L60" s="8"/>
    </row>
    <row r="61" spans="1:12" ht="18.75" customHeight="1" thickBo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8"/>
    </row>
    <row r="62" spans="1:12" ht="18.75" customHeight="1" thickBot="1">
      <c r="A62" s="169"/>
      <c r="B62" s="169"/>
      <c r="C62" s="169"/>
      <c r="D62" s="169"/>
      <c r="E62" s="169"/>
      <c r="F62" s="169"/>
      <c r="G62" s="169"/>
      <c r="H62" s="169"/>
      <c r="I62" s="169"/>
      <c r="J62" s="170" t="s">
        <v>35</v>
      </c>
      <c r="K62" s="171">
        <f>AVERAGE(K51:K60)</f>
        <v>12.359949463532342</v>
      </c>
      <c r="L62" s="8"/>
    </row>
    <row r="63" ht="19.5" customHeight="1">
      <c r="F63" s="131"/>
    </row>
    <row r="64" spans="1:256" s="128" customFormat="1" ht="12.75">
      <c r="A64" s="110"/>
      <c r="B64" s="142" t="s">
        <v>36</v>
      </c>
      <c r="C64" s="143">
        <f>+C41</f>
        <v>589605</v>
      </c>
      <c r="D64" s="144">
        <f>+K62</f>
        <v>12.359949463532342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 s="128" customFormat="1" ht="13.5" thickBot="1">
      <c r="A65" s="110"/>
      <c r="B65" s="142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256" s="128" customFormat="1" ht="15" thickBot="1">
      <c r="A66" s="110"/>
      <c r="B66" s="91" t="str">
        <f>+B43</f>
        <v>Pinnacle Entertainment  EV</v>
      </c>
      <c r="C66" s="93">
        <f>+C64*D64</f>
        <v>7287488.003445987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</row>
    <row r="67" spans="1:256" s="128" customFormat="1" ht="12.75">
      <c r="A67" s="110"/>
      <c r="B67" s="142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ht="12.75">
      <c r="B68" s="5"/>
    </row>
    <row r="69" ht="20.25">
      <c r="B69" s="1" t="s">
        <v>48</v>
      </c>
    </row>
    <row r="70" ht="10.5" customHeight="1">
      <c r="B70" s="1"/>
    </row>
    <row r="71" spans="1:10" ht="16.5" customHeight="1" thickBot="1">
      <c r="A71">
        <f>ROW()</f>
        <v>71</v>
      </c>
      <c r="B71" s="5" t="s">
        <v>139</v>
      </c>
      <c r="C71" s="192"/>
      <c r="D71" s="192"/>
      <c r="E71" s="192"/>
      <c r="F71" s="192"/>
      <c r="G71" s="192"/>
      <c r="H71" s="192"/>
      <c r="I71" s="192"/>
      <c r="J71" s="192"/>
    </row>
    <row r="72" spans="1:10" ht="15" customHeight="1" thickBot="1">
      <c r="A72">
        <f>ROW()</f>
        <v>72</v>
      </c>
      <c r="B72" s="193"/>
      <c r="C72" s="194"/>
      <c r="D72" s="195" t="s">
        <v>140</v>
      </c>
      <c r="E72" s="195" t="s">
        <v>141</v>
      </c>
      <c r="F72" s="195" t="s">
        <v>142</v>
      </c>
      <c r="G72" s="195" t="s">
        <v>143</v>
      </c>
      <c r="H72" s="195" t="s">
        <v>144</v>
      </c>
      <c r="I72" s="196"/>
      <c r="J72" s="192"/>
    </row>
    <row r="73" spans="1:10" ht="12.75" customHeight="1">
      <c r="A73">
        <f>ROW()</f>
        <v>73</v>
      </c>
      <c r="B73" s="197" t="s">
        <v>145</v>
      </c>
      <c r="C73" s="198"/>
      <c r="D73" s="199">
        <f>+F18</f>
        <v>2191023.9000000004</v>
      </c>
      <c r="E73" s="200">
        <f>+D73/$D$75</f>
        <v>0.36612551143591676</v>
      </c>
      <c r="F73" s="201">
        <f>+D77+(D79*D78)</f>
        <v>0.111</v>
      </c>
      <c r="G73" s="201">
        <f>+F73</f>
        <v>0.111</v>
      </c>
      <c r="H73" s="201">
        <f>+G73*E73</f>
        <v>0.04063993176938676</v>
      </c>
      <c r="I73" s="202"/>
      <c r="J73" s="192"/>
    </row>
    <row r="74" spans="1:10" ht="12.75" customHeight="1">
      <c r="A74">
        <f>ROW()</f>
        <v>74</v>
      </c>
      <c r="B74" s="197" t="s">
        <v>146</v>
      </c>
      <c r="C74" s="198"/>
      <c r="D74" s="199">
        <f>+G18</f>
        <v>3793328</v>
      </c>
      <c r="E74" s="200">
        <f>+D74/$D$75</f>
        <v>0.6338744885640832</v>
      </c>
      <c r="F74" s="203">
        <f>+H77/G18</f>
        <v>0.06456942294470713</v>
      </c>
      <c r="G74" s="203">
        <f>+F74*(1-D80)</f>
        <v>0.04197012491405964</v>
      </c>
      <c r="H74" s="201">
        <f>+G74*E74</f>
        <v>0.02660379146487024</v>
      </c>
      <c r="I74" s="202"/>
      <c r="J74" s="192"/>
    </row>
    <row r="75" spans="1:10" ht="12.75" customHeight="1" thickBot="1">
      <c r="A75">
        <f>ROW()</f>
        <v>75</v>
      </c>
      <c r="B75" s="197" t="s">
        <v>147</v>
      </c>
      <c r="C75" s="198"/>
      <c r="D75" s="82">
        <f>SUM(D73:D74)</f>
        <v>5984351.9</v>
      </c>
      <c r="E75" s="204">
        <f>+E74+E73</f>
        <v>1</v>
      </c>
      <c r="F75" s="30"/>
      <c r="G75" s="30"/>
      <c r="H75" s="205">
        <f>SUM(H73:H74)</f>
        <v>0.06724372323425701</v>
      </c>
      <c r="I75" s="202"/>
      <c r="J75" s="192"/>
    </row>
    <row r="76" spans="1:10" ht="10.5" customHeight="1" thickTop="1">
      <c r="A76">
        <f>ROW()</f>
        <v>76</v>
      </c>
      <c r="B76" s="197"/>
      <c r="C76" s="198"/>
      <c r="D76" s="198"/>
      <c r="E76" s="198"/>
      <c r="F76" s="198"/>
      <c r="G76" s="198"/>
      <c r="H76" s="198"/>
      <c r="I76" s="202"/>
      <c r="J76" s="192"/>
    </row>
    <row r="77" spans="1:10" ht="15" customHeight="1">
      <c r="A77">
        <f>ROW()</f>
        <v>77</v>
      </c>
      <c r="B77" s="197" t="s">
        <v>148</v>
      </c>
      <c r="C77" s="8"/>
      <c r="D77" s="203">
        <v>0.0165</v>
      </c>
      <c r="E77" s="198" t="s">
        <v>149</v>
      </c>
      <c r="F77" s="198" t="s">
        <v>153</v>
      </c>
      <c r="G77" s="8"/>
      <c r="H77" s="214">
        <f>59995+61083+61357+62498</f>
        <v>244933</v>
      </c>
      <c r="I77" s="215" t="s">
        <v>165</v>
      </c>
      <c r="J77" s="192"/>
    </row>
    <row r="78" spans="1:10" ht="15" customHeight="1">
      <c r="A78">
        <f>ROW()</f>
        <v>78</v>
      </c>
      <c r="B78" s="197" t="s">
        <v>150</v>
      </c>
      <c r="C78" s="198"/>
      <c r="D78" s="203">
        <v>0.09</v>
      </c>
      <c r="E78" s="206" t="s">
        <v>149</v>
      </c>
      <c r="F78" s="8"/>
      <c r="G78" s="8"/>
      <c r="H78" s="198"/>
      <c r="I78" s="202" t="s">
        <v>156</v>
      </c>
      <c r="J78" s="192"/>
    </row>
    <row r="79" spans="1:10" ht="15" customHeight="1">
      <c r="A79">
        <f>ROW()</f>
        <v>79</v>
      </c>
      <c r="B79" s="197" t="s">
        <v>151</v>
      </c>
      <c r="C79" s="198"/>
      <c r="D79" s="207">
        <f>+L37</f>
        <v>1.05</v>
      </c>
      <c r="E79" s="198"/>
      <c r="F79" s="8"/>
      <c r="G79" s="8"/>
      <c r="H79" s="198"/>
      <c r="I79" s="202"/>
      <c r="J79" s="192"/>
    </row>
    <row r="80" spans="1:10" ht="15" customHeight="1">
      <c r="A80">
        <f>ROW()</f>
        <v>80</v>
      </c>
      <c r="B80" s="197" t="s">
        <v>152</v>
      </c>
      <c r="C80" s="198"/>
      <c r="D80" s="203">
        <f>+C93</f>
        <v>0.35</v>
      </c>
      <c r="E80" s="198"/>
      <c r="F80" s="8"/>
      <c r="G80" s="8"/>
      <c r="H80" s="198"/>
      <c r="I80" s="202"/>
      <c r="J80" s="192"/>
    </row>
    <row r="81" spans="1:10" ht="10.5" customHeight="1" thickBot="1">
      <c r="A81">
        <f>ROW()</f>
        <v>81</v>
      </c>
      <c r="B81" s="208"/>
      <c r="C81" s="209"/>
      <c r="D81" s="209"/>
      <c r="E81" s="209"/>
      <c r="F81" s="209"/>
      <c r="G81" s="209"/>
      <c r="H81" s="209"/>
      <c r="I81" s="210"/>
      <c r="J81" s="192"/>
    </row>
    <row r="82" spans="2:10" ht="10.5" customHeight="1">
      <c r="B82" s="30"/>
      <c r="C82" s="198"/>
      <c r="D82" s="198"/>
      <c r="E82" s="198"/>
      <c r="F82" s="198"/>
      <c r="G82" s="198"/>
      <c r="H82" s="198"/>
      <c r="I82" s="198"/>
      <c r="J82" s="192"/>
    </row>
    <row r="83" spans="1:10" ht="21" thickBot="1">
      <c r="A83">
        <v>6</v>
      </c>
      <c r="B83" s="1" t="str">
        <f>+B5</f>
        <v>Pinnacle Entertainment</v>
      </c>
      <c r="D83" s="212" t="s">
        <v>156</v>
      </c>
      <c r="E83">
        <v>1</v>
      </c>
      <c r="F83">
        <v>2</v>
      </c>
      <c r="G83">
        <v>3</v>
      </c>
      <c r="H83">
        <v>4</v>
      </c>
      <c r="I83">
        <v>5</v>
      </c>
      <c r="J83" s="8">
        <v>6</v>
      </c>
    </row>
    <row r="84" spans="1:10" ht="12.75">
      <c r="A84">
        <f aca="true" t="shared" si="6" ref="A84:A123">+A83+1</f>
        <v>7</v>
      </c>
      <c r="B84" t="s">
        <v>49</v>
      </c>
      <c r="D84" s="100" t="s">
        <v>50</v>
      </c>
      <c r="I84" s="100" t="s">
        <v>51</v>
      </c>
      <c r="J84" s="8"/>
    </row>
    <row r="85" spans="1:10" ht="13.5" thickBot="1">
      <c r="A85">
        <f t="shared" si="6"/>
        <v>8</v>
      </c>
      <c r="C85" s="99" t="s">
        <v>52</v>
      </c>
      <c r="D85" s="180">
        <v>42185</v>
      </c>
      <c r="E85" s="138">
        <f>+D85+184</f>
        <v>42369</v>
      </c>
      <c r="F85" s="138">
        <f>+E85+365</f>
        <v>42734</v>
      </c>
      <c r="G85" s="138">
        <f>+F85+366</f>
        <v>43100</v>
      </c>
      <c r="H85" s="138">
        <f>+G85+365</f>
        <v>43465</v>
      </c>
      <c r="I85" s="139">
        <f>+H85+365</f>
        <v>43830</v>
      </c>
      <c r="J85" s="181">
        <f>+I85+365</f>
        <v>44195</v>
      </c>
    </row>
    <row r="86" spans="1:10" ht="12.75">
      <c r="A86">
        <f t="shared" si="6"/>
        <v>9</v>
      </c>
      <c r="B86" t="s">
        <v>53</v>
      </c>
      <c r="C86" s="37"/>
      <c r="D86" s="132">
        <f>581960+572839+554285+568299</f>
        <v>2277383</v>
      </c>
      <c r="E86" s="38">
        <f aca="true" t="shared" si="7" ref="E86:J86">+D86*(1+E87)</f>
        <v>2345704.49</v>
      </c>
      <c r="F86" s="38">
        <f t="shared" si="7"/>
        <v>2416075.6247000005</v>
      </c>
      <c r="G86" s="38">
        <f t="shared" si="7"/>
        <v>2488557.8934410005</v>
      </c>
      <c r="H86" s="38">
        <f t="shared" si="7"/>
        <v>2563214.6302442304</v>
      </c>
      <c r="I86" s="39">
        <f>+H86*(1+I87)</f>
        <v>2640111.0691515575</v>
      </c>
      <c r="J86" s="38">
        <f t="shared" si="7"/>
        <v>2719314.4012261042</v>
      </c>
    </row>
    <row r="87" spans="1:10" ht="12.75">
      <c r="A87">
        <f t="shared" si="6"/>
        <v>10</v>
      </c>
      <c r="B87" t="s">
        <v>54</v>
      </c>
      <c r="C87" s="135">
        <v>0.03</v>
      </c>
      <c r="D87" s="103"/>
      <c r="E87" s="41">
        <f>+C87</f>
        <v>0.03</v>
      </c>
      <c r="F87" s="41">
        <f>+E87</f>
        <v>0.03</v>
      </c>
      <c r="G87" s="41">
        <f>+F87</f>
        <v>0.03</v>
      </c>
      <c r="H87" s="41">
        <f>+G87</f>
        <v>0.03</v>
      </c>
      <c r="I87" s="42">
        <f>+H87</f>
        <v>0.03</v>
      </c>
      <c r="J87" s="213">
        <v>0.03</v>
      </c>
    </row>
    <row r="88" spans="1:10" ht="6.75" customHeight="1">
      <c r="A88">
        <f t="shared" si="6"/>
        <v>11</v>
      </c>
      <c r="C88" s="40"/>
      <c r="D88" s="103"/>
      <c r="E88" s="41"/>
      <c r="F88" s="41"/>
      <c r="G88" s="41"/>
      <c r="H88" s="41"/>
      <c r="I88" s="42"/>
      <c r="J88" s="41"/>
    </row>
    <row r="89" spans="1:10" ht="12.75">
      <c r="A89">
        <f t="shared" si="6"/>
        <v>12</v>
      </c>
      <c r="B89" t="s">
        <v>55</v>
      </c>
      <c r="C89" s="133">
        <f>-D89/D86</f>
        <v>0.5525025873996601</v>
      </c>
      <c r="D89" s="132">
        <f>-325437-304930-311041-316852</f>
        <v>-1258260</v>
      </c>
      <c r="E89" s="38">
        <f aca="true" t="shared" si="8" ref="E89:J89">-$C$89*E86</f>
        <v>-1296007.8000000003</v>
      </c>
      <c r="F89" s="38">
        <f t="shared" si="8"/>
        <v>-1334888.0340000005</v>
      </c>
      <c r="G89" s="38">
        <f t="shared" si="8"/>
        <v>-1374934.6750200004</v>
      </c>
      <c r="H89" s="38">
        <f t="shared" si="8"/>
        <v>-1416182.7152706003</v>
      </c>
      <c r="I89" s="39">
        <f>-$C$89*I86</f>
        <v>-1458668.1967287185</v>
      </c>
      <c r="J89" s="38">
        <f t="shared" si="8"/>
        <v>-1502428.24263058</v>
      </c>
    </row>
    <row r="90" spans="1:10" ht="9" customHeight="1">
      <c r="A90">
        <f t="shared" si="6"/>
        <v>13</v>
      </c>
      <c r="C90" s="40"/>
      <c r="D90" s="42"/>
      <c r="E90" s="41"/>
      <c r="F90" s="41"/>
      <c r="G90" s="41"/>
      <c r="H90" s="41"/>
      <c r="I90" s="42"/>
      <c r="J90" s="41"/>
    </row>
    <row r="91" spans="1:10" ht="12.75">
      <c r="A91">
        <f t="shared" si="6"/>
        <v>14</v>
      </c>
      <c r="B91" t="s">
        <v>0</v>
      </c>
      <c r="C91" s="133">
        <f>-D91/D86</f>
        <v>0.3026122527480007</v>
      </c>
      <c r="D91" s="134">
        <v>-689164</v>
      </c>
      <c r="E91" s="76">
        <f aca="true" t="shared" si="9" ref="E91:J91">-$C$91*E86</f>
        <v>-709838.9200000002</v>
      </c>
      <c r="F91" s="76">
        <f t="shared" si="9"/>
        <v>-731134.0876000002</v>
      </c>
      <c r="G91" s="76">
        <f t="shared" si="9"/>
        <v>-753068.1102280002</v>
      </c>
      <c r="H91" s="76">
        <f t="shared" si="9"/>
        <v>-775660.1535348402</v>
      </c>
      <c r="I91" s="77">
        <f>-$C$91*I86</f>
        <v>-798929.9581408855</v>
      </c>
      <c r="J91" s="182">
        <f t="shared" si="9"/>
        <v>-822897.856885112</v>
      </c>
    </row>
    <row r="92" spans="1:10" ht="12.75">
      <c r="A92">
        <f t="shared" si="6"/>
        <v>15</v>
      </c>
      <c r="B92" t="s">
        <v>56</v>
      </c>
      <c r="D92" s="103">
        <f>+D86+D89+D91</f>
        <v>329959</v>
      </c>
      <c r="E92" s="38">
        <f aca="true" t="shared" si="10" ref="E92:J92">+E86+E89+E91</f>
        <v>339857.7699999998</v>
      </c>
      <c r="F92" s="38">
        <f t="shared" si="10"/>
        <v>350053.50309999986</v>
      </c>
      <c r="G92" s="38">
        <f t="shared" si="10"/>
        <v>360555.10819299985</v>
      </c>
      <c r="H92" s="38">
        <f t="shared" si="10"/>
        <v>371371.7614387899</v>
      </c>
      <c r="I92" s="39">
        <f t="shared" si="10"/>
        <v>382512.9142819536</v>
      </c>
      <c r="J92" s="38">
        <f t="shared" si="10"/>
        <v>393988.30171041226</v>
      </c>
    </row>
    <row r="93" spans="1:10" ht="12.75">
      <c r="A93">
        <f t="shared" si="6"/>
        <v>16</v>
      </c>
      <c r="B93" t="s">
        <v>57</v>
      </c>
      <c r="C93" s="136">
        <v>0.35</v>
      </c>
      <c r="D93" s="103">
        <f aca="true" t="shared" si="11" ref="D93:J93">-$C$93*D92</f>
        <v>-115485.65</v>
      </c>
      <c r="E93" s="38">
        <f t="shared" si="11"/>
        <v>-118950.21949999992</v>
      </c>
      <c r="F93" s="38">
        <f t="shared" si="11"/>
        <v>-122518.72608499994</v>
      </c>
      <c r="G93" s="38">
        <f t="shared" si="11"/>
        <v>-126194.28786754994</v>
      </c>
      <c r="H93" s="38">
        <f t="shared" si="11"/>
        <v>-129980.11650357646</v>
      </c>
      <c r="I93" s="39">
        <f t="shared" si="11"/>
        <v>-133879.51999868374</v>
      </c>
      <c r="J93" s="38">
        <f t="shared" si="11"/>
        <v>-137895.90559864428</v>
      </c>
    </row>
    <row r="94" spans="1:10" ht="12.75">
      <c r="A94">
        <f t="shared" si="6"/>
        <v>17</v>
      </c>
      <c r="B94" t="s">
        <v>58</v>
      </c>
      <c r="C94" s="137">
        <f>+D94/D86</f>
        <v>0.11401068682781948</v>
      </c>
      <c r="D94" s="132">
        <f>62863+69439+65152+62192</f>
        <v>259646</v>
      </c>
      <c r="E94" s="38">
        <f aca="true" t="shared" si="12" ref="E94:J94">+$C$94*E86</f>
        <v>267435.38000000006</v>
      </c>
      <c r="F94" s="38">
        <f t="shared" si="12"/>
        <v>275458.44140000007</v>
      </c>
      <c r="G94" s="38">
        <f t="shared" si="12"/>
        <v>283722.1946420001</v>
      </c>
      <c r="H94" s="38">
        <f t="shared" si="12"/>
        <v>292233.86048126005</v>
      </c>
      <c r="I94" s="39">
        <f>+$C$94*I86</f>
        <v>301000.8762956979</v>
      </c>
      <c r="J94" s="38">
        <f t="shared" si="12"/>
        <v>310030.90258456883</v>
      </c>
    </row>
    <row r="95" spans="1:10" ht="12.75">
      <c r="A95">
        <f t="shared" si="6"/>
        <v>18</v>
      </c>
      <c r="B95" t="s">
        <v>81</v>
      </c>
      <c r="C95" s="135">
        <v>0.1</v>
      </c>
      <c r="D95" s="132">
        <f>-20631-21118-42093-38976</f>
        <v>-122818</v>
      </c>
      <c r="E95" s="38">
        <f aca="true" t="shared" si="13" ref="E95:J95">-$C$95*E86</f>
        <v>-234570.44900000002</v>
      </c>
      <c r="F95" s="38">
        <f t="shared" si="13"/>
        <v>-241607.56247000006</v>
      </c>
      <c r="G95" s="38">
        <f t="shared" si="13"/>
        <v>-248855.78934410005</v>
      </c>
      <c r="H95" s="38">
        <f t="shared" si="13"/>
        <v>-256321.46302442305</v>
      </c>
      <c r="I95" s="39">
        <f>-$C$95*I86</f>
        <v>-264011.1069151558</v>
      </c>
      <c r="J95" s="38">
        <f t="shared" si="13"/>
        <v>-271931.4401226104</v>
      </c>
    </row>
    <row r="96" spans="1:10" ht="13.5" thickBot="1">
      <c r="A96">
        <f t="shared" si="6"/>
        <v>19</v>
      </c>
      <c r="B96" t="s">
        <v>59</v>
      </c>
      <c r="D96" s="43">
        <f aca="true" t="shared" si="14" ref="D96:J96">SUM(D92:D95)</f>
        <v>351301.35</v>
      </c>
      <c r="E96" s="44">
        <f t="shared" si="14"/>
        <v>253772.48149999988</v>
      </c>
      <c r="F96" s="44">
        <f t="shared" si="14"/>
        <v>261385.65594499995</v>
      </c>
      <c r="G96" s="44">
        <f t="shared" si="14"/>
        <v>269227.22562334995</v>
      </c>
      <c r="H96" s="44">
        <f t="shared" si="14"/>
        <v>277304.04239205044</v>
      </c>
      <c r="I96" s="43">
        <f t="shared" si="14"/>
        <v>285623.163663812</v>
      </c>
      <c r="J96" s="183">
        <f t="shared" si="14"/>
        <v>294191.8585737264</v>
      </c>
    </row>
    <row r="97" spans="1:10" ht="7.5" customHeight="1" thickTop="1">
      <c r="A97">
        <f t="shared" si="6"/>
        <v>20</v>
      </c>
      <c r="D97" s="38"/>
      <c r="E97" s="38"/>
      <c r="F97" s="38"/>
      <c r="G97" s="38"/>
      <c r="H97" s="38"/>
      <c r="I97" s="39"/>
      <c r="J97" s="38"/>
    </row>
    <row r="98" spans="1:10" ht="12.75">
      <c r="A98">
        <f t="shared" si="6"/>
        <v>21</v>
      </c>
      <c r="B98" t="s">
        <v>1</v>
      </c>
      <c r="D98" s="45">
        <f>+D92+D94</f>
        <v>589605</v>
      </c>
      <c r="E98" s="45">
        <f aca="true" t="shared" si="15" ref="E98:J98">+E92+E94</f>
        <v>607293.1499999999</v>
      </c>
      <c r="F98" s="45">
        <f t="shared" si="15"/>
        <v>625511.9445</v>
      </c>
      <c r="G98" s="45">
        <f t="shared" si="15"/>
        <v>644277.302835</v>
      </c>
      <c r="H98" s="45">
        <f t="shared" si="15"/>
        <v>663605.6219200499</v>
      </c>
      <c r="I98" s="46">
        <f>+I92+I94</f>
        <v>683513.7905776515</v>
      </c>
      <c r="J98" s="45">
        <f t="shared" si="15"/>
        <v>704019.2042949811</v>
      </c>
    </row>
    <row r="99" spans="1:10" ht="6.75" customHeight="1">
      <c r="A99">
        <f t="shared" si="6"/>
        <v>22</v>
      </c>
      <c r="D99" s="8"/>
      <c r="E99" s="8"/>
      <c r="F99" s="8"/>
      <c r="G99" s="8"/>
      <c r="H99" s="8"/>
      <c r="I99" s="47"/>
      <c r="J99" s="8"/>
    </row>
    <row r="100" spans="1:10" ht="13.5" thickBot="1">
      <c r="A100">
        <f t="shared" si="6"/>
        <v>23</v>
      </c>
      <c r="B100" s="48" t="s">
        <v>60</v>
      </c>
      <c r="C100" s="36" t="s">
        <v>52</v>
      </c>
      <c r="D100" s="8"/>
      <c r="E100" s="8"/>
      <c r="F100" s="8"/>
      <c r="G100" s="8"/>
      <c r="H100" s="8"/>
      <c r="I100" s="47"/>
      <c r="J100" s="8"/>
    </row>
    <row r="101" spans="1:10" ht="12.75">
      <c r="A101">
        <f t="shared" si="6"/>
        <v>24</v>
      </c>
      <c r="B101" t="s">
        <v>61</v>
      </c>
      <c r="C101" s="33">
        <f>+D41</f>
        <v>10.484600801782612</v>
      </c>
      <c r="D101" s="49"/>
      <c r="E101" s="206" t="s">
        <v>157</v>
      </c>
      <c r="F101" s="8"/>
      <c r="G101" s="8"/>
      <c r="H101" s="8"/>
      <c r="I101" s="50">
        <f>+C101*I98</f>
        <v>7166369.2367199175</v>
      </c>
      <c r="J101" s="53"/>
    </row>
    <row r="102" spans="1:10" ht="12.75">
      <c r="A102">
        <f t="shared" si="6"/>
        <v>25</v>
      </c>
      <c r="B102" t="s">
        <v>62</v>
      </c>
      <c r="C102" s="146">
        <f>+H75</f>
        <v>0.06724372323425701</v>
      </c>
      <c r="D102" s="51"/>
      <c r="E102" s="206" t="s">
        <v>158</v>
      </c>
      <c r="F102" s="8"/>
      <c r="G102" s="8"/>
      <c r="H102" s="8"/>
      <c r="I102" s="39">
        <f>+J96/(C102-J87)</f>
        <v>7899099.043436314</v>
      </c>
      <c r="J102" s="38"/>
    </row>
    <row r="103" spans="1:10" ht="13.5" thickBot="1">
      <c r="A103">
        <f t="shared" si="6"/>
        <v>26</v>
      </c>
      <c r="B103" t="s">
        <v>35</v>
      </c>
      <c r="D103" s="8"/>
      <c r="E103" s="8"/>
      <c r="F103" s="8"/>
      <c r="G103" s="8"/>
      <c r="H103" s="8"/>
      <c r="I103" s="52">
        <f>+(I101+I102)/2</f>
        <v>7532734.140078116</v>
      </c>
      <c r="J103" s="38"/>
    </row>
    <row r="104" spans="1:10" ht="13.5" thickTop="1">
      <c r="A104">
        <f t="shared" si="6"/>
        <v>27</v>
      </c>
      <c r="B104" t="s">
        <v>90</v>
      </c>
      <c r="C104" s="136">
        <v>0.25</v>
      </c>
      <c r="D104" s="140" t="s">
        <v>138</v>
      </c>
      <c r="E104" s="8"/>
      <c r="F104" s="8"/>
      <c r="G104" s="8"/>
      <c r="H104" s="8"/>
      <c r="I104" s="141">
        <f>-(1-C104)*$G$37</f>
        <v>-2844996</v>
      </c>
      <c r="J104" s="184"/>
    </row>
    <row r="105" spans="1:10" ht="12.75">
      <c r="A105">
        <f t="shared" si="6"/>
        <v>28</v>
      </c>
      <c r="B105" t="s">
        <v>82</v>
      </c>
      <c r="D105" s="8"/>
      <c r="E105" s="8"/>
      <c r="F105" s="8"/>
      <c r="G105" s="8"/>
      <c r="H105" s="8"/>
      <c r="I105" s="50">
        <f>+I104+I103</f>
        <v>4687738.140078116</v>
      </c>
      <c r="J105" s="53"/>
    </row>
    <row r="106" spans="1:10" ht="12.75">
      <c r="A106">
        <f t="shared" si="6"/>
        <v>29</v>
      </c>
      <c r="D106" s="8"/>
      <c r="E106" s="8"/>
      <c r="F106" s="8"/>
      <c r="G106" s="8"/>
      <c r="H106" s="8"/>
      <c r="I106" s="47"/>
      <c r="J106" s="8"/>
    </row>
    <row r="107" spans="1:10" ht="12.75">
      <c r="A107">
        <f t="shared" si="6"/>
        <v>30</v>
      </c>
      <c r="B107" t="s">
        <v>63</v>
      </c>
      <c r="D107" s="45"/>
      <c r="E107" s="45">
        <f>+E96</f>
        <v>253772.48149999988</v>
      </c>
      <c r="F107" s="45">
        <f>+F96</f>
        <v>261385.65594499995</v>
      </c>
      <c r="G107" s="45">
        <f>+G96</f>
        <v>269227.22562334995</v>
      </c>
      <c r="H107" s="45">
        <f>+H96</f>
        <v>277304.04239205044</v>
      </c>
      <c r="I107" s="46">
        <f>+I105+I96</f>
        <v>4973361.303741928</v>
      </c>
      <c r="J107" s="45"/>
    </row>
    <row r="108" spans="1:10" ht="12.75">
      <c r="A108">
        <f t="shared" si="6"/>
        <v>31</v>
      </c>
      <c r="D108" s="53"/>
      <c r="E108" s="54" t="s">
        <v>64</v>
      </c>
      <c r="F108" s="54" t="s">
        <v>64</v>
      </c>
      <c r="G108" s="54" t="s">
        <v>64</v>
      </c>
      <c r="H108" s="54" t="s">
        <v>64</v>
      </c>
      <c r="I108" s="55" t="s">
        <v>64</v>
      </c>
      <c r="J108" s="54"/>
    </row>
    <row r="109" spans="1:10" ht="15.75" thickBot="1">
      <c r="A109">
        <f t="shared" si="6"/>
        <v>32</v>
      </c>
      <c r="C109" s="56" t="s">
        <v>65</v>
      </c>
      <c r="D109" s="53"/>
      <c r="E109" s="101">
        <f>1/((1+$F$73)^E83)</f>
        <v>0.9000900090009001</v>
      </c>
      <c r="F109" s="101">
        <f>1/((1+$F$73)^F83)</f>
        <v>0.8101620243032404</v>
      </c>
      <c r="G109" s="101">
        <f>1/((1+$F$73)^G83)</f>
        <v>0.7292187437472911</v>
      </c>
      <c r="H109" s="101">
        <f>1/((1+$F$73)^H83)</f>
        <v>0.6563625056231243</v>
      </c>
      <c r="I109" s="102">
        <f>1/((1+$F$73)^I83)</f>
        <v>0.5907853335941713</v>
      </c>
      <c r="J109" s="101"/>
    </row>
    <row r="110" spans="1:10" ht="12.75">
      <c r="A110">
        <f t="shared" si="6"/>
        <v>33</v>
      </c>
      <c r="C110" s="56"/>
      <c r="D110" s="53"/>
      <c r="E110" s="57" t="s">
        <v>66</v>
      </c>
      <c r="F110" s="57" t="s">
        <v>66</v>
      </c>
      <c r="G110" s="57" t="s">
        <v>66</v>
      </c>
      <c r="H110" s="57" t="s">
        <v>66</v>
      </c>
      <c r="I110" s="57" t="s">
        <v>66</v>
      </c>
      <c r="J110" s="57"/>
    </row>
    <row r="111" spans="1:3" ht="12.75">
      <c r="A111">
        <f t="shared" si="6"/>
        <v>34</v>
      </c>
      <c r="C111" s="56"/>
    </row>
    <row r="112" spans="1:5" ht="12.75">
      <c r="A112">
        <f t="shared" si="6"/>
        <v>35</v>
      </c>
      <c r="C112" s="56" t="s">
        <v>67</v>
      </c>
      <c r="D112" s="58">
        <f>+E109*E107</f>
        <v>228418.07515751565</v>
      </c>
      <c r="E112" s="59"/>
    </row>
    <row r="113" spans="1:4" ht="12.75">
      <c r="A113">
        <f t="shared" si="6"/>
        <v>36</v>
      </c>
      <c r="C113" s="56" t="s">
        <v>68</v>
      </c>
      <c r="D113" s="58">
        <f>+F109*F107</f>
        <v>211764.73214423147</v>
      </c>
    </row>
    <row r="114" spans="1:4" ht="12.75">
      <c r="A114">
        <f t="shared" si="6"/>
        <v>37</v>
      </c>
      <c r="C114" s="56" t="s">
        <v>69</v>
      </c>
      <c r="D114" s="58">
        <f>+G109*G107</f>
        <v>196325.53925162775</v>
      </c>
    </row>
    <row r="115" spans="1:4" ht="12.75">
      <c r="A115">
        <f t="shared" si="6"/>
        <v>38</v>
      </c>
      <c r="C115" s="56" t="s">
        <v>70</v>
      </c>
      <c r="D115" s="58">
        <f>+H109*H107</f>
        <v>182011.97608386728</v>
      </c>
    </row>
    <row r="116" spans="1:4" ht="12.75">
      <c r="A116">
        <f t="shared" si="6"/>
        <v>39</v>
      </c>
      <c r="C116" s="56" t="s">
        <v>71</v>
      </c>
      <c r="D116" s="58">
        <f>+I109*I107</f>
        <v>2938188.9169155178</v>
      </c>
    </row>
    <row r="117" spans="1:5" ht="13.5" thickBot="1">
      <c r="A117">
        <f t="shared" si="6"/>
        <v>40</v>
      </c>
      <c r="C117" s="56" t="s">
        <v>72</v>
      </c>
      <c r="D117" s="60">
        <f>SUM(D112:D116)</f>
        <v>3756709.23955276</v>
      </c>
      <c r="E117" s="61"/>
    </row>
    <row r="118" spans="1:5" ht="13.5" thickTop="1">
      <c r="A118">
        <f t="shared" si="6"/>
        <v>41</v>
      </c>
      <c r="C118" s="56"/>
      <c r="D118" s="62"/>
      <c r="E118" s="61"/>
    </row>
    <row r="119" spans="1:5" ht="12.75">
      <c r="A119">
        <f t="shared" si="6"/>
        <v>42</v>
      </c>
      <c r="C119" s="63" t="s">
        <v>73</v>
      </c>
      <c r="D119" s="64" t="s">
        <v>74</v>
      </c>
      <c r="E119" s="4"/>
    </row>
    <row r="120" spans="1:4" ht="12.75">
      <c r="A120">
        <f t="shared" si="6"/>
        <v>43</v>
      </c>
      <c r="C120" s="65" t="s">
        <v>75</v>
      </c>
      <c r="D120" s="58">
        <f>+D117</f>
        <v>3756709.23955276</v>
      </c>
    </row>
    <row r="121" spans="1:4" ht="12.75">
      <c r="A121">
        <f t="shared" si="6"/>
        <v>44</v>
      </c>
      <c r="C121" s="66" t="s">
        <v>76</v>
      </c>
      <c r="D121" s="67">
        <f>+G37</f>
        <v>3793328</v>
      </c>
    </row>
    <row r="122" spans="1:4" ht="13.5" thickBot="1">
      <c r="A122">
        <f t="shared" si="6"/>
        <v>45</v>
      </c>
      <c r="C122" s="66" t="s">
        <v>132</v>
      </c>
      <c r="D122" s="67">
        <f>-H18</f>
        <v>-122011</v>
      </c>
    </row>
    <row r="123" spans="1:4" ht="15" thickBot="1">
      <c r="A123">
        <f t="shared" si="6"/>
        <v>46</v>
      </c>
      <c r="B123" s="91" t="str">
        <f>+B66</f>
        <v>Pinnacle Entertainment  EV</v>
      </c>
      <c r="C123" s="92"/>
      <c r="D123" s="93">
        <f>+D121+D120+D122</f>
        <v>7428026.2395527605</v>
      </c>
    </row>
    <row r="124" spans="2:3" ht="15" customHeight="1">
      <c r="B124" s="65"/>
      <c r="C124" s="7"/>
    </row>
    <row r="126" ht="13.5" thickBot="1"/>
    <row r="127" spans="1:8" ht="20.25">
      <c r="A127" s="68"/>
      <c r="B127" s="69" t="s">
        <v>77</v>
      </c>
      <c r="C127" s="70"/>
      <c r="D127" s="70"/>
      <c r="E127" s="70"/>
      <c r="F127" s="70"/>
      <c r="G127" s="70"/>
      <c r="H127" s="71"/>
    </row>
    <row r="128" spans="1:8" ht="7.5" customHeight="1">
      <c r="A128" s="72"/>
      <c r="B128" s="8"/>
      <c r="C128" s="8"/>
      <c r="D128" s="8"/>
      <c r="E128" s="8"/>
      <c r="F128" s="8"/>
      <c r="G128" s="8"/>
      <c r="H128" s="177"/>
    </row>
    <row r="129" spans="1:8" ht="21" thickBot="1">
      <c r="A129" s="72"/>
      <c r="B129" s="178" t="str">
        <f>+B5</f>
        <v>Pinnacle Entertainment</v>
      </c>
      <c r="C129" s="8"/>
      <c r="D129" s="8"/>
      <c r="E129" s="8"/>
      <c r="F129" s="8"/>
      <c r="G129" s="8"/>
      <c r="H129" s="177"/>
    </row>
    <row r="130" spans="1:8" ht="9" customHeight="1" thickBot="1">
      <c r="A130" s="72"/>
      <c r="B130" s="83"/>
      <c r="C130" s="70"/>
      <c r="D130" s="70"/>
      <c r="E130" s="70"/>
      <c r="F130" s="70"/>
      <c r="G130" s="70"/>
      <c r="H130" s="71"/>
    </row>
    <row r="131" spans="1:8" ht="13.5" thickBot="1">
      <c r="A131" s="72"/>
      <c r="B131" s="72"/>
      <c r="C131" s="104" t="s">
        <v>83</v>
      </c>
      <c r="D131" s="104" t="s">
        <v>84</v>
      </c>
      <c r="E131" s="104" t="s">
        <v>91</v>
      </c>
      <c r="F131" s="104" t="s">
        <v>85</v>
      </c>
      <c r="G131" s="104" t="s">
        <v>86</v>
      </c>
      <c r="H131" s="105" t="s">
        <v>87</v>
      </c>
    </row>
    <row r="132" spans="1:8" ht="12.75">
      <c r="A132" s="72"/>
      <c r="B132" s="84" t="s">
        <v>88</v>
      </c>
      <c r="C132" s="80">
        <f>+C21</f>
        <v>5862340.9</v>
      </c>
      <c r="D132" s="80">
        <f>+$D$121</f>
        <v>3793328</v>
      </c>
      <c r="E132" s="80">
        <f>+H37</f>
        <v>122011</v>
      </c>
      <c r="F132" s="80">
        <f>+C132-D132+E132</f>
        <v>2191023.9000000004</v>
      </c>
      <c r="G132" s="80">
        <f>+E37</f>
        <v>60710</v>
      </c>
      <c r="H132" s="87">
        <f>+F132/G132</f>
        <v>36.09</v>
      </c>
    </row>
    <row r="133" spans="1:8" ht="12.75">
      <c r="A133" s="72"/>
      <c r="B133" s="84"/>
      <c r="C133" s="80"/>
      <c r="D133" s="80"/>
      <c r="E133" s="80"/>
      <c r="F133" s="80"/>
      <c r="G133" s="80"/>
      <c r="H133" s="87"/>
    </row>
    <row r="134" spans="1:8" ht="12.75">
      <c r="A134" s="72"/>
      <c r="B134" s="85" t="s">
        <v>78</v>
      </c>
      <c r="C134" s="81">
        <f>+C43</f>
        <v>6181773.055735037</v>
      </c>
      <c r="D134" s="80">
        <f>+D132</f>
        <v>3793328</v>
      </c>
      <c r="E134" s="80">
        <f>+E132</f>
        <v>122011</v>
      </c>
      <c r="F134" s="80">
        <f>+C134-D134+E134</f>
        <v>2510456.0557350367</v>
      </c>
      <c r="G134" s="80">
        <f>+G132</f>
        <v>60710</v>
      </c>
      <c r="H134" s="87">
        <f>+F134/G134</f>
        <v>41.351606913770986</v>
      </c>
    </row>
    <row r="135" spans="1:8" ht="12.75">
      <c r="A135" s="72"/>
      <c r="B135" s="85" t="s">
        <v>79</v>
      </c>
      <c r="C135" s="81">
        <f>+C66</f>
        <v>7287488.003445987</v>
      </c>
      <c r="D135" s="80">
        <f>+D132</f>
        <v>3793328</v>
      </c>
      <c r="E135" s="80">
        <f>+E132</f>
        <v>122011</v>
      </c>
      <c r="F135" s="80">
        <f>+C135-D135+E135</f>
        <v>3616171.0034459867</v>
      </c>
      <c r="G135" s="80">
        <f>+G132</f>
        <v>60710</v>
      </c>
      <c r="H135" s="87">
        <f>+F135/G135</f>
        <v>59.56466815097985</v>
      </c>
    </row>
    <row r="136" spans="1:8" ht="12.75">
      <c r="A136" s="72"/>
      <c r="B136" s="84" t="s">
        <v>80</v>
      </c>
      <c r="C136" s="80">
        <f>+D123</f>
        <v>7428026.2395527605</v>
      </c>
      <c r="D136" s="80">
        <f>+D132</f>
        <v>3793328</v>
      </c>
      <c r="E136" s="80">
        <f>+E132</f>
        <v>122011</v>
      </c>
      <c r="F136" s="80">
        <f>+C136-D136+E136</f>
        <v>3756709.2395527605</v>
      </c>
      <c r="G136" s="80">
        <f>+G132</f>
        <v>60710</v>
      </c>
      <c r="H136" s="87">
        <f>+F136/G136</f>
        <v>61.87957897467897</v>
      </c>
    </row>
    <row r="137" spans="1:8" ht="12.75">
      <c r="A137" s="72"/>
      <c r="B137" s="72"/>
      <c r="C137" s="53"/>
      <c r="D137" s="53"/>
      <c r="E137" s="53"/>
      <c r="F137" s="53"/>
      <c r="G137" s="53"/>
      <c r="H137" s="50"/>
    </row>
    <row r="138" spans="1:8" ht="13.5" thickBot="1">
      <c r="A138" s="72"/>
      <c r="B138" s="86" t="s">
        <v>92</v>
      </c>
      <c r="C138" s="82">
        <f>AVERAGE(C132:C136)</f>
        <v>6689907.049683446</v>
      </c>
      <c r="D138" s="82">
        <f>AVERAGE(D132:D136)</f>
        <v>3793328</v>
      </c>
      <c r="E138" s="82">
        <f>AVERAGE(E132:E136)</f>
        <v>122011</v>
      </c>
      <c r="F138" s="82">
        <f>AVERAGE(F132:F136)</f>
        <v>3018590.049683446</v>
      </c>
      <c r="G138" s="82"/>
      <c r="H138" s="88">
        <f>AVERAGE(H131:H136)</f>
        <v>49.72146350985745</v>
      </c>
    </row>
    <row r="139" spans="1:8" ht="14.25" thickBot="1" thickTop="1">
      <c r="A139" s="73"/>
      <c r="B139" s="73"/>
      <c r="C139" s="74"/>
      <c r="D139" s="74"/>
      <c r="E139" s="74"/>
      <c r="F139" s="74"/>
      <c r="G139" s="74"/>
      <c r="H139" s="75"/>
    </row>
    <row r="144" spans="4:10" ht="12.75">
      <c r="D144" s="2"/>
      <c r="F144" s="2"/>
      <c r="G144" s="2"/>
      <c r="H144" s="2"/>
      <c r="I144" s="2"/>
      <c r="J144" s="2"/>
    </row>
    <row r="145" spans="4:10" ht="12.75">
      <c r="D145" s="2"/>
      <c r="F145" s="2"/>
      <c r="G145" s="2"/>
      <c r="H145" s="2"/>
      <c r="I145" s="2"/>
      <c r="J145" s="2"/>
    </row>
    <row r="146" spans="4:10" ht="12.75">
      <c r="D146" s="2"/>
      <c r="F146" s="2"/>
      <c r="G146" s="2"/>
      <c r="H146" s="2"/>
      <c r="I146" s="2"/>
      <c r="J146" s="2"/>
    </row>
    <row r="147" spans="4:10" ht="12.75">
      <c r="D147" s="2"/>
      <c r="F147" s="2"/>
      <c r="G147" s="2"/>
      <c r="H147" s="2"/>
      <c r="I147" s="2"/>
      <c r="J147" s="2"/>
    </row>
    <row r="148" spans="4:10" ht="12.75">
      <c r="D148" s="2"/>
      <c r="F148" s="2"/>
      <c r="G148" s="2"/>
      <c r="H148" s="2"/>
      <c r="I148" s="2"/>
      <c r="J148" s="2"/>
    </row>
    <row r="149" spans="4:6" ht="12.75">
      <c r="D149" s="2"/>
      <c r="F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</sheetData>
  <sheetProtection/>
  <printOptions/>
  <pageMargins left="0.2" right="0.2" top="1" bottom="1" header="0.5" footer="0.5"/>
  <pageSetup horizontalDpi="600" verticalDpi="600" orientation="landscape" scale="75" r:id="rId2"/>
  <rowBreaks count="3" manualBreakCount="3">
    <brk id="44" max="11" man="1"/>
    <brk id="67" max="255" man="1"/>
    <brk id="1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Christakis Droussiotis</cp:lastModifiedBy>
  <cp:lastPrinted>2015-04-23T20:50:30Z</cp:lastPrinted>
  <dcterms:created xsi:type="dcterms:W3CDTF">2006-01-04T20:00:38Z</dcterms:created>
  <dcterms:modified xsi:type="dcterms:W3CDTF">2015-10-27T12:38:19Z</dcterms:modified>
  <cp:category/>
  <cp:version/>
  <cp:contentType/>
  <cp:contentStatus/>
</cp:coreProperties>
</file>