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8795" windowHeight="11640" activeTab="6"/>
  </bookViews>
  <sheets>
    <sheet name="Yahoo Fin Input" sheetId="1" r:id="rId1"/>
    <sheet name="Title" sheetId="2" r:id="rId2"/>
    <sheet name="Historical Analysis" sheetId="3" r:id="rId3"/>
    <sheet name="Title 2" sheetId="4" r:id="rId4"/>
    <sheet name="Projected Analysis" sheetId="5" r:id="rId5"/>
    <sheet name="Title3" sheetId="6" r:id="rId6"/>
    <sheet name="Valuation Analysis" sheetId="7" r:id="rId7"/>
  </sheets>
  <externalReferences>
    <externalReference r:id="rId10"/>
  </externalReferences>
  <definedNames>
    <definedName name="bs?s_HOT" localSheetId="0">'Yahoo Fin Input'!$I$46:$N$94</definedName>
    <definedName name="bs?s_HOT_annual" localSheetId="0">'Yahoo Fin Input'!#REF!</definedName>
    <definedName name="bs?s_HOT_annual_1" localSheetId="0">'Yahoo Fin Input'!$B$46:$F$94</definedName>
    <definedName name="cf?s_HOT" localSheetId="0">'Yahoo Fin Input'!$I$97:$N$126</definedName>
    <definedName name="cf?s_HOT_annual" localSheetId="0">'Yahoo Fin Input'!$B$97:$F$126</definedName>
    <definedName name="ExternalData_1" localSheetId="0">'Yahoo Fin Input'!$B$2:$C$3</definedName>
    <definedName name="is?s_HOT" localSheetId="0">'Yahoo Fin Input'!$I$6:$O$43</definedName>
    <definedName name="is?s_HOT_annual" localSheetId="0">'Yahoo Fin Input'!$B$6:$H$43</definedName>
    <definedName name="_xlnm.Print_Area" localSheetId="2">'Historical Analysis'!$A$1:$N$148</definedName>
    <definedName name="_xlnm.Print_Area" localSheetId="4">'Projected Analysis'!$A$1:$P$55</definedName>
    <definedName name="_xlnm.Print_Area" localSheetId="1">'Title'!$B$4:$P$37</definedName>
    <definedName name="_xlnm.Print_Area" localSheetId="3">'Title 2'!$B$6:$P$38</definedName>
    <definedName name="_xlnm.Print_Area" localSheetId="5">'Title3'!$B$6:$P$36</definedName>
    <definedName name="_xlnm.Print_Area" localSheetId="6">'Valuation Analysis'!$A$3:$L$141</definedName>
    <definedName name="_xlnm.Print_Area" localSheetId="0">'Yahoo Fin Input'!$B$5:$N$126</definedName>
    <definedName name="_xlnm.Print_Titles" localSheetId="6">'Valuation Analysis'!$1:$2</definedName>
    <definedName name="_xlnm.Print_Titles" localSheetId="0">'Yahoo Fin Input'!$1:$4</definedName>
  </definedNames>
  <calcPr fullCalcOnLoad="1"/>
</workbook>
</file>

<file path=xl/sharedStrings.xml><?xml version="1.0" encoding="utf-8"?>
<sst xmlns="http://schemas.openxmlformats.org/spreadsheetml/2006/main" count="567" uniqueCount="325">
  <si>
    <t>Starwood Hotels &amp; Resorts Worldwide Inc. (HOT)</t>
  </si>
  <si>
    <t>Income Statement</t>
  </si>
  <si>
    <t>A n n u a l</t>
  </si>
  <si>
    <t>Q u a r t e r l y</t>
  </si>
  <si>
    <t>PERIOD ENDING</t>
  </si>
  <si>
    <t>Total Revenue</t>
  </si>
  <si>
    <t>Cost of Revenue</t>
  </si>
  <si>
    <t>Gross Profit</t>
  </si>
  <si>
    <t>Operating Expenses</t>
  </si>
  <si>
    <t>Research Development</t>
  </si>
  <si>
    <t>Selling General and Administrative</t>
  </si>
  <si>
    <t>Non Recurring</t>
  </si>
  <si>
    <t>Others</t>
  </si>
  <si>
    <t>Total Operating Expenses</t>
  </si>
  <si>
    <t>Operating Income or Loss</t>
  </si>
  <si>
    <t>Total Other Income/Expenses Net</t>
  </si>
  <si>
    <t>Earnings Before Interest And Taxes (EBIT)</t>
  </si>
  <si>
    <t>Interest Expense</t>
  </si>
  <si>
    <t>Income Before Tax</t>
  </si>
  <si>
    <t>Income Tax Expense</t>
  </si>
  <si>
    <t>Minority Interest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</si>
  <si>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</si>
  <si>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</si>
  <si>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</si>
  <si>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</si>
  <si>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</si>
  <si>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</si>
  <si>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</si>
  <si>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</si>
  <si>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</si>
  <si>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Balance Sheet</t>
  </si>
  <si>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</si>
  <si>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</si>
  <si>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</si>
  <si>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</si>
  <si>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</si>
  <si>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</si>
  <si>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</si>
  <si>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</si>
  <si>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</si>
  <si>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</si>
  <si>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</si>
  <si>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</si>
  <si>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</si>
  <si>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</si>
  <si>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</si>
  <si>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Total Assets</t>
  </si>
  <si>
    <t>Liabilities</t>
  </si>
  <si>
    <t>Current Liabilities</t>
  </si>
  <si>
    <t>Accounts Payable</t>
  </si>
  <si>
    <t>Short/Current Long Term Debt</t>
  </si>
  <si>
    <t>Other Current Liabilities</t>
  </si>
  <si>
    <t>Total Current Liabilities</t>
  </si>
  <si>
    <t>Long Term Debt</t>
  </si>
  <si>
    <t>Other Liabilities</t>
  </si>
  <si>
    <t>Deferred Long Term Liability Charges</t>
  </si>
  <si>
    <t>Negative Goodwill</t>
  </si>
  <si>
    <t>Total Liabilities</t>
  </si>
  <si>
    <t xml:space="preserve">Stockholders' Equity 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</si>
  <si>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</si>
  <si>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</si>
  <si>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</si>
  <si>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</si>
  <si>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</si>
  <si>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</si>
  <si>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</si>
  <si>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</si>
  <si>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Total Liabilities &amp; Equity</t>
  </si>
  <si>
    <t>Error Check</t>
  </si>
  <si>
    <t>Cash Flow Statement</t>
  </si>
  <si>
    <t>Depreciation</t>
  </si>
  <si>
    <t>Adjustments To Net Income</t>
  </si>
  <si>
    <t>Changes In Accounts Receivables</t>
  </si>
  <si>
    <t>Changes In Liabilities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</si>
  <si>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</si>
  <si>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</si>
  <si>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</si>
  <si>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</si>
  <si>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</si>
  <si>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</si>
  <si>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Cashflows from Investing Activities</t>
  </si>
  <si>
    <t>Total Cash Flows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</si>
  <si>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</si>
  <si>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</si>
  <si>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</si>
  <si>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</si>
  <si>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</si>
  <si>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Flows From Financing Activities</t>
  </si>
  <si>
    <t>Effect Of Exchange Rate Changes</t>
  </si>
  <si>
    <t xml:space="preserve">Change In Cash and Cash Equivalents </t>
  </si>
  <si>
    <t>Ratio Analysis</t>
  </si>
  <si>
    <t>EBITDA</t>
  </si>
  <si>
    <t>Liquidity Ratios</t>
  </si>
  <si>
    <t xml:space="preserve"> Current Ratio </t>
  </si>
  <si>
    <t xml:space="preserve"> Accounts Receivable Turnover</t>
  </si>
  <si>
    <t>Solvency Ratios</t>
  </si>
  <si>
    <t xml:space="preserve"> LTD / Total Capitalization</t>
  </si>
  <si>
    <t xml:space="preserve"> EBITDA / Interest (Interest Coverage)</t>
  </si>
  <si>
    <t xml:space="preserve"> LTD / EBITDA</t>
  </si>
  <si>
    <t>Activity Ratios</t>
  </si>
  <si>
    <t xml:space="preserve"> Inventory Ratio (Food)</t>
  </si>
  <si>
    <t xml:space="preserve"> Fixed Asset Turnover Ratio</t>
  </si>
  <si>
    <t xml:space="preserve"> Asset Turnover Ratio</t>
  </si>
  <si>
    <t xml:space="preserve"> Occupancy Rate</t>
  </si>
  <si>
    <t>Profitability Ratios</t>
  </si>
  <si>
    <t>Gross Margin</t>
  </si>
  <si>
    <t>EBITDA Margin</t>
  </si>
  <si>
    <t>EBIT Margin</t>
  </si>
  <si>
    <t>Return on Assets (ROA)</t>
  </si>
  <si>
    <t>Gross Return on Assets</t>
  </si>
  <si>
    <t>Return on Equity (ROE)</t>
  </si>
  <si>
    <t>Trend Analysis Ratios</t>
  </si>
  <si>
    <t>Revenue Growth</t>
  </si>
  <si>
    <t>REVPAR Growth</t>
  </si>
  <si>
    <t>Income from Continuing Operations</t>
  </si>
  <si>
    <t>Earnings Before Interest And Taxes</t>
  </si>
  <si>
    <t>Misc Stocks Options Warrants</t>
  </si>
  <si>
    <t>ANNUAL INCOME INPUT SECTION</t>
  </si>
  <si>
    <t>QUARTERLY INCOME INPUT SECTION</t>
  </si>
  <si>
    <t>YAHOO FINANCE IMPORT SECTION</t>
  </si>
  <si>
    <t>ANNUAL BALANCE SHEET INPUT SECTION</t>
  </si>
  <si>
    <t>ANNUAL CASH FLOW INPUT SECTION</t>
  </si>
  <si>
    <t xml:space="preserve">LTM </t>
  </si>
  <si>
    <t>LTM</t>
  </si>
  <si>
    <t>Projections</t>
  </si>
  <si>
    <t>Average</t>
  </si>
  <si>
    <t>Operating Assumpt.
Input</t>
  </si>
  <si>
    <t>EBIT</t>
  </si>
  <si>
    <t>EBT</t>
  </si>
  <si>
    <t>Income Statement Assumptions</t>
  </si>
  <si>
    <t>Operating Exp as % of Revenue</t>
  </si>
  <si>
    <t>Tax as % of EBT</t>
  </si>
  <si>
    <t>Other Assumptions % of Revenue</t>
  </si>
  <si>
    <t>Capex</t>
  </si>
  <si>
    <t>Debt Schedule</t>
  </si>
  <si>
    <t>Short Term Debt</t>
  </si>
  <si>
    <t>Total Debt Outstanding</t>
  </si>
  <si>
    <t>Increase/Decease</t>
  </si>
  <si>
    <t>Interest Payment</t>
  </si>
  <si>
    <t>Ratio Analysis - Assumptions</t>
  </si>
  <si>
    <t>Trend Analysis</t>
  </si>
  <si>
    <t>Solvency Ratios (Leverage Management Ratios)</t>
  </si>
  <si>
    <t>Total Debt / EBITDA (Incl. CPLTD)</t>
  </si>
  <si>
    <t>EBITDA / Interest Coverage Ratio</t>
  </si>
  <si>
    <t>EBIT / Interest Coverage Ratio</t>
  </si>
  <si>
    <t>Gross Margin %</t>
  </si>
  <si>
    <t>EBITDA Margin %</t>
  </si>
  <si>
    <t>EBIT Margin %</t>
  </si>
  <si>
    <t>CORPORATE VALUATIONS - Public Companies</t>
  </si>
  <si>
    <t xml:space="preserve">METHOD #1 - Stock Price </t>
  </si>
  <si>
    <t>STARWOOD HOTELS &amp; RESORTS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</si>
  <si>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</si>
  <si>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</si>
  <si>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</si>
  <si>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</si>
  <si>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</si>
  <si>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</si>
  <si>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</si>
  <si>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</si>
  <si>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</si>
  <si>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</si>
  <si>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</si>
  <si>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</si>
  <si>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</si>
  <si>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</si>
  <si>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</si>
  <si>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</si>
  <si>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</si>
  <si>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</si>
  <si>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</si>
  <si>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</si>
  <si>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</si>
  <si>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</si>
  <si>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</si>
  <si>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</si>
  <si>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Starwood Hotels &amp; Resorts</t>
  </si>
  <si>
    <t>HOT</t>
  </si>
  <si>
    <t xml:space="preserve">METHOD #2 - EBITDA Multiples </t>
  </si>
  <si>
    <t>E</t>
  </si>
  <si>
    <t>EV / E</t>
  </si>
  <si>
    <t>EBITDA Multiple</t>
  </si>
  <si>
    <t>Intercontinental Hotel</t>
  </si>
  <si>
    <t>IHG</t>
  </si>
  <si>
    <t>EBITDA * Average Multiple</t>
  </si>
  <si>
    <t>METHOD #3 - Transaction Comparative Analysis</t>
  </si>
  <si>
    <t>AP</t>
  </si>
  <si>
    <t>AP * SO = EQ</t>
  </si>
  <si>
    <t>Date Anouncement</t>
  </si>
  <si>
    <t xml:space="preserve">Target </t>
  </si>
  <si>
    <t>Acquirer</t>
  </si>
  <si>
    <t>Acquisition Price /Share</t>
  </si>
  <si>
    <t>Shares Outstanding</t>
  </si>
  <si>
    <t>Equity Value ($mm)</t>
  </si>
  <si>
    <t>Total Debt ($mm)</t>
  </si>
  <si>
    <t>Enterpised Value (EV)</t>
  </si>
  <si>
    <t>EBITDA (last reported)</t>
  </si>
  <si>
    <t>Four Seasons*</t>
  </si>
  <si>
    <t>Kingtom Hotels Int'l / 
Gates' Cascade Invstments</t>
  </si>
  <si>
    <t>5/11/2006</t>
  </si>
  <si>
    <t>Fairmont/Rafles</t>
  </si>
  <si>
    <t>Kingtom Hotels Int'l</t>
  </si>
  <si>
    <t>Hilton International</t>
  </si>
  <si>
    <t>Hilton Hotels Corp.</t>
  </si>
  <si>
    <t>11/14/2005</t>
  </si>
  <si>
    <t>Starwood Hotels</t>
  </si>
  <si>
    <t>Host Marriott</t>
  </si>
  <si>
    <t>Wynham Int'l</t>
  </si>
  <si>
    <t>Blackstone Group</t>
  </si>
  <si>
    <t>JQH Acquisition LLC</t>
  </si>
  <si>
    <t>07/22/2005</t>
  </si>
  <si>
    <t>Societe du Louvre</t>
  </si>
  <si>
    <t>Starwood Capital</t>
  </si>
  <si>
    <t>3/10/2005</t>
  </si>
  <si>
    <t>Intercontinental Hotels</t>
  </si>
  <si>
    <t>LRG</t>
  </si>
  <si>
    <t>12/10/2004</t>
  </si>
  <si>
    <t>Boca Resorts</t>
  </si>
  <si>
    <t>8/18/2004</t>
  </si>
  <si>
    <t>Prime Hospitality</t>
  </si>
  <si>
    <t>3/8/2004</t>
  </si>
  <si>
    <t>Extended Stay</t>
  </si>
  <si>
    <t>* Four Seasons' $112.18 million represents 2007 EBITDA (2005 EBITDA was $11.4 negative)</t>
  </si>
  <si>
    <t>Adjust. Outlier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</si>
  <si>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</si>
  <si>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</si>
  <si>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</si>
  <si>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</si>
  <si>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</si>
  <si>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</si>
  <si>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>Cost of Revenues (CoGS)</t>
  </si>
  <si>
    <t xml:space="preserve"> EBIT</t>
  </si>
  <si>
    <t>Less Taxes / % of EBIT</t>
  </si>
  <si>
    <t>Plus Depreciation</t>
  </si>
  <si>
    <t xml:space="preserve">Less Capex </t>
  </si>
  <si>
    <t>Cash Flow</t>
  </si>
  <si>
    <t>Terminal Value</t>
  </si>
  <si>
    <t xml:space="preserve">  EBITDA Multiple Method</t>
  </si>
  <si>
    <t xml:space="preserve">  Perpetuity Method </t>
  </si>
  <si>
    <t>Less Debt Outstanding (at Exit)</t>
  </si>
  <si>
    <t>Equity Value at Terminal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</si>
  <si>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</si>
  <si>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</si>
  <si>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</si>
  <si>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</si>
  <si>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</si>
  <si>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</si>
  <si>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</si>
  <si>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</si>
  <si>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</si>
  <si>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Enteprise Value =</t>
  </si>
  <si>
    <t>PV of Equity + PV of Debt</t>
  </si>
  <si>
    <t xml:space="preserve">PV of Equity = </t>
  </si>
  <si>
    <t>ENTEPRISE VALUATION ANALYSIS</t>
  </si>
  <si>
    <t>EV</t>
  </si>
  <si>
    <t>Debt</t>
  </si>
  <si>
    <t>Cash</t>
  </si>
  <si>
    <t>Eq Value</t>
  </si>
  <si>
    <t>Shares Outs</t>
  </si>
  <si>
    <t>Stock Price</t>
  </si>
  <si>
    <t>Method #1 - Current Market Price</t>
  </si>
  <si>
    <t>Method #2</t>
  </si>
  <si>
    <t>Method #3</t>
  </si>
  <si>
    <t>Method #4</t>
  </si>
  <si>
    <t xml:space="preserve">  Average of other methods</t>
  </si>
  <si>
    <t>(EBITDA x EBITDA Multiple)</t>
  </si>
  <si>
    <t>PV=</t>
  </si>
  <si>
    <t>Projected</t>
  </si>
  <si>
    <t>C</t>
  </si>
  <si>
    <t>EQ + D - C = EV</t>
  </si>
  <si>
    <t>at Discount Rate using Average of Purchase Multiple and Perpetuity Method</t>
  </si>
  <si>
    <t>Plus Cash (at Exit)</t>
  </si>
  <si>
    <t>Stock Price =</t>
  </si>
  <si>
    <t>Starwood Hotels &amp; Resorts Worldwide ("HOT")</t>
  </si>
  <si>
    <t>Historical Financial Analysis</t>
  </si>
  <si>
    <t>Projected Financial Analysis</t>
  </si>
  <si>
    <t>Valuation Analysis</t>
  </si>
  <si>
    <t>Beta</t>
  </si>
  <si>
    <t>Morgan Hotel Group</t>
  </si>
  <si>
    <t>MHGC</t>
  </si>
  <si>
    <t>INPUT FROM SEC DOCs</t>
  </si>
  <si>
    <t>Stocks Outstanding ($000)</t>
  </si>
  <si>
    <t>Equity Value
 ($000)</t>
  </si>
  <si>
    <t>Debt (ST&amp;LT)
($000)</t>
  </si>
  <si>
    <t>Cash
 ($000)</t>
  </si>
  <si>
    <t>Enterprise Value 
($000)</t>
  </si>
  <si>
    <t>EBITDA (Operating Income + Depreciation+Non Rec. Exp)</t>
  </si>
  <si>
    <t>Total Other Income/Expenses Net - One time</t>
  </si>
  <si>
    <t>Non Recurring - One time</t>
  </si>
  <si>
    <t xml:space="preserve">  Revenue Growth Assumptions</t>
  </si>
  <si>
    <t>Starwood's EV</t>
  </si>
  <si>
    <t>Period Ending</t>
  </si>
  <si>
    <t xml:space="preserve">Total Revenue </t>
  </si>
  <si>
    <t xml:space="preserve">Gross Profit </t>
  </si>
  <si>
    <t xml:space="preserve">-  </t>
  </si>
  <si>
    <t xml:space="preserve">Operating Income or Loss </t>
  </si>
  <si>
    <t xml:space="preserve">Net Income </t>
  </si>
  <si>
    <t xml:space="preserve">Net Income Applicable To Common Shares </t>
  </si>
  <si>
    <t xml:space="preserve">Total Current Assets </t>
  </si>
  <si>
    <t xml:space="preserve">Total Assets </t>
  </si>
  <si>
    <t xml:space="preserve">Total Current Liabilities </t>
  </si>
  <si>
    <t xml:space="preserve">Total Liabilities </t>
  </si>
  <si>
    <t>Stockholders' Equity</t>
  </si>
  <si>
    <t xml:space="preserve">Total Stockholder Equity </t>
  </si>
  <si>
    <t xml:space="preserve">Net Tangible Assets </t>
  </si>
  <si>
    <t>Operating Activities, Cash Flows Provided By or Used In</t>
  </si>
  <si>
    <t xml:space="preserve">Total Cash Flow From Operating Activities </t>
  </si>
  <si>
    <t>Other Cash flows from Investing Activities</t>
  </si>
  <si>
    <t xml:space="preserve">Total Cash Flows From Investing Activities </t>
  </si>
  <si>
    <t xml:space="preserve">Total Cash Flows From Financing Activities </t>
  </si>
  <si>
    <t>4-year 
Average</t>
  </si>
  <si>
    <t>EBITDA 
($mm)</t>
  </si>
  <si>
    <t>Excl. Outlier</t>
  </si>
  <si>
    <t>Hyatt</t>
  </si>
  <si>
    <t>H</t>
  </si>
  <si>
    <t>WYN</t>
  </si>
  <si>
    <t>Wyndham Worldwide</t>
  </si>
  <si>
    <t>or ( 1 / [ ( 1 + i ) ^ n ]</t>
  </si>
  <si>
    <t xml:space="preserve">  year (n) =</t>
  </si>
  <si>
    <t xml:space="preserve"> (taken out the high and low)</t>
  </si>
  <si>
    <t xml:space="preserve">        (75% of orginal Debt)</t>
  </si>
  <si>
    <t xml:space="preserve">On Nov 3: 51.12   0.00 (0.00%)  </t>
  </si>
  <si>
    <t>Stock Price 
(as of 11/3/11)</t>
  </si>
  <si>
    <t xml:space="preserve">+ PV of Debt = </t>
  </si>
  <si>
    <t xml:space="preserve">- Less Cash  = </t>
  </si>
  <si>
    <t>(Next Year's Cash Flow / (Discount Rate - Rev Growth)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</si>
</sst>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* #,##0.000_);_(* \(#,##0.000\);_(* &quot;-&quot;??_);_(@_)"/>
    <numFmt numFmtId="181" formatCode="0.0\x"/>
    <numFmt numFmtId="182" formatCode="_(* #,##0.0000000_);_(* \(#,##0.0000000\);_(* &quot;-&quot;??_);_(@_)"/>
    <numFmt numFmtId="183" formatCode="_(* #,##0.0_);_(* \(#,##0.0\);_(* &quot;-&quot;??_);_(@_)"/>
  </numFmts>
  <fonts count="3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.9"/>
      <name val="Arial"/>
      <family val="2"/>
    </font>
    <font>
      <b/>
      <sz val="7.9"/>
      <name val="Arial"/>
      <family val="2"/>
    </font>
    <font>
      <sz val="8"/>
      <name val="Times New Roman"/>
      <family val="1"/>
    </font>
    <font>
      <b/>
      <sz val="8.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sz val="9"/>
      <color indexed="10"/>
      <name val="Arial"/>
      <family val="2"/>
    </font>
    <font>
      <b/>
      <sz val="28"/>
      <name val="Arial"/>
      <family val="0"/>
    </font>
    <font>
      <b/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2" borderId="1" xfId="15" applyNumberFormat="1" applyFont="1" applyFill="1" applyBorder="1" applyAlignment="1">
      <alignment horizontal="right" wrapText="1"/>
    </xf>
    <xf numFmtId="43" fontId="4" fillId="0" borderId="0" xfId="15" applyFont="1" applyAlignment="1">
      <alignment/>
    </xf>
    <xf numFmtId="15" fontId="3" fillId="2" borderId="2" xfId="0" applyNumberFormat="1" applyFont="1" applyFill="1" applyBorder="1" applyAlignment="1">
      <alignment horizontal="right" wrapText="1"/>
    </xf>
    <xf numFmtId="15" fontId="3" fillId="2" borderId="1" xfId="0" applyNumberFormat="1" applyFont="1" applyFill="1" applyBorder="1" applyAlignment="1">
      <alignment horizontal="right" wrapText="1"/>
    </xf>
    <xf numFmtId="15" fontId="3" fillId="2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72" fontId="3" fillId="0" borderId="0" xfId="15" applyNumberFormat="1" applyFont="1" applyAlignment="1">
      <alignment wrapText="1"/>
    </xf>
    <xf numFmtId="172" fontId="3" fillId="0" borderId="4" xfId="15" applyNumberFormat="1" applyFont="1" applyBorder="1" applyAlignment="1">
      <alignment wrapText="1"/>
    </xf>
    <xf numFmtId="172" fontId="3" fillId="0" borderId="0" xfId="15" applyNumberFormat="1" applyFont="1" applyAlignment="1">
      <alignment horizontal="right" wrapText="1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 wrapText="1"/>
    </xf>
    <xf numFmtId="172" fontId="4" fillId="0" borderId="5" xfId="15" applyNumberFormat="1" applyFont="1" applyBorder="1" applyAlignment="1">
      <alignment wrapText="1"/>
    </xf>
    <xf numFmtId="172" fontId="4" fillId="0" borderId="6" xfId="15" applyNumberFormat="1" applyFont="1" applyBorder="1" applyAlignment="1">
      <alignment horizontal="right" wrapText="1"/>
    </xf>
    <xf numFmtId="172" fontId="3" fillId="0" borderId="4" xfId="15" applyNumberFormat="1" applyFont="1" applyBorder="1" applyAlignment="1">
      <alignment horizontal="right" wrapText="1"/>
    </xf>
    <xf numFmtId="172" fontId="4" fillId="0" borderId="0" xfId="15" applyNumberFormat="1" applyFont="1" applyAlignment="1">
      <alignment/>
    </xf>
    <xf numFmtId="172" fontId="4" fillId="0" borderId="4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0" borderId="4" xfId="15" applyNumberFormat="1" applyFont="1" applyBorder="1" applyAlignment="1">
      <alignment/>
    </xf>
    <xf numFmtId="172" fontId="4" fillId="0" borderId="4" xfId="15" applyNumberFormat="1" applyFont="1" applyBorder="1" applyAlignment="1">
      <alignment wrapText="1"/>
    </xf>
    <xf numFmtId="172" fontId="4" fillId="0" borderId="0" xfId="15" applyNumberFormat="1" applyFont="1" applyAlignment="1">
      <alignment horizontal="right" wrapText="1"/>
    </xf>
    <xf numFmtId="172" fontId="4" fillId="0" borderId="0" xfId="15" applyNumberFormat="1" applyFont="1" applyAlignment="1">
      <alignment horizontal="right"/>
    </xf>
    <xf numFmtId="172" fontId="4" fillId="0" borderId="4" xfId="15" applyNumberFormat="1" applyFont="1" applyBorder="1" applyAlignment="1">
      <alignment horizontal="right" wrapText="1"/>
    </xf>
    <xf numFmtId="172" fontId="4" fillId="0" borderId="6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 horizontal="right" wrapText="1"/>
    </xf>
    <xf numFmtId="172" fontId="3" fillId="0" borderId="0" xfId="15" applyNumberFormat="1" applyFont="1" applyBorder="1" applyAlignment="1">
      <alignment horizontal="right" wrapText="1"/>
    </xf>
    <xf numFmtId="0" fontId="0" fillId="0" borderId="0" xfId="0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5" fontId="3" fillId="2" borderId="8" xfId="0" applyNumberFormat="1" applyFont="1" applyFill="1" applyBorder="1" applyAlignment="1">
      <alignment horizontal="right"/>
    </xf>
    <xf numFmtId="15" fontId="3" fillId="2" borderId="1" xfId="0" applyNumberFormat="1" applyFont="1" applyFill="1" applyBorder="1" applyAlignment="1">
      <alignment horizontal="right"/>
    </xf>
    <xf numFmtId="15" fontId="3" fillId="2" borderId="3" xfId="0" applyNumberFormat="1" applyFont="1" applyFill="1" applyBorder="1" applyAlignment="1">
      <alignment horizontal="right"/>
    </xf>
    <xf numFmtId="43" fontId="5" fillId="0" borderId="0" xfId="15" applyFont="1" applyBorder="1" applyAlignment="1">
      <alignment/>
    </xf>
    <xf numFmtId="43" fontId="3" fillId="0" borderId="0" xfId="15" applyFont="1" applyAlignment="1">
      <alignment/>
    </xf>
    <xf numFmtId="43" fontId="3" fillId="0" borderId="4" xfId="15" applyFont="1" applyBorder="1" applyAlignment="1">
      <alignment/>
    </xf>
    <xf numFmtId="43" fontId="5" fillId="0" borderId="0" xfId="15" applyFont="1" applyBorder="1" applyAlignment="1">
      <alignment horizontal="right"/>
    </xf>
    <xf numFmtId="43" fontId="4" fillId="0" borderId="0" xfId="15" applyFont="1" applyAlignment="1">
      <alignment/>
    </xf>
    <xf numFmtId="43" fontId="4" fillId="0" borderId="4" xfId="15" applyFont="1" applyBorder="1" applyAlignment="1">
      <alignment/>
    </xf>
    <xf numFmtId="0" fontId="4" fillId="0" borderId="0" xfId="0" applyFont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Border="1" applyAlignment="1">
      <alignment horizontal="right"/>
    </xf>
    <xf numFmtId="172" fontId="4" fillId="0" borderId="5" xfId="15" applyNumberFormat="1" applyFont="1" applyBorder="1" applyAlignment="1">
      <alignment/>
    </xf>
    <xf numFmtId="172" fontId="3" fillId="0" borderId="4" xfId="15" applyNumberFormat="1" applyFont="1" applyBorder="1" applyAlignment="1">
      <alignment horizontal="right"/>
    </xf>
    <xf numFmtId="172" fontId="3" fillId="0" borderId="0" xfId="15" applyNumberFormat="1" applyFont="1" applyAlignment="1">
      <alignment horizontal="right"/>
    </xf>
    <xf numFmtId="172" fontId="3" fillId="0" borderId="9" xfId="15" applyNumberFormat="1" applyFont="1" applyBorder="1" applyAlignment="1">
      <alignment horizontal="right"/>
    </xf>
    <xf numFmtId="172" fontId="3" fillId="0" borderId="7" xfId="15" applyNumberFormat="1" applyFont="1" applyBorder="1" applyAlignment="1">
      <alignment horizontal="right"/>
    </xf>
    <xf numFmtId="0" fontId="7" fillId="0" borderId="0" xfId="0" applyFont="1" applyAlignment="1">
      <alignment/>
    </xf>
    <xf numFmtId="172" fontId="7" fillId="0" borderId="1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3" fillId="2" borderId="2" xfId="0" applyNumberFormat="1" applyFont="1" applyFill="1" applyBorder="1" applyAlignment="1">
      <alignment horizontal="right"/>
    </xf>
    <xf numFmtId="43" fontId="0" fillId="0" borderId="0" xfId="15" applyAlignment="1">
      <alignment/>
    </xf>
    <xf numFmtId="172" fontId="3" fillId="0" borderId="11" xfId="15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173" fontId="4" fillId="0" borderId="4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4" fontId="4" fillId="0" borderId="4" xfId="21" applyNumberFormat="1" applyFont="1" applyBorder="1" applyAlignment="1">
      <alignment/>
    </xf>
    <xf numFmtId="174" fontId="4" fillId="0" borderId="0" xfId="21" applyNumberFormat="1" applyFont="1" applyAlignment="1">
      <alignment/>
    </xf>
    <xf numFmtId="43" fontId="0" fillId="0" borderId="0" xfId="15" applyAlignment="1">
      <alignment/>
    </xf>
    <xf numFmtId="41" fontId="4" fillId="0" borderId="0" xfId="15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43" fontId="4" fillId="0" borderId="0" xfId="15" applyFont="1" applyBorder="1" applyAlignment="1">
      <alignment/>
    </xf>
    <xf numFmtId="172" fontId="4" fillId="0" borderId="6" xfId="15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21" applyNumberFormat="1" applyFont="1" applyBorder="1" applyAlignment="1">
      <alignment/>
    </xf>
    <xf numFmtId="172" fontId="4" fillId="0" borderId="13" xfId="15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72" fontId="4" fillId="0" borderId="0" xfId="15" applyNumberFormat="1" applyFont="1" applyBorder="1" applyAlignment="1">
      <alignment horizontal="right"/>
    </xf>
    <xf numFmtId="6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6" fontId="0" fillId="0" borderId="12" xfId="0" applyNumberFormat="1" applyBorder="1" applyAlignment="1">
      <alignment/>
    </xf>
    <xf numFmtId="6" fontId="0" fillId="0" borderId="19" xfId="0" applyNumberFormat="1" applyBorder="1" applyAlignment="1">
      <alignment/>
    </xf>
    <xf numFmtId="0" fontId="11" fillId="0" borderId="0" xfId="0" applyFont="1" applyAlignment="1">
      <alignment/>
    </xf>
    <xf numFmtId="15" fontId="3" fillId="2" borderId="8" xfId="15" applyNumberFormat="1" applyFont="1" applyFill="1" applyBorder="1" applyAlignment="1" quotePrefix="1">
      <alignment horizontal="center" wrapText="1"/>
    </xf>
    <xf numFmtId="15" fontId="3" fillId="2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15" fontId="2" fillId="2" borderId="20" xfId="0" applyNumberFormat="1" applyFont="1" applyFill="1" applyBorder="1" applyAlignment="1">
      <alignment/>
    </xf>
    <xf numFmtId="15" fontId="2" fillId="2" borderId="21" xfId="0" applyNumberFormat="1" applyFont="1" applyFill="1" applyBorder="1" applyAlignment="1">
      <alignment/>
    </xf>
    <xf numFmtId="15" fontId="2" fillId="2" borderId="6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5" fontId="2" fillId="0" borderId="4" xfId="0" applyNumberFormat="1" applyFont="1" applyBorder="1" applyAlignment="1">
      <alignment horizontal="right" wrapText="1"/>
    </xf>
    <xf numFmtId="0" fontId="16" fillId="0" borderId="14" xfId="0" applyFont="1" applyBorder="1" applyAlignment="1">
      <alignment/>
    </xf>
    <xf numFmtId="15" fontId="17" fillId="0" borderId="22" xfId="0" applyNumberFormat="1" applyFont="1" applyBorder="1" applyAlignment="1">
      <alignment horizontal="right" wrapText="1"/>
    </xf>
    <xf numFmtId="15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2" fillId="0" borderId="0" xfId="15" applyNumberFormat="1" applyFont="1" applyAlignment="1">
      <alignment wrapText="1"/>
    </xf>
    <xf numFmtId="172" fontId="17" fillId="0" borderId="0" xfId="15" applyNumberFormat="1" applyFont="1" applyAlignment="1">
      <alignment wrapText="1"/>
    </xf>
    <xf numFmtId="172" fontId="17" fillId="0" borderId="4" xfId="15" applyNumberFormat="1" applyFont="1" applyBorder="1" applyAlignment="1">
      <alignment horizontal="right" wrapText="1"/>
    </xf>
    <xf numFmtId="0" fontId="16" fillId="0" borderId="16" xfId="0" applyFont="1" applyBorder="1" applyAlignment="1">
      <alignment/>
    </xf>
    <xf numFmtId="172" fontId="17" fillId="0" borderId="17" xfId="15" applyNumberFormat="1" applyFont="1" applyBorder="1" applyAlignment="1">
      <alignment horizontal="right" wrapText="1"/>
    </xf>
    <xf numFmtId="172" fontId="2" fillId="0" borderId="0" xfId="15" applyNumberFormat="1" applyFont="1" applyAlignment="1">
      <alignment horizontal="right" wrapText="1"/>
    </xf>
    <xf numFmtId="172" fontId="17" fillId="0" borderId="0" xfId="15" applyNumberFormat="1" applyFont="1" applyAlignment="1">
      <alignment horizontal="right" wrapText="1"/>
    </xf>
    <xf numFmtId="172" fontId="0" fillId="0" borderId="0" xfId="15" applyNumberFormat="1" applyFont="1" applyAlignment="1">
      <alignment wrapText="1"/>
    </xf>
    <xf numFmtId="172" fontId="16" fillId="0" borderId="6" xfId="15" applyNumberFormat="1" applyFont="1" applyBorder="1" applyAlignment="1">
      <alignment wrapText="1"/>
    </xf>
    <xf numFmtId="172" fontId="16" fillId="0" borderId="5" xfId="15" applyNumberFormat="1" applyFont="1" applyBorder="1" applyAlignment="1">
      <alignment horizontal="right" wrapText="1"/>
    </xf>
    <xf numFmtId="172" fontId="16" fillId="0" borderId="17" xfId="15" applyNumberFormat="1" applyFont="1" applyBorder="1" applyAlignment="1">
      <alignment horizontal="right" wrapText="1"/>
    </xf>
    <xf numFmtId="172" fontId="0" fillId="0" borderId="0" xfId="15" applyNumberFormat="1" applyFont="1" applyBorder="1" applyAlignment="1">
      <alignment horizontal="right" wrapText="1"/>
    </xf>
    <xf numFmtId="172" fontId="16" fillId="0" borderId="6" xfId="15" applyNumberFormat="1" applyFont="1" applyBorder="1" applyAlignment="1">
      <alignment horizontal="right" wrapText="1"/>
    </xf>
    <xf numFmtId="172" fontId="16" fillId="0" borderId="0" xfId="15" applyNumberFormat="1" applyFont="1" applyAlignment="1">
      <alignment wrapText="1"/>
    </xf>
    <xf numFmtId="172" fontId="16" fillId="0" borderId="4" xfId="15" applyNumberFormat="1" applyFont="1" applyBorder="1" applyAlignment="1">
      <alignment wrapText="1"/>
    </xf>
    <xf numFmtId="172" fontId="16" fillId="0" borderId="17" xfId="15" applyNumberFormat="1" applyFont="1" applyBorder="1" applyAlignment="1">
      <alignment wrapText="1"/>
    </xf>
    <xf numFmtId="172" fontId="16" fillId="0" borderId="0" xfId="15" applyNumberFormat="1" applyFont="1" applyAlignment="1">
      <alignment horizontal="right" wrapText="1"/>
    </xf>
    <xf numFmtId="172" fontId="16" fillId="0" borderId="4" xfId="15" applyNumberFormat="1" applyFont="1" applyBorder="1" applyAlignment="1">
      <alignment horizontal="right" wrapText="1"/>
    </xf>
    <xf numFmtId="172" fontId="16" fillId="0" borderId="16" xfId="15" applyNumberFormat="1" applyFont="1" applyBorder="1" applyAlignment="1">
      <alignment horizontal="right" wrapText="1"/>
    </xf>
    <xf numFmtId="172" fontId="0" fillId="0" borderId="0" xfId="15" applyNumberFormat="1" applyFont="1" applyAlignment="1">
      <alignment horizontal="right" wrapText="1"/>
    </xf>
    <xf numFmtId="172" fontId="18" fillId="0" borderId="16" xfId="15" applyNumberFormat="1" applyFont="1" applyBorder="1" applyAlignment="1">
      <alignment horizontal="right" wrapText="1"/>
    </xf>
    <xf numFmtId="172" fontId="16" fillId="0" borderId="16" xfId="15" applyNumberFormat="1" applyFont="1" applyBorder="1" applyAlignment="1">
      <alignment wrapText="1"/>
    </xf>
    <xf numFmtId="172" fontId="19" fillId="0" borderId="0" xfId="15" applyNumberFormat="1" applyFont="1" applyAlignment="1">
      <alignment wrapText="1"/>
    </xf>
    <xf numFmtId="172" fontId="20" fillId="0" borderId="0" xfId="15" applyNumberFormat="1" applyFont="1" applyAlignment="1">
      <alignment wrapText="1"/>
    </xf>
    <xf numFmtId="10" fontId="16" fillId="0" borderId="4" xfId="21" applyNumberFormat="1" applyFont="1" applyBorder="1" applyAlignment="1">
      <alignment wrapText="1"/>
    </xf>
    <xf numFmtId="10" fontId="16" fillId="0" borderId="16" xfId="21" applyNumberFormat="1" applyFont="1" applyBorder="1" applyAlignment="1">
      <alignment wrapText="1"/>
    </xf>
    <xf numFmtId="10" fontId="16" fillId="0" borderId="17" xfId="21" applyNumberFormat="1" applyFont="1" applyBorder="1" applyAlignment="1">
      <alignment/>
    </xf>
    <xf numFmtId="10" fontId="0" fillId="0" borderId="0" xfId="21" applyNumberFormat="1" applyFont="1" applyAlignment="1">
      <alignment/>
    </xf>
    <xf numFmtId="10" fontId="16" fillId="0" borderId="0" xfId="21" applyNumberFormat="1" applyFont="1" applyAlignment="1">
      <alignment wrapText="1"/>
    </xf>
    <xf numFmtId="10" fontId="16" fillId="0" borderId="4" xfId="21" applyNumberFormat="1" applyFont="1" applyBorder="1" applyAlignment="1">
      <alignment horizontal="right" wrapText="1"/>
    </xf>
    <xf numFmtId="10" fontId="16" fillId="0" borderId="16" xfId="21" applyNumberFormat="1" applyFont="1" applyBorder="1" applyAlignment="1">
      <alignment horizontal="right" wrapText="1"/>
    </xf>
    <xf numFmtId="10" fontId="18" fillId="0" borderId="17" xfId="21" applyNumberFormat="1" applyFont="1" applyBorder="1" applyAlignment="1">
      <alignment/>
    </xf>
    <xf numFmtId="10" fontId="16" fillId="0" borderId="0" xfId="21" applyNumberFormat="1" applyFont="1" applyAlignment="1">
      <alignment horizontal="right" wrapText="1"/>
    </xf>
    <xf numFmtId="9" fontId="16" fillId="0" borderId="0" xfId="21" applyFont="1" applyAlignment="1">
      <alignment horizontal="right" wrapText="1"/>
    </xf>
    <xf numFmtId="10" fontId="18" fillId="0" borderId="17" xfId="21" applyNumberFormat="1" applyFont="1" applyBorder="1" applyAlignment="1">
      <alignment horizontal="right" wrapText="1"/>
    </xf>
    <xf numFmtId="10" fontId="0" fillId="0" borderId="0" xfId="21" applyNumberFormat="1" applyFont="1" applyAlignment="1">
      <alignment horizontal="right" wrapText="1"/>
    </xf>
    <xf numFmtId="10" fontId="18" fillId="0" borderId="4" xfId="21" applyNumberFormat="1" applyFont="1" applyBorder="1" applyAlignment="1">
      <alignment horizontal="right" wrapText="1"/>
    </xf>
    <xf numFmtId="10" fontId="18" fillId="0" borderId="16" xfId="21" applyNumberFormat="1" applyFont="1" applyBorder="1" applyAlignment="1">
      <alignment horizontal="right" wrapText="1"/>
    </xf>
    <xf numFmtId="10" fontId="16" fillId="0" borderId="17" xfId="21" applyNumberFormat="1" applyFont="1" applyBorder="1" applyAlignment="1">
      <alignment horizontal="right" wrapText="1"/>
    </xf>
    <xf numFmtId="10" fontId="18" fillId="0" borderId="0" xfId="21" applyNumberFormat="1" applyFont="1" applyAlignment="1">
      <alignment horizontal="right" wrapText="1"/>
    </xf>
    <xf numFmtId="172" fontId="21" fillId="0" borderId="0" xfId="15" applyNumberFormat="1" applyFont="1" applyAlignment="1">
      <alignment wrapText="1"/>
    </xf>
    <xf numFmtId="172" fontId="22" fillId="0" borderId="0" xfId="15" applyNumberFormat="1" applyFont="1" applyAlignment="1">
      <alignment wrapText="1"/>
    </xf>
    <xf numFmtId="0" fontId="16" fillId="0" borderId="0" xfId="0" applyFont="1" applyAlignment="1">
      <alignment/>
    </xf>
    <xf numFmtId="172" fontId="16" fillId="0" borderId="0" xfId="15" applyNumberFormat="1" applyFont="1" applyBorder="1" applyAlignment="1">
      <alignment wrapText="1"/>
    </xf>
    <xf numFmtId="0" fontId="16" fillId="0" borderId="4" xfId="0" applyFont="1" applyBorder="1" applyAlignment="1">
      <alignment/>
    </xf>
    <xf numFmtId="0" fontId="16" fillId="0" borderId="17" xfId="0" applyFont="1" applyBorder="1" applyAlignment="1">
      <alignment/>
    </xf>
    <xf numFmtId="172" fontId="18" fillId="0" borderId="16" xfId="15" applyNumberFormat="1" applyFont="1" applyBorder="1" applyAlignment="1">
      <alignment/>
    </xf>
    <xf numFmtId="179" fontId="16" fillId="0" borderId="16" xfId="21" applyNumberFormat="1" applyFont="1" applyBorder="1" applyAlignment="1">
      <alignment horizontal="right" wrapText="1"/>
    </xf>
    <xf numFmtId="172" fontId="0" fillId="0" borderId="0" xfId="15" applyNumberFormat="1" applyFont="1" applyAlignment="1">
      <alignment/>
    </xf>
    <xf numFmtId="172" fontId="16" fillId="0" borderId="0" xfId="15" applyNumberFormat="1" applyFont="1" applyAlignment="1">
      <alignment/>
    </xf>
    <xf numFmtId="172" fontId="16" fillId="0" borderId="4" xfId="15" applyNumberFormat="1" applyFont="1" applyBorder="1" applyAlignment="1">
      <alignment/>
    </xf>
    <xf numFmtId="172" fontId="16" fillId="0" borderId="16" xfId="15" applyNumberFormat="1" applyFont="1" applyBorder="1" applyAlignment="1">
      <alignment/>
    </xf>
    <xf numFmtId="172" fontId="16" fillId="0" borderId="17" xfId="15" applyNumberFormat="1" applyFont="1" applyBorder="1" applyAlignment="1">
      <alignment/>
    </xf>
    <xf numFmtId="172" fontId="2" fillId="0" borderId="0" xfId="15" applyNumberFormat="1" applyFont="1" applyAlignment="1">
      <alignment/>
    </xf>
    <xf numFmtId="172" fontId="17" fillId="0" borderId="0" xfId="15" applyNumberFormat="1" applyFont="1" applyAlignment="1">
      <alignment/>
    </xf>
    <xf numFmtId="15" fontId="17" fillId="2" borderId="12" xfId="0" applyNumberFormat="1" applyFont="1" applyFill="1" applyBorder="1" applyAlignment="1">
      <alignment horizontal="right" wrapText="1"/>
    </xf>
    <xf numFmtId="174" fontId="16" fillId="0" borderId="0" xfId="21" applyNumberFormat="1" applyFont="1" applyAlignment="1">
      <alignment wrapText="1"/>
    </xf>
    <xf numFmtId="173" fontId="16" fillId="0" borderId="4" xfId="15" applyNumberFormat="1" applyFont="1" applyBorder="1" applyAlignment="1">
      <alignment horizontal="right" wrapText="1"/>
    </xf>
    <xf numFmtId="173" fontId="16" fillId="0" borderId="16" xfId="15" applyNumberFormat="1" applyFont="1" applyBorder="1" applyAlignment="1">
      <alignment horizontal="right" wrapText="1"/>
    </xf>
    <xf numFmtId="173" fontId="16" fillId="0" borderId="17" xfId="15" applyNumberFormat="1" applyFont="1" applyBorder="1" applyAlignment="1">
      <alignment horizontal="right" wrapText="1"/>
    </xf>
    <xf numFmtId="173" fontId="0" fillId="0" borderId="0" xfId="15" applyNumberFormat="1" applyFont="1" applyAlignment="1">
      <alignment horizontal="right" wrapText="1"/>
    </xf>
    <xf numFmtId="173" fontId="16" fillId="0" borderId="0" xfId="15" applyNumberFormat="1" applyFont="1" applyAlignment="1">
      <alignment horizontal="right" wrapText="1"/>
    </xf>
    <xf numFmtId="172" fontId="16" fillId="0" borderId="10" xfId="15" applyNumberFormat="1" applyFont="1" applyBorder="1" applyAlignment="1">
      <alignment horizontal="right" wrapText="1"/>
    </xf>
    <xf numFmtId="172" fontId="16" fillId="0" borderId="18" xfId="15" applyNumberFormat="1" applyFont="1" applyBorder="1" applyAlignment="1">
      <alignment horizontal="right" wrapText="1"/>
    </xf>
    <xf numFmtId="172" fontId="16" fillId="0" borderId="19" xfId="15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16" fillId="0" borderId="0" xfId="15" applyNumberFormat="1" applyFont="1" applyBorder="1" applyAlignment="1">
      <alignment horizontal="right" wrapText="1"/>
    </xf>
    <xf numFmtId="172" fontId="5" fillId="0" borderId="0" xfId="15" applyNumberFormat="1" applyFont="1" applyAlignment="1">
      <alignment horizontal="right" wrapText="1"/>
    </xf>
    <xf numFmtId="15" fontId="2" fillId="2" borderId="23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/>
    </xf>
    <xf numFmtId="44" fontId="16" fillId="0" borderId="29" xfId="17" applyFont="1" applyBorder="1" applyAlignment="1">
      <alignment/>
    </xf>
    <xf numFmtId="180" fontId="16" fillId="0" borderId="29" xfId="15" applyNumberFormat="1" applyFont="1" applyBorder="1" applyAlignment="1">
      <alignment/>
    </xf>
    <xf numFmtId="43" fontId="16" fillId="0" borderId="29" xfId="15" applyNumberFormat="1" applyFont="1" applyBorder="1" applyAlignment="1">
      <alignment/>
    </xf>
    <xf numFmtId="43" fontId="16" fillId="0" borderId="30" xfId="15" applyNumberFormat="1" applyFont="1" applyBorder="1" applyAlignment="1">
      <alignment/>
    </xf>
    <xf numFmtId="43" fontId="16" fillId="0" borderId="6" xfId="15" applyNumberFormat="1" applyFont="1" applyBorder="1" applyAlignment="1">
      <alignment/>
    </xf>
    <xf numFmtId="43" fontId="17" fillId="5" borderId="5" xfId="15" applyNumberFormat="1" applyFont="1" applyFill="1" applyBorder="1" applyAlignment="1">
      <alignment/>
    </xf>
    <xf numFmtId="0" fontId="23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/>
    </xf>
    <xf numFmtId="44" fontId="16" fillId="0" borderId="32" xfId="17" applyFont="1" applyBorder="1" applyAlignment="1">
      <alignment/>
    </xf>
    <xf numFmtId="180" fontId="16" fillId="0" borderId="32" xfId="15" applyNumberFormat="1" applyFont="1" applyBorder="1" applyAlignment="1">
      <alignment/>
    </xf>
    <xf numFmtId="43" fontId="16" fillId="0" borderId="33" xfId="15" applyNumberFormat="1" applyFont="1" applyBorder="1" applyAlignment="1">
      <alignment/>
    </xf>
    <xf numFmtId="43" fontId="16" fillId="0" borderId="34" xfId="15" applyNumberFormat="1" applyFont="1" applyBorder="1" applyAlignment="1">
      <alignment/>
    </xf>
    <xf numFmtId="43" fontId="17" fillId="5" borderId="35" xfId="15" applyNumberFormat="1" applyFont="1" applyFill="1" applyBorder="1" applyAlignment="1">
      <alignment/>
    </xf>
    <xf numFmtId="44" fontId="16" fillId="0" borderId="32" xfId="17" applyFont="1" applyFill="1" applyBorder="1" applyAlignment="1">
      <alignment/>
    </xf>
    <xf numFmtId="44" fontId="16" fillId="6" borderId="32" xfId="17" applyFont="1" applyFill="1" applyBorder="1" applyAlignment="1">
      <alignment/>
    </xf>
    <xf numFmtId="172" fontId="16" fillId="6" borderId="32" xfId="15" applyNumberFormat="1" applyFont="1" applyFill="1" applyBorder="1" applyAlignment="1">
      <alignment/>
    </xf>
    <xf numFmtId="172" fontId="16" fillId="0" borderId="29" xfId="15" applyNumberFormat="1" applyFont="1" applyBorder="1" applyAlignment="1">
      <alignment/>
    </xf>
    <xf numFmtId="172" fontId="17" fillId="5" borderId="35" xfId="15" applyNumberFormat="1" applyFont="1" applyFill="1" applyBorder="1" applyAlignment="1">
      <alignment/>
    </xf>
    <xf numFmtId="172" fontId="0" fillId="0" borderId="0" xfId="15" applyNumberFormat="1" applyAlignment="1">
      <alignment/>
    </xf>
    <xf numFmtId="0" fontId="24" fillId="4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5" borderId="8" xfId="0" applyFont="1" applyFill="1" applyBorder="1" applyAlignment="1">
      <alignment wrapText="1"/>
    </xf>
    <xf numFmtId="0" fontId="16" fillId="0" borderId="29" xfId="0" applyFont="1" applyBorder="1" applyAlignment="1">
      <alignment horizontal="center"/>
    </xf>
    <xf numFmtId="44" fontId="16" fillId="6" borderId="29" xfId="17" applyFont="1" applyFill="1" applyBorder="1" applyAlignment="1">
      <alignment/>
    </xf>
    <xf numFmtId="173" fontId="17" fillId="5" borderId="5" xfId="15" applyNumberFormat="1" applyFont="1" applyFill="1" applyBorder="1" applyAlignment="1">
      <alignment/>
    </xf>
    <xf numFmtId="0" fontId="16" fillId="0" borderId="32" xfId="0" applyFont="1" applyBorder="1" applyAlignment="1">
      <alignment horizontal="center"/>
    </xf>
    <xf numFmtId="44" fontId="16" fillId="0" borderId="32" xfId="17" applyFont="1" applyBorder="1" applyAlignment="1">
      <alignment horizontal="center"/>
    </xf>
    <xf numFmtId="44" fontId="16" fillId="0" borderId="32" xfId="17" applyFont="1" applyFill="1" applyBorder="1" applyAlignment="1">
      <alignment horizontal="center"/>
    </xf>
    <xf numFmtId="173" fontId="16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2" fillId="4" borderId="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2" fillId="4" borderId="24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14" fontId="0" fillId="0" borderId="29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44" fontId="0" fillId="0" borderId="29" xfId="17" applyFont="1" applyFill="1" applyBorder="1" applyAlignment="1">
      <alignment vertical="center"/>
    </xf>
    <xf numFmtId="172" fontId="0" fillId="0" borderId="29" xfId="15" applyNumberFormat="1" applyFont="1" applyFill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173" fontId="0" fillId="0" borderId="36" xfId="0" applyNumberFormat="1" applyFont="1" applyFill="1" applyBorder="1" applyAlignment="1">
      <alignment vertical="center"/>
    </xf>
    <xf numFmtId="14" fontId="0" fillId="0" borderId="28" xfId="0" applyNumberFormat="1" applyBorder="1" applyAlignment="1" quotePrefix="1">
      <alignment horizontal="left"/>
    </xf>
    <xf numFmtId="0" fontId="0" fillId="0" borderId="29" xfId="0" applyBorder="1" applyAlignment="1">
      <alignment/>
    </xf>
    <xf numFmtId="44" fontId="0" fillId="0" borderId="29" xfId="17" applyBorder="1" applyAlignment="1">
      <alignment/>
    </xf>
    <xf numFmtId="172" fontId="0" fillId="0" borderId="29" xfId="15" applyNumberFormat="1" applyBorder="1" applyAlignment="1">
      <alignment/>
    </xf>
    <xf numFmtId="44" fontId="0" fillId="0" borderId="29" xfId="0" applyNumberFormat="1" applyBorder="1" applyAlignment="1">
      <alignment/>
    </xf>
    <xf numFmtId="173" fontId="0" fillId="0" borderId="36" xfId="0" applyNumberFormat="1" applyBorder="1" applyAlignment="1">
      <alignment/>
    </xf>
    <xf numFmtId="14" fontId="0" fillId="0" borderId="28" xfId="0" applyNumberFormat="1" applyBorder="1" applyAlignment="1">
      <alignment horizontal="left"/>
    </xf>
    <xf numFmtId="14" fontId="0" fillId="0" borderId="37" xfId="0" applyNumberFormat="1" applyBorder="1" applyAlignment="1">
      <alignment horizontal="left"/>
    </xf>
    <xf numFmtId="0" fontId="0" fillId="0" borderId="28" xfId="0" applyBorder="1" applyAlignment="1" quotePrefix="1">
      <alignment/>
    </xf>
    <xf numFmtId="0" fontId="0" fillId="0" borderId="31" xfId="0" applyBorder="1" applyAlignment="1" quotePrefix="1">
      <alignment/>
    </xf>
    <xf numFmtId="0" fontId="0" fillId="0" borderId="32" xfId="0" applyBorder="1" applyAlignment="1">
      <alignment/>
    </xf>
    <xf numFmtId="44" fontId="0" fillId="0" borderId="32" xfId="17" applyBorder="1" applyAlignment="1">
      <alignment/>
    </xf>
    <xf numFmtId="172" fontId="0" fillId="0" borderId="32" xfId="15" applyNumberFormat="1" applyBorder="1" applyAlignment="1">
      <alignment/>
    </xf>
    <xf numFmtId="44" fontId="0" fillId="0" borderId="32" xfId="0" applyNumberFormat="1" applyBorder="1" applyAlignment="1">
      <alignment/>
    </xf>
    <xf numFmtId="173" fontId="0" fillId="0" borderId="38" xfId="0" applyNumberFormat="1" applyBorder="1" applyAlignment="1">
      <alignment/>
    </xf>
    <xf numFmtId="0" fontId="0" fillId="0" borderId="39" xfId="0" applyBorder="1" applyAlignment="1" quotePrefix="1">
      <alignment/>
    </xf>
    <xf numFmtId="0" fontId="0" fillId="0" borderId="40" xfId="0" applyBorder="1" applyAlignment="1">
      <alignment/>
    </xf>
    <xf numFmtId="44" fontId="0" fillId="0" borderId="40" xfId="17" applyBorder="1" applyAlignment="1">
      <alignment/>
    </xf>
    <xf numFmtId="172" fontId="0" fillId="0" borderId="40" xfId="15" applyNumberFormat="1" applyBorder="1" applyAlignment="1">
      <alignment/>
    </xf>
    <xf numFmtId="44" fontId="0" fillId="0" borderId="40" xfId="0" applyNumberFormat="1" applyBorder="1" applyAlignment="1">
      <alignment/>
    </xf>
    <xf numFmtId="173" fontId="0" fillId="0" borderId="41" xfId="0" applyNumberFormat="1" applyBorder="1" applyAlignment="1">
      <alignment/>
    </xf>
    <xf numFmtId="0" fontId="16" fillId="0" borderId="42" xfId="0" applyFont="1" applyFill="1" applyBorder="1" applyAlignment="1" quotePrefix="1">
      <alignment/>
    </xf>
    <xf numFmtId="173" fontId="2" fillId="0" borderId="0" xfId="0" applyNumberFormat="1" applyFont="1" applyBorder="1" applyAlignment="1">
      <alignment/>
    </xf>
    <xf numFmtId="0" fontId="2" fillId="4" borderId="23" xfId="0" applyFont="1" applyFill="1" applyBorder="1" applyAlignment="1">
      <alignment horizontal="center"/>
    </xf>
    <xf numFmtId="15" fontId="2" fillId="4" borderId="12" xfId="0" applyNumberFormat="1" applyFont="1" applyFill="1" applyBorder="1" applyAlignment="1">
      <alignment horizontal="right"/>
    </xf>
    <xf numFmtId="15" fontId="2" fillId="4" borderId="10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4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4" xfId="15" applyNumberFormat="1" applyBorder="1" applyAlignment="1">
      <alignment/>
    </xf>
    <xf numFmtId="174" fontId="0" fillId="0" borderId="0" xfId="0" applyNumberFormat="1" applyAlignment="1">
      <alignment/>
    </xf>
    <xf numFmtId="174" fontId="16" fillId="0" borderId="0" xfId="21" applyNumberFormat="1" applyFont="1" applyBorder="1" applyAlignment="1">
      <alignment/>
    </xf>
    <xf numFmtId="174" fontId="16" fillId="0" borderId="4" xfId="21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2" fontId="0" fillId="0" borderId="6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2" fillId="0" borderId="9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9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72" fontId="0" fillId="0" borderId="4" xfId="0" applyNumberFormat="1" applyBorder="1" applyAlignment="1">
      <alignment/>
    </xf>
    <xf numFmtId="17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182" fontId="2" fillId="0" borderId="0" xfId="15" applyNumberFormat="1" applyFont="1" applyBorder="1" applyAlignment="1">
      <alignment horizontal="center"/>
    </xf>
    <xf numFmtId="6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2" fillId="0" borderId="7" xfId="0" applyNumberFormat="1" applyFont="1" applyBorder="1" applyAlignment="1">
      <alignment/>
    </xf>
    <xf numFmtId="0" fontId="0" fillId="0" borderId="0" xfId="0" applyAlignment="1" quotePrefix="1">
      <alignment/>
    </xf>
    <xf numFmtId="6" fontId="2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6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 quotePrefix="1">
      <alignment horizontal="right"/>
    </xf>
    <xf numFmtId="172" fontId="2" fillId="0" borderId="0" xfId="0" applyNumberFormat="1" applyFont="1" applyAlignment="1">
      <alignment/>
    </xf>
    <xf numFmtId="0" fontId="0" fillId="4" borderId="1" xfId="0" applyFill="1" applyBorder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0" fillId="0" borderId="22" xfId="0" applyBorder="1" applyAlignment="1">
      <alignment/>
    </xf>
    <xf numFmtId="0" fontId="2" fillId="4" borderId="1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3" xfId="0" applyBorder="1" applyAlignment="1">
      <alignment/>
    </xf>
    <xf numFmtId="172" fontId="0" fillId="0" borderId="6" xfId="0" applyNumberFormat="1" applyBorder="1" applyAlignment="1">
      <alignment/>
    </xf>
    <xf numFmtId="0" fontId="0" fillId="0" borderId="43" xfId="0" applyBorder="1" applyAlignment="1">
      <alignment/>
    </xf>
    <xf numFmtId="172" fontId="0" fillId="0" borderId="34" xfId="0" applyNumberFormat="1" applyBorder="1" applyAlignment="1">
      <alignment/>
    </xf>
    <xf numFmtId="0" fontId="2" fillId="0" borderId="16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0" fillId="0" borderId="19" xfId="0" applyBorder="1" applyAlignment="1">
      <alignment/>
    </xf>
    <xf numFmtId="172" fontId="17" fillId="5" borderId="5" xfId="15" applyNumberFormat="1" applyFont="1" applyFill="1" applyBorder="1" applyAlignment="1">
      <alignment/>
    </xf>
    <xf numFmtId="15" fontId="28" fillId="2" borderId="6" xfId="0" applyNumberFormat="1" applyFont="1" applyFill="1" applyBorder="1" applyAlignment="1">
      <alignment horizontal="right" wrapText="1"/>
    </xf>
    <xf numFmtId="10" fontId="29" fillId="0" borderId="0" xfId="0" applyNumberFormat="1" applyFont="1" applyAlignment="1">
      <alignment/>
    </xf>
    <xf numFmtId="182" fontId="21" fillId="0" borderId="0" xfId="15" applyNumberFormat="1" applyFont="1" applyBorder="1" applyAlignment="1">
      <alignment/>
    </xf>
    <xf numFmtId="182" fontId="21" fillId="0" borderId="10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" fillId="4" borderId="0" xfId="0" applyFont="1" applyFill="1" applyAlignment="1">
      <alignment horizontal="center"/>
    </xf>
    <xf numFmtId="172" fontId="16" fillId="0" borderId="33" xfId="15" applyNumberFormat="1" applyFont="1" applyFill="1" applyBorder="1" applyAlignment="1">
      <alignment/>
    </xf>
    <xf numFmtId="172" fontId="0" fillId="0" borderId="44" xfId="15" applyNumberFormat="1" applyBorder="1" applyAlignment="1">
      <alignment/>
    </xf>
    <xf numFmtId="172" fontId="0" fillId="0" borderId="5" xfId="0" applyNumberFormat="1" applyBorder="1" applyAlignment="1">
      <alignment/>
    </xf>
    <xf numFmtId="182" fontId="2" fillId="0" borderId="4" xfId="15" applyNumberFormat="1" applyFont="1" applyBorder="1" applyAlignment="1">
      <alignment horizontal="center"/>
    </xf>
    <xf numFmtId="44" fontId="0" fillId="0" borderId="5" xfId="17" applyNumberFormat="1" applyBorder="1" applyAlignment="1">
      <alignment/>
    </xf>
    <xf numFmtId="172" fontId="0" fillId="0" borderId="4" xfId="0" applyNumberFormat="1" applyBorder="1" applyAlignment="1">
      <alignment/>
    </xf>
    <xf numFmtId="44" fontId="2" fillId="0" borderId="11" xfId="17" applyNumberFormat="1" applyFont="1" applyBorder="1" applyAlignment="1">
      <alignment/>
    </xf>
    <xf numFmtId="44" fontId="16" fillId="6" borderId="32" xfId="17" applyFont="1" applyFill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31" fillId="0" borderId="32" xfId="0" applyFont="1" applyBorder="1" applyAlignment="1" quotePrefix="1">
      <alignment horizontal="center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10" fontId="18" fillId="0" borderId="17" xfId="21" applyNumberFormat="1" applyFont="1" applyBorder="1" applyAlignment="1">
      <alignment horizontal="right"/>
    </xf>
    <xf numFmtId="15" fontId="17" fillId="2" borderId="23" xfId="0" applyNumberFormat="1" applyFont="1" applyFill="1" applyBorder="1" applyAlignment="1">
      <alignment horizontal="right" wrapText="1"/>
    </xf>
    <xf numFmtId="172" fontId="22" fillId="0" borderId="0" xfId="15" applyNumberFormat="1" applyFont="1" applyBorder="1" applyAlignment="1">
      <alignment wrapText="1"/>
    </xf>
    <xf numFmtId="172" fontId="16" fillId="0" borderId="0" xfId="15" applyNumberFormat="1" applyFont="1" applyBorder="1" applyAlignment="1">
      <alignment/>
    </xf>
    <xf numFmtId="172" fontId="18" fillId="0" borderId="30" xfId="15" applyNumberFormat="1" applyFont="1" applyBorder="1" applyAlignment="1">
      <alignment/>
    </xf>
    <xf numFmtId="172" fontId="18" fillId="0" borderId="33" xfId="15" applyNumberFormat="1" applyFont="1" applyBorder="1" applyAlignment="1">
      <alignment/>
    </xf>
    <xf numFmtId="172" fontId="18" fillId="0" borderId="36" xfId="15" applyNumberFormat="1" applyFont="1" applyBorder="1" applyAlignment="1">
      <alignment/>
    </xf>
    <xf numFmtId="172" fontId="18" fillId="0" borderId="38" xfId="15" applyNumberFormat="1" applyFont="1" applyBorder="1" applyAlignment="1">
      <alignment/>
    </xf>
    <xf numFmtId="172" fontId="18" fillId="0" borderId="29" xfId="15" applyNumberFormat="1" applyFont="1" applyBorder="1" applyAlignment="1">
      <alignment/>
    </xf>
    <xf numFmtId="172" fontId="18" fillId="0" borderId="32" xfId="15" applyNumberFormat="1" applyFont="1" applyBorder="1" applyAlignment="1">
      <alignment/>
    </xf>
    <xf numFmtId="173" fontId="33" fillId="5" borderId="5" xfId="15" applyNumberFormat="1" applyFont="1" applyFill="1" applyBorder="1" applyAlignment="1">
      <alignment/>
    </xf>
    <xf numFmtId="173" fontId="33" fillId="5" borderId="10" xfId="15" applyNumberFormat="1" applyFont="1" applyFill="1" applyBorder="1" applyAlignment="1">
      <alignment/>
    </xf>
    <xf numFmtId="15" fontId="25" fillId="4" borderId="10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/>
    </xf>
    <xf numFmtId="172" fontId="3" fillId="0" borderId="9" xfId="15" applyNumberFormat="1" applyFont="1" applyBorder="1" applyAlignment="1">
      <alignment horizontal="right" wrapText="1"/>
    </xf>
    <xf numFmtId="0" fontId="2" fillId="3" borderId="2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16" fillId="0" borderId="40" xfId="17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0" fillId="0" borderId="13" xfId="15" applyNumberFormat="1" applyBorder="1" applyAlignment="1">
      <alignment/>
    </xf>
    <xf numFmtId="172" fontId="2" fillId="0" borderId="45" xfId="15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13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172" fontId="16" fillId="0" borderId="9" xfId="15" applyNumberFormat="1" applyFont="1" applyBorder="1" applyAlignment="1">
      <alignment horizontal="right" wrapText="1"/>
    </xf>
    <xf numFmtId="0" fontId="23" fillId="0" borderId="24" xfId="0" applyFont="1" applyBorder="1" applyAlignment="1">
      <alignment horizontal="left" vertical="center" wrapText="1"/>
    </xf>
    <xf numFmtId="44" fontId="16" fillId="0" borderId="25" xfId="17" applyFont="1" applyFill="1" applyBorder="1" applyAlignment="1">
      <alignment horizontal="center"/>
    </xf>
    <xf numFmtId="44" fontId="16" fillId="0" borderId="25" xfId="17" applyFont="1" applyFill="1" applyBorder="1" applyAlignment="1">
      <alignment horizontal="right"/>
    </xf>
    <xf numFmtId="172" fontId="16" fillId="0" borderId="25" xfId="15" applyNumberFormat="1" applyFont="1" applyBorder="1" applyAlignment="1">
      <alignment/>
    </xf>
    <xf numFmtId="172" fontId="16" fillId="0" borderId="26" xfId="15" applyNumberFormat="1" applyFont="1" applyBorder="1" applyAlignment="1">
      <alignment/>
    </xf>
    <xf numFmtId="172" fontId="16" fillId="0" borderId="27" xfId="15" applyNumberFormat="1" applyFont="1" applyBorder="1" applyAlignment="1">
      <alignment/>
    </xf>
    <xf numFmtId="172" fontId="17" fillId="5" borderId="8" xfId="15" applyNumberFormat="1" applyFont="1" applyFill="1" applyBorder="1" applyAlignment="1">
      <alignment/>
    </xf>
    <xf numFmtId="173" fontId="17" fillId="5" borderId="8" xfId="15" applyNumberFormat="1" applyFont="1" applyFill="1" applyBorder="1" applyAlignment="1">
      <alignment/>
    </xf>
    <xf numFmtId="173" fontId="33" fillId="5" borderId="8" xfId="15" applyNumberFormat="1" applyFont="1" applyFill="1" applyBorder="1" applyAlignment="1">
      <alignment/>
    </xf>
    <xf numFmtId="0" fontId="23" fillId="0" borderId="39" xfId="0" applyFont="1" applyBorder="1" applyAlignment="1">
      <alignment horizontal="left" vertical="center" wrapText="1"/>
    </xf>
    <xf numFmtId="44" fontId="16" fillId="6" borderId="40" xfId="17" applyFont="1" applyFill="1" applyBorder="1" applyAlignment="1">
      <alignment/>
    </xf>
    <xf numFmtId="172" fontId="18" fillId="0" borderId="40" xfId="15" applyNumberFormat="1" applyFont="1" applyBorder="1" applyAlignment="1">
      <alignment/>
    </xf>
    <xf numFmtId="172" fontId="16" fillId="0" borderId="46" xfId="15" applyNumberFormat="1" applyFont="1" applyBorder="1" applyAlignment="1">
      <alignment/>
    </xf>
    <xf numFmtId="172" fontId="18" fillId="0" borderId="47" xfId="15" applyNumberFormat="1" applyFont="1" applyBorder="1" applyAlignment="1">
      <alignment/>
    </xf>
    <xf numFmtId="172" fontId="18" fillId="0" borderId="41" xfId="15" applyNumberFormat="1" applyFont="1" applyBorder="1" applyAlignment="1">
      <alignment/>
    </xf>
    <xf numFmtId="172" fontId="17" fillId="5" borderId="10" xfId="15" applyNumberFormat="1" applyFont="1" applyFill="1" applyBorder="1" applyAlignment="1">
      <alignment/>
    </xf>
    <xf numFmtId="173" fontId="17" fillId="5" borderId="10" xfId="15" applyNumberFormat="1" applyFont="1" applyFill="1" applyBorder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43" fontId="3" fillId="2" borderId="2" xfId="15" applyFont="1" applyFill="1" applyBorder="1" applyAlignment="1">
      <alignment wrapText="1"/>
    </xf>
    <xf numFmtId="43" fontId="3" fillId="2" borderId="1" xfId="15" applyFont="1" applyFill="1" applyBorder="1" applyAlignment="1">
      <alignment wrapText="1"/>
    </xf>
    <xf numFmtId="172" fontId="3" fillId="0" borderId="0" xfId="15" applyNumberFormat="1" applyFont="1" applyAlignment="1">
      <alignment wrapText="1"/>
    </xf>
    <xf numFmtId="172" fontId="4" fillId="0" borderId="0" xfId="15" applyNumberFormat="1" applyFont="1" applyAlignment="1">
      <alignment wrapText="1"/>
    </xf>
    <xf numFmtId="0" fontId="13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123825</xdr:rowOff>
    </xdr:from>
    <xdr:to>
      <xdr:col>12</xdr:col>
      <xdr:colOff>342900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859000" y="638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2</xdr:row>
      <xdr:rowOff>123825</xdr:rowOff>
    </xdr:from>
    <xdr:to>
      <xdr:col>13</xdr:col>
      <xdr:colOff>295275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5449550" y="638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108</xdr:row>
      <xdr:rowOff>9525</xdr:rowOff>
    </xdr:from>
    <xdr:to>
      <xdr:col>5</xdr:col>
      <xdr:colOff>400050</xdr:colOff>
      <xdr:row>110</xdr:row>
      <xdr:rowOff>95250</xdr:rowOff>
    </xdr:to>
    <xdr:sp>
      <xdr:nvSpPr>
        <xdr:cNvPr id="1" name="Line 1"/>
        <xdr:cNvSpPr>
          <a:spLocks/>
        </xdr:cNvSpPr>
      </xdr:nvSpPr>
      <xdr:spPr>
        <a:xfrm>
          <a:off x="6438900" y="193929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108</xdr:row>
      <xdr:rowOff>19050</xdr:rowOff>
    </xdr:from>
    <xdr:to>
      <xdr:col>6</xdr:col>
      <xdr:colOff>352425</xdr:colOff>
      <xdr:row>111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200900" y="194024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108</xdr:row>
      <xdr:rowOff>19050</xdr:rowOff>
    </xdr:from>
    <xdr:to>
      <xdr:col>7</xdr:col>
      <xdr:colOff>400050</xdr:colOff>
      <xdr:row>112</xdr:row>
      <xdr:rowOff>76200</xdr:rowOff>
    </xdr:to>
    <xdr:sp>
      <xdr:nvSpPr>
        <xdr:cNvPr id="3" name="Line 3"/>
        <xdr:cNvSpPr>
          <a:spLocks/>
        </xdr:cNvSpPr>
      </xdr:nvSpPr>
      <xdr:spPr>
        <a:xfrm>
          <a:off x="7962900" y="194024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108</xdr:row>
      <xdr:rowOff>38100</xdr:rowOff>
    </xdr:from>
    <xdr:to>
      <xdr:col>8</xdr:col>
      <xdr:colOff>400050</xdr:colOff>
      <xdr:row>113</xdr:row>
      <xdr:rowOff>95250</xdr:rowOff>
    </xdr:to>
    <xdr:sp>
      <xdr:nvSpPr>
        <xdr:cNvPr id="4" name="Line 4"/>
        <xdr:cNvSpPr>
          <a:spLocks/>
        </xdr:cNvSpPr>
      </xdr:nvSpPr>
      <xdr:spPr>
        <a:xfrm>
          <a:off x="8820150" y="194214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57150</xdr:rowOff>
    </xdr:from>
    <xdr:to>
      <xdr:col>4</xdr:col>
      <xdr:colOff>476250</xdr:colOff>
      <xdr:row>109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5210175" y="19602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95250</xdr:rowOff>
    </xdr:from>
    <xdr:to>
      <xdr:col>5</xdr:col>
      <xdr:colOff>400050</xdr:colOff>
      <xdr:row>110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5210175" y="198024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95250</xdr:rowOff>
    </xdr:from>
    <xdr:to>
      <xdr:col>6</xdr:col>
      <xdr:colOff>352425</xdr:colOff>
      <xdr:row>111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5210175" y="19964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66675</xdr:rowOff>
    </xdr:from>
    <xdr:to>
      <xdr:col>7</xdr:col>
      <xdr:colOff>400050</xdr:colOff>
      <xdr:row>112</xdr:row>
      <xdr:rowOff>66675</xdr:rowOff>
    </xdr:to>
    <xdr:sp>
      <xdr:nvSpPr>
        <xdr:cNvPr id="8" name="Line 9"/>
        <xdr:cNvSpPr>
          <a:spLocks/>
        </xdr:cNvSpPr>
      </xdr:nvSpPr>
      <xdr:spPr>
        <a:xfrm flipH="1">
          <a:off x="5210175" y="2009775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85725</xdr:rowOff>
    </xdr:from>
    <xdr:to>
      <xdr:col>8</xdr:col>
      <xdr:colOff>409575</xdr:colOff>
      <xdr:row>113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5210175" y="202787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108</xdr:row>
      <xdr:rowOff>0</xdr:rowOff>
    </xdr:from>
    <xdr:to>
      <xdr:col>4</xdr:col>
      <xdr:colOff>466725</xdr:colOff>
      <xdr:row>109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5676900" y="193833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6</xdr:row>
      <xdr:rowOff>190500</xdr:rowOff>
    </xdr:from>
    <xdr:to>
      <xdr:col>1</xdr:col>
      <xdr:colOff>523875</xdr:colOff>
      <xdr:row>6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762000" y="1333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38100</xdr:rowOff>
    </xdr:from>
    <xdr:to>
      <xdr:col>7</xdr:col>
      <xdr:colOff>228600</xdr:colOff>
      <xdr:row>20</xdr:row>
      <xdr:rowOff>190500</xdr:rowOff>
    </xdr:to>
    <xdr:sp>
      <xdr:nvSpPr>
        <xdr:cNvPr id="12" name="Line 15"/>
        <xdr:cNvSpPr>
          <a:spLocks/>
        </xdr:cNvSpPr>
      </xdr:nvSpPr>
      <xdr:spPr>
        <a:xfrm flipV="1">
          <a:off x="3000375" y="2352675"/>
          <a:ext cx="4791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50</xdr:row>
      <xdr:rowOff>171450</xdr:rowOff>
    </xdr:from>
    <xdr:to>
      <xdr:col>3</xdr:col>
      <xdr:colOff>0</xdr:colOff>
      <xdr:row>50</xdr:row>
      <xdr:rowOff>171450</xdr:rowOff>
    </xdr:to>
    <xdr:sp>
      <xdr:nvSpPr>
        <xdr:cNvPr id="13" name="Line 16"/>
        <xdr:cNvSpPr>
          <a:spLocks/>
        </xdr:cNvSpPr>
      </xdr:nvSpPr>
      <xdr:spPr>
        <a:xfrm>
          <a:off x="714375" y="8201025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92</xdr:row>
      <xdr:rowOff>104775</xdr:rowOff>
    </xdr:from>
    <xdr:to>
      <xdr:col>9</xdr:col>
      <xdr:colOff>266700</xdr:colOff>
      <xdr:row>98</xdr:row>
      <xdr:rowOff>0</xdr:rowOff>
    </xdr:to>
    <xdr:sp>
      <xdr:nvSpPr>
        <xdr:cNvPr id="14" name="Line 20"/>
        <xdr:cNvSpPr>
          <a:spLocks/>
        </xdr:cNvSpPr>
      </xdr:nvSpPr>
      <xdr:spPr>
        <a:xfrm flipV="1">
          <a:off x="9191625" y="16983075"/>
          <a:ext cx="257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100</xdr:row>
      <xdr:rowOff>85725</xdr:rowOff>
    </xdr:from>
    <xdr:to>
      <xdr:col>9</xdr:col>
      <xdr:colOff>333375</xdr:colOff>
      <xdr:row>100</xdr:row>
      <xdr:rowOff>85725</xdr:rowOff>
    </xdr:to>
    <xdr:sp>
      <xdr:nvSpPr>
        <xdr:cNvPr id="15" name="Line 21"/>
        <xdr:cNvSpPr>
          <a:spLocks/>
        </xdr:cNvSpPr>
      </xdr:nvSpPr>
      <xdr:spPr>
        <a:xfrm flipH="1">
          <a:off x="9229725" y="181356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97</xdr:row>
      <xdr:rowOff>85725</xdr:rowOff>
    </xdr:from>
    <xdr:to>
      <xdr:col>7</xdr:col>
      <xdr:colOff>723900</xdr:colOff>
      <xdr:row>97</xdr:row>
      <xdr:rowOff>85725</xdr:rowOff>
    </xdr:to>
    <xdr:sp>
      <xdr:nvSpPr>
        <xdr:cNvPr id="16" name="Line 22"/>
        <xdr:cNvSpPr>
          <a:spLocks/>
        </xdr:cNvSpPr>
      </xdr:nvSpPr>
      <xdr:spPr>
        <a:xfrm>
          <a:off x="6915150" y="17649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106</xdr:row>
      <xdr:rowOff>76200</xdr:rowOff>
    </xdr:from>
    <xdr:to>
      <xdr:col>4</xdr:col>
      <xdr:colOff>47625</xdr:colOff>
      <xdr:row>106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4676775" y="19097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roussiotis\My%20Documents\Personal\FDU\Financial%20Analysis\Starwood\Valuation%20Spreadsheet%20update%2010-2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2">
        <row r="10">
          <cell r="A10">
            <v>39267</v>
          </cell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6"/>
  <sheetViews>
    <sheetView workbookViewId="0" topLeftCell="A1">
      <selection activeCell="F3" sqref="F3"/>
    </sheetView>
  </sheetViews>
  <sheetFormatPr defaultColWidth="9.140625" defaultRowHeight="12.75"/>
  <cols>
    <col min="1" max="1" width="2.8515625" style="0" customWidth="1"/>
    <col min="2" max="2" width="42.7109375" style="0" customWidth="1"/>
    <col min="3" max="3" width="28.28125" style="0" customWidth="1"/>
    <col min="4" max="4" width="9.57421875" style="0" customWidth="1"/>
    <col min="5" max="5" width="9.7109375" style="0" customWidth="1"/>
    <col min="6" max="6" width="9.57421875" style="0" customWidth="1"/>
    <col min="7" max="7" width="12.00390625" style="0" customWidth="1"/>
    <col min="9" max="9" width="48.57421875" style="0" customWidth="1"/>
    <col min="10" max="10" width="26.28125" style="0" customWidth="1"/>
    <col min="11" max="11" width="9.421875" style="0" customWidth="1"/>
    <col min="12" max="13" width="9.57421875" style="0" customWidth="1"/>
    <col min="14" max="14" width="9.7109375" style="0" customWidth="1"/>
    <col min="15" max="15" width="33.140625" style="0" customWidth="1"/>
    <col min="16" max="16" width="9.28125" style="0" bestFit="1" customWidth="1"/>
    <col min="17" max="18" width="9.421875" style="0" bestFit="1" customWidth="1"/>
  </cols>
  <sheetData>
    <row r="1" ht="27" thickBot="1">
      <c r="B1" s="89" t="s">
        <v>119</v>
      </c>
    </row>
    <row r="2" spans="2:6" ht="13.5" thickBot="1">
      <c r="B2" s="325" t="s">
        <v>0</v>
      </c>
      <c r="C2" s="326" t="s">
        <v>320</v>
      </c>
      <c r="E2" s="327" t="s">
        <v>271</v>
      </c>
      <c r="F2" s="328" t="str">
        <f>MID(C2,11,5)</f>
        <v>51.12</v>
      </c>
    </row>
    <row r="3" ht="12.75">
      <c r="M3" t="s">
        <v>279</v>
      </c>
    </row>
    <row r="4" spans="6:7" ht="12.75">
      <c r="F4" s="351">
        <v>4824000</v>
      </c>
      <c r="G4" s="351">
        <v>4936000</v>
      </c>
    </row>
    <row r="5" spans="2:14" ht="13.5" thickBot="1">
      <c r="B5" s="2" t="s">
        <v>117</v>
      </c>
      <c r="I5" s="2" t="s">
        <v>118</v>
      </c>
      <c r="J5" s="2"/>
      <c r="K5" s="2"/>
      <c r="L5" s="2"/>
      <c r="M5" s="2"/>
      <c r="N5" s="2"/>
    </row>
    <row r="6" spans="2:14" ht="12.75">
      <c r="B6" s="78" t="s">
        <v>290</v>
      </c>
      <c r="C6" s="79"/>
      <c r="D6" s="95">
        <v>40543</v>
      </c>
      <c r="E6" s="95">
        <v>40178</v>
      </c>
      <c r="F6" s="96">
        <v>39813</v>
      </c>
      <c r="G6" s="96">
        <v>39447</v>
      </c>
      <c r="H6" s="84"/>
      <c r="I6" s="78" t="s">
        <v>290</v>
      </c>
      <c r="J6" s="79"/>
      <c r="K6" s="95">
        <v>40724</v>
      </c>
      <c r="L6" s="95">
        <v>40633</v>
      </c>
      <c r="M6" s="95">
        <v>40543</v>
      </c>
      <c r="N6" s="96">
        <v>40451</v>
      </c>
    </row>
    <row r="7" spans="2:14" ht="12.75">
      <c r="B7" s="80" t="s">
        <v>291</v>
      </c>
      <c r="C7" s="81"/>
      <c r="D7" s="82">
        <v>5071000</v>
      </c>
      <c r="E7" s="82">
        <v>4696000</v>
      </c>
      <c r="F7" s="83">
        <v>5907000</v>
      </c>
      <c r="G7" s="83">
        <v>6153000</v>
      </c>
      <c r="H7" s="84"/>
      <c r="I7" s="80" t="s">
        <v>291</v>
      </c>
      <c r="J7" s="81"/>
      <c r="K7" s="82">
        <v>1426000</v>
      </c>
      <c r="L7" s="82">
        <v>1295000</v>
      </c>
      <c r="M7" s="82">
        <v>1340000</v>
      </c>
      <c r="N7" s="83">
        <v>1255000</v>
      </c>
    </row>
    <row r="8" spans="2:14" ht="12.75">
      <c r="B8" s="80" t="s">
        <v>6</v>
      </c>
      <c r="C8" s="81"/>
      <c r="D8" s="82">
        <v>1800000</v>
      </c>
      <c r="E8" s="82">
        <v>1737000</v>
      </c>
      <c r="F8" s="83">
        <f>+E8/E7*F7</f>
        <v>2184935.9028960816</v>
      </c>
      <c r="G8" s="83">
        <f>+F8/F4*G4</f>
        <v>2235664.099646571</v>
      </c>
      <c r="H8" s="84"/>
      <c r="I8" s="80" t="s">
        <v>6</v>
      </c>
      <c r="J8" s="81"/>
      <c r="K8" s="82">
        <v>493000</v>
      </c>
      <c r="L8" s="82">
        <v>472000</v>
      </c>
      <c r="M8" s="82">
        <v>470000</v>
      </c>
      <c r="N8" s="83">
        <v>450000</v>
      </c>
    </row>
    <row r="9" spans="2:14" ht="12.75">
      <c r="B9" s="80"/>
      <c r="C9" s="81"/>
      <c r="D9" s="81"/>
      <c r="E9" s="81"/>
      <c r="F9" s="84"/>
      <c r="G9" s="84"/>
      <c r="H9" s="84"/>
      <c r="I9" s="80"/>
      <c r="J9" s="81"/>
      <c r="K9" s="81"/>
      <c r="L9" s="81"/>
      <c r="M9" s="81"/>
      <c r="N9" s="84"/>
    </row>
    <row r="10" spans="2:14" ht="12.75">
      <c r="B10" s="80" t="s">
        <v>292</v>
      </c>
      <c r="C10" s="81"/>
      <c r="D10" s="82">
        <v>3271000</v>
      </c>
      <c r="E10" s="82">
        <v>2959000</v>
      </c>
      <c r="F10" s="83">
        <f>+F7-F8</f>
        <v>3722064.0971039184</v>
      </c>
      <c r="G10" s="83">
        <f>+G7-G8</f>
        <v>3917335.900353429</v>
      </c>
      <c r="H10" s="84"/>
      <c r="I10" s="80" t="s">
        <v>292</v>
      </c>
      <c r="J10" s="81"/>
      <c r="K10" s="82">
        <v>933000</v>
      </c>
      <c r="L10" s="82">
        <v>823000</v>
      </c>
      <c r="M10" s="82">
        <v>870000</v>
      </c>
      <c r="N10" s="83">
        <v>805000</v>
      </c>
    </row>
    <row r="11" spans="2:14" ht="12.75">
      <c r="B11" s="80"/>
      <c r="C11" s="81"/>
      <c r="D11" s="81"/>
      <c r="E11" s="81"/>
      <c r="F11" s="84"/>
      <c r="G11" s="84"/>
      <c r="H11" s="84"/>
      <c r="I11" s="80"/>
      <c r="J11" s="81"/>
      <c r="K11" s="81"/>
      <c r="L11" s="81"/>
      <c r="M11" s="81"/>
      <c r="N11" s="84"/>
    </row>
    <row r="12" spans="2:14" ht="12.75">
      <c r="B12" s="80"/>
      <c r="C12" s="81" t="s">
        <v>8</v>
      </c>
      <c r="D12" s="81"/>
      <c r="E12" s="81"/>
      <c r="F12" s="84"/>
      <c r="G12" s="84"/>
      <c r="H12" s="84"/>
      <c r="I12" s="80"/>
      <c r="J12" s="81" t="s">
        <v>8</v>
      </c>
      <c r="K12" s="81"/>
      <c r="L12" s="81"/>
      <c r="M12" s="81"/>
      <c r="N12" s="84"/>
    </row>
    <row r="13" spans="2:14" ht="12.75">
      <c r="B13" s="80"/>
      <c r="C13" s="81" t="s">
        <v>9</v>
      </c>
      <c r="D13" s="81"/>
      <c r="E13" s="81"/>
      <c r="F13" s="84"/>
      <c r="G13" s="84">
        <v>0</v>
      </c>
      <c r="H13" s="84"/>
      <c r="I13" s="80"/>
      <c r="J13" s="81" t="s">
        <v>9</v>
      </c>
      <c r="K13" s="81"/>
      <c r="L13" s="81"/>
      <c r="M13" s="81"/>
      <c r="N13" s="84"/>
    </row>
    <row r="14" spans="2:14" ht="12.75">
      <c r="B14" s="80"/>
      <c r="C14" s="81" t="s">
        <v>10</v>
      </c>
      <c r="D14" s="82">
        <v>2461000</v>
      </c>
      <c r="E14" s="82">
        <v>2245000</v>
      </c>
      <c r="F14" s="83">
        <f>+F4-F8</f>
        <v>2639064.0971039184</v>
      </c>
      <c r="G14" s="83">
        <f>+G4-G8</f>
        <v>2700335.900353429</v>
      </c>
      <c r="H14" s="84"/>
      <c r="I14" s="80"/>
      <c r="J14" s="81" t="s">
        <v>10</v>
      </c>
      <c r="K14" s="82">
        <v>689000</v>
      </c>
      <c r="L14" s="82">
        <v>635000</v>
      </c>
      <c r="M14" s="82">
        <v>622000</v>
      </c>
      <c r="N14" s="83">
        <v>613000</v>
      </c>
    </row>
    <row r="15" spans="2:14" ht="12.75">
      <c r="B15" s="80"/>
      <c r="C15" s="81" t="s">
        <v>11</v>
      </c>
      <c r="D15" s="82">
        <v>-75000</v>
      </c>
      <c r="E15" s="82">
        <v>379000</v>
      </c>
      <c r="F15" s="83">
        <v>141000</v>
      </c>
      <c r="G15" s="83">
        <v>53000</v>
      </c>
      <c r="H15" s="84"/>
      <c r="I15" s="80"/>
      <c r="J15" s="81" t="s">
        <v>11</v>
      </c>
      <c r="K15" s="82"/>
      <c r="L15" s="82"/>
      <c r="M15" s="82">
        <v>-73000</v>
      </c>
      <c r="N15" s="83">
        <v>-1000</v>
      </c>
    </row>
    <row r="16" spans="2:14" ht="12.75">
      <c r="B16" s="80"/>
      <c r="C16" s="81" t="s">
        <v>12</v>
      </c>
      <c r="D16" s="82">
        <v>285000</v>
      </c>
      <c r="E16" s="82">
        <v>309000</v>
      </c>
      <c r="F16" s="83">
        <v>323000</v>
      </c>
      <c r="G16" s="83">
        <v>306000</v>
      </c>
      <c r="H16" s="84"/>
      <c r="I16" s="80"/>
      <c r="J16" s="81" t="s">
        <v>12</v>
      </c>
      <c r="K16" s="82">
        <v>67000</v>
      </c>
      <c r="L16" s="82">
        <v>68000</v>
      </c>
      <c r="M16" s="82">
        <v>65000</v>
      </c>
      <c r="N16" s="83">
        <v>71000</v>
      </c>
    </row>
    <row r="17" spans="2:14" ht="12.75">
      <c r="B17" s="80"/>
      <c r="C17" s="81"/>
      <c r="D17" s="81"/>
      <c r="E17" s="81"/>
      <c r="F17" s="84"/>
      <c r="G17" s="84"/>
      <c r="H17" s="84"/>
      <c r="I17" s="80"/>
      <c r="J17" s="81"/>
      <c r="K17" s="81"/>
      <c r="L17" s="81"/>
      <c r="M17" s="81"/>
      <c r="N17" s="84"/>
    </row>
    <row r="18" spans="2:14" ht="12.75">
      <c r="B18" s="80"/>
      <c r="C18" s="81" t="s">
        <v>13</v>
      </c>
      <c r="D18" s="81"/>
      <c r="E18" s="81"/>
      <c r="F18" s="84"/>
      <c r="G18" s="84">
        <v>0</v>
      </c>
      <c r="H18" s="84"/>
      <c r="I18" s="80"/>
      <c r="J18" s="81" t="s">
        <v>13</v>
      </c>
      <c r="K18" s="81"/>
      <c r="L18" s="81"/>
      <c r="M18" s="81"/>
      <c r="N18" s="84"/>
    </row>
    <row r="19" spans="2:14" ht="12.75">
      <c r="B19" s="80"/>
      <c r="C19" s="81"/>
      <c r="D19" s="81"/>
      <c r="E19" s="81"/>
      <c r="F19" s="84"/>
      <c r="G19" s="84"/>
      <c r="H19" s="84"/>
      <c r="I19" s="80"/>
      <c r="J19" s="81"/>
      <c r="K19" s="81"/>
      <c r="L19" s="81"/>
      <c r="M19" s="81"/>
      <c r="N19" s="84"/>
    </row>
    <row r="20" spans="2:14" ht="12.75">
      <c r="B20" s="80"/>
      <c r="C20" s="81"/>
      <c r="D20" s="81"/>
      <c r="E20" s="81"/>
      <c r="F20" s="84"/>
      <c r="G20" s="84"/>
      <c r="H20" s="84"/>
      <c r="I20" s="80"/>
      <c r="J20" s="81"/>
      <c r="K20" s="81"/>
      <c r="L20" s="81"/>
      <c r="M20" s="81"/>
      <c r="N20" s="84"/>
    </row>
    <row r="21" spans="2:14" ht="12.75">
      <c r="B21" s="80" t="s">
        <v>294</v>
      </c>
      <c r="C21" s="81"/>
      <c r="D21" s="82">
        <v>600000</v>
      </c>
      <c r="E21" s="82">
        <v>26000</v>
      </c>
      <c r="F21" s="83">
        <v>619000</v>
      </c>
      <c r="G21" s="83">
        <v>858000</v>
      </c>
      <c r="H21" s="84"/>
      <c r="I21" s="80" t="s">
        <v>294</v>
      </c>
      <c r="J21" s="81"/>
      <c r="K21" s="82">
        <v>177000</v>
      </c>
      <c r="L21" s="82">
        <v>120000</v>
      </c>
      <c r="M21" s="82">
        <v>256000</v>
      </c>
      <c r="N21" s="83">
        <v>122000</v>
      </c>
    </row>
    <row r="22" spans="2:14" ht="12.75">
      <c r="B22" s="80"/>
      <c r="C22" s="81"/>
      <c r="D22" s="81"/>
      <c r="E22" s="81"/>
      <c r="F22" s="84"/>
      <c r="G22" s="84"/>
      <c r="H22" s="84"/>
      <c r="I22" s="80"/>
      <c r="J22" s="81"/>
      <c r="K22" s="81"/>
      <c r="L22" s="81"/>
      <c r="M22" s="81"/>
      <c r="N22" s="84"/>
    </row>
    <row r="23" spans="2:14" ht="12.75">
      <c r="B23" s="80"/>
      <c r="C23" s="81" t="s">
        <v>114</v>
      </c>
      <c r="D23" s="81"/>
      <c r="E23" s="81"/>
      <c r="F23" s="84"/>
      <c r="G23" s="84"/>
      <c r="H23" s="84"/>
      <c r="I23" s="80"/>
      <c r="J23" s="81" t="s">
        <v>114</v>
      </c>
      <c r="K23" s="81"/>
      <c r="L23" s="81"/>
      <c r="M23" s="81"/>
      <c r="N23" s="84"/>
    </row>
    <row r="24" spans="2:14" ht="12.75">
      <c r="B24" s="80"/>
      <c r="C24" s="81" t="s">
        <v>15</v>
      </c>
      <c r="D24" s="82">
        <v>-39000</v>
      </c>
      <c r="E24" s="82">
        <v>-91000</v>
      </c>
      <c r="F24" s="83">
        <v>-95000</v>
      </c>
      <c r="G24" s="83">
        <v>-23000</v>
      </c>
      <c r="H24" s="84"/>
      <c r="I24" s="80"/>
      <c r="J24" s="81" t="s">
        <v>15</v>
      </c>
      <c r="K24" s="82">
        <v>2000</v>
      </c>
      <c r="L24" s="82">
        <v>-33000</v>
      </c>
      <c r="M24" s="82">
        <v>-4000</v>
      </c>
      <c r="N24" s="83">
        <v>-56000</v>
      </c>
    </row>
    <row r="25" spans="2:14" ht="12.75">
      <c r="B25" s="80"/>
      <c r="C25" s="81" t="s">
        <v>115</v>
      </c>
      <c r="D25" s="82">
        <f>+D21+D24</f>
        <v>561000</v>
      </c>
      <c r="E25" s="82">
        <f>+E21+E24</f>
        <v>-65000</v>
      </c>
      <c r="F25" s="83">
        <v>540000</v>
      </c>
      <c r="G25" s="83">
        <v>901000</v>
      </c>
      <c r="H25" s="84"/>
      <c r="I25" s="80"/>
      <c r="J25" s="81" t="s">
        <v>115</v>
      </c>
      <c r="K25" s="82">
        <v>127000</v>
      </c>
      <c r="L25" s="82">
        <v>33000</v>
      </c>
      <c r="M25" s="82">
        <v>191000</v>
      </c>
      <c r="N25" s="83">
        <v>12000</v>
      </c>
    </row>
    <row r="26" spans="2:14" ht="12.75">
      <c r="B26" s="80"/>
      <c r="C26" s="81" t="s">
        <v>17</v>
      </c>
      <c r="D26" s="82">
        <v>236000</v>
      </c>
      <c r="E26" s="82">
        <v>227000</v>
      </c>
      <c r="F26" s="83">
        <v>210000</v>
      </c>
      <c r="G26" s="83">
        <v>168000</v>
      </c>
      <c r="H26" s="84"/>
      <c r="I26" s="80"/>
      <c r="J26" s="81" t="s">
        <v>17</v>
      </c>
      <c r="K26" s="82">
        <v>52000</v>
      </c>
      <c r="L26" s="82">
        <v>54000</v>
      </c>
      <c r="M26" s="82">
        <v>56000</v>
      </c>
      <c r="N26" s="83">
        <v>59000</v>
      </c>
    </row>
    <row r="27" spans="2:14" ht="12.75">
      <c r="B27" s="80"/>
      <c r="C27" s="81" t="s">
        <v>18</v>
      </c>
      <c r="D27" s="82">
        <f>+D25-D26</f>
        <v>325000</v>
      </c>
      <c r="E27" s="82">
        <f>+E25-E26</f>
        <v>-292000</v>
      </c>
      <c r="F27" s="83">
        <v>330000</v>
      </c>
      <c r="G27" s="83">
        <v>733000</v>
      </c>
      <c r="H27" s="84"/>
      <c r="I27" s="80"/>
      <c r="J27" s="81" t="s">
        <v>18</v>
      </c>
      <c r="K27" s="82">
        <v>127000</v>
      </c>
      <c r="L27" s="82">
        <v>33000</v>
      </c>
      <c r="M27" s="82">
        <v>191000</v>
      </c>
      <c r="N27" s="83">
        <v>12000</v>
      </c>
    </row>
    <row r="28" spans="2:14" ht="12.75">
      <c r="B28" s="80"/>
      <c r="C28" s="81" t="s">
        <v>19</v>
      </c>
      <c r="D28" s="82">
        <v>27000</v>
      </c>
      <c r="E28" s="82">
        <v>-293000</v>
      </c>
      <c r="F28" s="83">
        <v>76000</v>
      </c>
      <c r="G28" s="83">
        <v>189000</v>
      </c>
      <c r="H28" s="84"/>
      <c r="I28" s="80"/>
      <c r="J28" s="81" t="s">
        <v>19</v>
      </c>
      <c r="K28" s="82">
        <v>-16000</v>
      </c>
      <c r="L28" s="82">
        <v>10000</v>
      </c>
      <c r="M28" s="82">
        <v>-5000</v>
      </c>
      <c r="N28" s="83">
        <v>11000</v>
      </c>
    </row>
    <row r="29" spans="2:14" ht="12.75">
      <c r="B29" s="80"/>
      <c r="C29" s="81" t="s">
        <v>20</v>
      </c>
      <c r="D29" s="82">
        <v>2000</v>
      </c>
      <c r="E29" s="82">
        <v>2000</v>
      </c>
      <c r="F29" s="83"/>
      <c r="G29" s="83">
        <v>-1000</v>
      </c>
      <c r="H29" s="84"/>
      <c r="I29" s="80"/>
      <c r="J29" s="81" t="s">
        <v>20</v>
      </c>
      <c r="K29" s="82"/>
      <c r="L29" s="82">
        <v>2000</v>
      </c>
      <c r="M29" s="82"/>
      <c r="N29" s="83"/>
    </row>
    <row r="30" spans="2:14" ht="12.75">
      <c r="B30" s="80"/>
      <c r="C30" s="81"/>
      <c r="D30" s="81"/>
      <c r="E30" s="81"/>
      <c r="F30" s="84"/>
      <c r="G30" s="84"/>
      <c r="H30" s="84"/>
      <c r="I30" s="80"/>
      <c r="J30" s="81"/>
      <c r="K30" s="81"/>
      <c r="L30" s="81"/>
      <c r="M30" s="81"/>
      <c r="N30" s="84"/>
    </row>
    <row r="31" spans="2:14" ht="12.75">
      <c r="B31" s="80"/>
      <c r="C31" s="81" t="s">
        <v>21</v>
      </c>
      <c r="D31" s="82">
        <v>308000</v>
      </c>
      <c r="E31" s="82">
        <v>-3000</v>
      </c>
      <c r="F31" s="83">
        <v>254000</v>
      </c>
      <c r="G31" s="83">
        <v>543000</v>
      </c>
      <c r="H31" s="84"/>
      <c r="I31" s="80"/>
      <c r="J31" s="81" t="s">
        <v>21</v>
      </c>
      <c r="K31" s="82">
        <v>150000</v>
      </c>
      <c r="L31" s="82">
        <v>27000</v>
      </c>
      <c r="M31" s="82">
        <v>206000</v>
      </c>
      <c r="N31" s="83">
        <v>-5000</v>
      </c>
    </row>
    <row r="32" spans="2:14" ht="12.75">
      <c r="B32" s="80"/>
      <c r="C32" s="81"/>
      <c r="D32" s="81"/>
      <c r="E32" s="81"/>
      <c r="F32" s="84"/>
      <c r="G32" s="84"/>
      <c r="H32" s="84"/>
      <c r="I32" s="80"/>
      <c r="J32" s="81"/>
      <c r="K32" s="81"/>
      <c r="L32" s="81"/>
      <c r="M32" s="81"/>
      <c r="N32" s="84"/>
    </row>
    <row r="33" spans="2:14" ht="12.75">
      <c r="B33" s="80"/>
      <c r="C33" s="81" t="s">
        <v>22</v>
      </c>
      <c r="D33" s="81"/>
      <c r="E33" s="81"/>
      <c r="F33" s="84"/>
      <c r="G33" s="84"/>
      <c r="H33" s="84"/>
      <c r="I33" s="80"/>
      <c r="J33" s="81" t="s">
        <v>22</v>
      </c>
      <c r="K33" s="81"/>
      <c r="L33" s="81"/>
      <c r="M33" s="81"/>
      <c r="N33" s="84"/>
    </row>
    <row r="34" spans="2:14" ht="12.75">
      <c r="B34" s="80"/>
      <c r="C34" s="81" t="s">
        <v>23</v>
      </c>
      <c r="D34" s="82">
        <v>167000</v>
      </c>
      <c r="E34" s="82">
        <v>74000</v>
      </c>
      <c r="F34" s="83">
        <v>75000</v>
      </c>
      <c r="G34" s="83">
        <v>-1000</v>
      </c>
      <c r="H34" s="84"/>
      <c r="I34" s="80"/>
      <c r="J34" s="81" t="s">
        <v>23</v>
      </c>
      <c r="K34" s="82">
        <v>-19000</v>
      </c>
      <c r="L34" s="82">
        <v>-1000</v>
      </c>
      <c r="M34" s="82">
        <v>133000</v>
      </c>
      <c r="N34" s="83">
        <v>-1000</v>
      </c>
    </row>
    <row r="35" spans="2:14" ht="12.75">
      <c r="B35" s="80"/>
      <c r="C35" s="81" t="s">
        <v>24</v>
      </c>
      <c r="D35" s="81"/>
      <c r="E35" s="81"/>
      <c r="F35" s="84"/>
      <c r="G35" s="84">
        <v>0</v>
      </c>
      <c r="H35" s="84"/>
      <c r="I35" s="80"/>
      <c r="J35" s="81" t="s">
        <v>24</v>
      </c>
      <c r="K35" s="81"/>
      <c r="L35" s="81"/>
      <c r="M35" s="81"/>
      <c r="N35" s="84"/>
    </row>
    <row r="36" spans="2:14" ht="12.75">
      <c r="B36" s="80"/>
      <c r="C36" s="81" t="s">
        <v>25</v>
      </c>
      <c r="D36" s="82"/>
      <c r="E36" s="82"/>
      <c r="F36" s="83"/>
      <c r="G36" s="83">
        <v>0</v>
      </c>
      <c r="H36" s="84"/>
      <c r="I36" s="80"/>
      <c r="J36" s="81" t="s">
        <v>25</v>
      </c>
      <c r="K36" s="81"/>
      <c r="L36" s="81"/>
      <c r="M36" s="82"/>
      <c r="N36" s="83"/>
    </row>
    <row r="37" spans="2:14" ht="12.75">
      <c r="B37" s="80"/>
      <c r="C37" s="81" t="s">
        <v>26</v>
      </c>
      <c r="D37" s="81"/>
      <c r="E37" s="81"/>
      <c r="F37" s="84"/>
      <c r="G37" s="84">
        <v>0</v>
      </c>
      <c r="H37" s="84"/>
      <c r="I37" s="80"/>
      <c r="J37" s="81" t="s">
        <v>26</v>
      </c>
      <c r="K37" s="81"/>
      <c r="L37" s="81"/>
      <c r="M37" s="81"/>
      <c r="N37" s="84"/>
    </row>
    <row r="38" spans="2:14" ht="12.75">
      <c r="B38" s="80"/>
      <c r="C38" s="81"/>
      <c r="D38" s="81"/>
      <c r="E38" s="81"/>
      <c r="F38" s="84"/>
      <c r="G38" s="84"/>
      <c r="H38" s="84"/>
      <c r="I38" s="80"/>
      <c r="J38" s="81"/>
      <c r="K38" s="81"/>
      <c r="L38" s="81"/>
      <c r="M38" s="81"/>
      <c r="N38" s="84"/>
    </row>
    <row r="39" spans="2:14" ht="12.75">
      <c r="B39" s="80"/>
      <c r="C39" s="81"/>
      <c r="D39" s="81"/>
      <c r="E39" s="81"/>
      <c r="F39" s="84"/>
      <c r="G39" s="84"/>
      <c r="H39" s="84"/>
      <c r="I39" s="80"/>
      <c r="J39" s="81"/>
      <c r="K39" s="81"/>
      <c r="L39" s="81"/>
      <c r="M39" s="81"/>
      <c r="N39" s="84"/>
    </row>
    <row r="40" spans="2:14" ht="12.75">
      <c r="B40" s="80" t="s">
        <v>295</v>
      </c>
      <c r="C40" s="81"/>
      <c r="D40" s="82">
        <v>477000</v>
      </c>
      <c r="E40" s="82">
        <v>73000</v>
      </c>
      <c r="F40" s="83">
        <v>329000</v>
      </c>
      <c r="G40" s="83">
        <v>542000</v>
      </c>
      <c r="H40" s="84"/>
      <c r="I40" s="80" t="s">
        <v>295</v>
      </c>
      <c r="J40" s="81"/>
      <c r="K40" s="82">
        <v>131000</v>
      </c>
      <c r="L40" s="82">
        <v>28000</v>
      </c>
      <c r="M40" s="82">
        <v>339000</v>
      </c>
      <c r="N40" s="83">
        <v>-6000</v>
      </c>
    </row>
    <row r="41" spans="2:14" ht="12.75">
      <c r="B41" s="80" t="s">
        <v>28</v>
      </c>
      <c r="C41" s="81"/>
      <c r="D41" s="81"/>
      <c r="E41" s="81"/>
      <c r="F41" s="84"/>
      <c r="G41" s="84">
        <v>0</v>
      </c>
      <c r="H41" s="84"/>
      <c r="I41" s="80" t="s">
        <v>28</v>
      </c>
      <c r="J41" s="81"/>
      <c r="K41" s="82"/>
      <c r="L41" s="82"/>
      <c r="M41" s="82"/>
      <c r="N41" s="83"/>
    </row>
    <row r="42" spans="2:14" ht="12.75">
      <c r="B42" s="80"/>
      <c r="C42" s="81"/>
      <c r="D42" s="81"/>
      <c r="E42" s="81"/>
      <c r="F42" s="84"/>
      <c r="G42" s="84"/>
      <c r="H42" s="84"/>
      <c r="I42" s="80"/>
      <c r="J42" s="81"/>
      <c r="K42" s="81"/>
      <c r="L42" s="81"/>
      <c r="M42" s="81"/>
      <c r="N42" s="84"/>
    </row>
    <row r="43" spans="2:14" ht="13.5" thickBot="1">
      <c r="B43" s="85" t="s">
        <v>296</v>
      </c>
      <c r="C43" s="86"/>
      <c r="D43" s="87">
        <v>477000</v>
      </c>
      <c r="E43" s="87">
        <v>73000</v>
      </c>
      <c r="F43" s="88">
        <v>329000</v>
      </c>
      <c r="G43" s="88">
        <v>542000</v>
      </c>
      <c r="H43" s="84"/>
      <c r="I43" s="85" t="s">
        <v>296</v>
      </c>
      <c r="J43" s="86"/>
      <c r="K43" s="87">
        <v>131000</v>
      </c>
      <c r="L43" s="87">
        <v>28000</v>
      </c>
      <c r="M43" s="87">
        <v>339000</v>
      </c>
      <c r="N43" s="88">
        <v>-6000</v>
      </c>
    </row>
    <row r="45" ht="13.5" thickBot="1">
      <c r="B45" s="2" t="s">
        <v>120</v>
      </c>
    </row>
    <row r="46" spans="2:14" ht="12.75">
      <c r="B46" s="78" t="s">
        <v>290</v>
      </c>
      <c r="C46" s="79"/>
      <c r="D46" s="95">
        <v>40543</v>
      </c>
      <c r="E46" s="95">
        <v>40178</v>
      </c>
      <c r="F46" s="96">
        <v>39813</v>
      </c>
      <c r="G46" s="96">
        <v>39447</v>
      </c>
      <c r="I46" s="78" t="s">
        <v>290</v>
      </c>
      <c r="J46" s="79"/>
      <c r="K46" s="95">
        <v>40724</v>
      </c>
      <c r="L46" s="95">
        <v>40633</v>
      </c>
      <c r="M46" s="95">
        <v>40543</v>
      </c>
      <c r="N46" s="96">
        <v>40451</v>
      </c>
    </row>
    <row r="47" spans="2:14" ht="12.75">
      <c r="B47" s="80"/>
      <c r="C47" s="81"/>
      <c r="D47" s="81"/>
      <c r="E47" s="81"/>
      <c r="F47" s="84"/>
      <c r="G47" s="84"/>
      <c r="I47" s="80"/>
      <c r="J47" s="81"/>
      <c r="K47" s="81"/>
      <c r="L47" s="81"/>
      <c r="M47" s="81"/>
      <c r="N47" s="84"/>
    </row>
    <row r="48" spans="2:14" ht="12.75">
      <c r="B48" s="80" t="s">
        <v>31</v>
      </c>
      <c r="C48" s="81"/>
      <c r="D48" s="81"/>
      <c r="E48" s="81"/>
      <c r="F48" s="84"/>
      <c r="G48" s="84"/>
      <c r="I48" s="80" t="s">
        <v>31</v>
      </c>
      <c r="J48" s="81"/>
      <c r="K48" s="81"/>
      <c r="L48" s="81"/>
      <c r="M48" s="81"/>
      <c r="N48" s="84"/>
    </row>
    <row r="49" spans="2:14" ht="12.75">
      <c r="B49" s="80" t="s">
        <v>32</v>
      </c>
      <c r="C49" s="81"/>
      <c r="D49" s="81"/>
      <c r="E49" s="81"/>
      <c r="F49" s="84"/>
      <c r="G49" s="84"/>
      <c r="I49" s="80" t="s">
        <v>32</v>
      </c>
      <c r="J49" s="81"/>
      <c r="K49" s="81"/>
      <c r="L49" s="81"/>
      <c r="M49" s="81"/>
      <c r="N49" s="84"/>
    </row>
    <row r="50" spans="2:14" ht="12.75">
      <c r="B50" s="80"/>
      <c r="C50" s="81" t="s">
        <v>33</v>
      </c>
      <c r="D50" s="82">
        <v>806000</v>
      </c>
      <c r="E50" s="82">
        <v>134000</v>
      </c>
      <c r="F50" s="83">
        <v>485000</v>
      </c>
      <c r="G50" s="83">
        <v>358000</v>
      </c>
      <c r="I50" s="80"/>
      <c r="J50" s="81" t="s">
        <v>33</v>
      </c>
      <c r="K50" s="82">
        <v>1077000</v>
      </c>
      <c r="L50" s="82">
        <v>748000</v>
      </c>
      <c r="M50" s="82">
        <v>806000</v>
      </c>
      <c r="N50" s="83">
        <v>418000</v>
      </c>
    </row>
    <row r="51" spans="2:14" ht="12.75">
      <c r="B51" s="80"/>
      <c r="C51" s="81" t="s">
        <v>34</v>
      </c>
      <c r="D51" s="81" t="s">
        <v>293</v>
      </c>
      <c r="E51" s="81" t="s">
        <v>293</v>
      </c>
      <c r="F51" s="84" t="s">
        <v>293</v>
      </c>
      <c r="G51" s="84">
        <v>0</v>
      </c>
      <c r="I51" s="80"/>
      <c r="J51" s="81" t="s">
        <v>34</v>
      </c>
      <c r="K51" s="81"/>
      <c r="L51" s="81"/>
      <c r="M51" s="81"/>
      <c r="N51" s="84"/>
    </row>
    <row r="52" spans="2:14" ht="12.75">
      <c r="B52" s="80"/>
      <c r="C52" s="81" t="s">
        <v>35</v>
      </c>
      <c r="D52" s="82">
        <v>572000</v>
      </c>
      <c r="E52" s="82">
        <v>445000</v>
      </c>
      <c r="F52" s="83">
        <v>552000</v>
      </c>
      <c r="G52" s="83">
        <v>616000</v>
      </c>
      <c r="I52" s="80"/>
      <c r="J52" s="81" t="s">
        <v>35</v>
      </c>
      <c r="K52" s="82">
        <v>640000</v>
      </c>
      <c r="L52" s="82">
        <v>616000</v>
      </c>
      <c r="M52" s="82">
        <v>572000</v>
      </c>
      <c r="N52" s="83">
        <v>568000</v>
      </c>
    </row>
    <row r="53" spans="2:14" ht="12.75">
      <c r="B53" s="80"/>
      <c r="C53" s="81" t="s">
        <v>36</v>
      </c>
      <c r="D53" s="82">
        <v>802000</v>
      </c>
      <c r="E53" s="82">
        <v>783000</v>
      </c>
      <c r="F53" s="83">
        <v>986000</v>
      </c>
      <c r="G53" s="83">
        <v>714000</v>
      </c>
      <c r="I53" s="80"/>
      <c r="J53" s="81" t="s">
        <v>36</v>
      </c>
      <c r="K53" s="82">
        <v>848000</v>
      </c>
      <c r="L53" s="82">
        <v>819000</v>
      </c>
      <c r="M53" s="82">
        <v>802000</v>
      </c>
      <c r="N53" s="83">
        <v>778000</v>
      </c>
    </row>
    <row r="54" spans="2:14" ht="12.75">
      <c r="B54" s="80"/>
      <c r="C54" s="81" t="s">
        <v>37</v>
      </c>
      <c r="D54" s="82">
        <v>126000</v>
      </c>
      <c r="E54" s="82">
        <v>127000</v>
      </c>
      <c r="F54" s="83">
        <v>143000</v>
      </c>
      <c r="G54" s="83">
        <v>136000</v>
      </c>
      <c r="I54" s="80"/>
      <c r="J54" s="81" t="s">
        <v>37</v>
      </c>
      <c r="K54" s="82">
        <v>185000</v>
      </c>
      <c r="L54" s="82">
        <v>176000</v>
      </c>
      <c r="M54" s="82">
        <v>126000</v>
      </c>
      <c r="N54" s="83">
        <v>159000</v>
      </c>
    </row>
    <row r="55" spans="2:14" ht="12.75">
      <c r="B55" s="80"/>
      <c r="C55" s="81"/>
      <c r="D55" s="81"/>
      <c r="E55" s="81"/>
      <c r="F55" s="84"/>
      <c r="G55" s="84"/>
      <c r="I55" s="80"/>
      <c r="J55" s="81"/>
      <c r="K55" s="81"/>
      <c r="L55" s="81"/>
      <c r="M55" s="81"/>
      <c r="N55" s="84"/>
    </row>
    <row r="56" spans="2:14" ht="12.75">
      <c r="B56" s="80" t="s">
        <v>297</v>
      </c>
      <c r="C56" s="81"/>
      <c r="D56" s="82">
        <v>2306000</v>
      </c>
      <c r="E56" s="82">
        <v>1489000</v>
      </c>
      <c r="F56" s="83">
        <v>2166000</v>
      </c>
      <c r="G56" s="83">
        <v>1824000</v>
      </c>
      <c r="I56" s="80" t="s">
        <v>297</v>
      </c>
      <c r="J56" s="81"/>
      <c r="K56" s="82">
        <v>2750000</v>
      </c>
      <c r="L56" s="82">
        <v>2359000</v>
      </c>
      <c r="M56" s="82">
        <v>2306000</v>
      </c>
      <c r="N56" s="83">
        <v>1923000</v>
      </c>
    </row>
    <row r="57" spans="2:14" ht="12.75">
      <c r="B57" s="80" t="s">
        <v>39</v>
      </c>
      <c r="C57" s="81"/>
      <c r="D57" s="82">
        <v>720000</v>
      </c>
      <c r="E57" s="82">
        <v>368000</v>
      </c>
      <c r="F57" s="83">
        <v>848000</v>
      </c>
      <c r="G57" s="83">
        <v>837000</v>
      </c>
      <c r="I57" s="80" t="s">
        <v>39</v>
      </c>
      <c r="J57" s="81"/>
      <c r="K57" s="82">
        <v>645000</v>
      </c>
      <c r="L57" s="82">
        <v>672000</v>
      </c>
      <c r="M57" s="82">
        <v>720000</v>
      </c>
      <c r="N57" s="83">
        <v>753000</v>
      </c>
    </row>
    <row r="58" spans="2:14" ht="12.75">
      <c r="B58" s="80" t="s">
        <v>40</v>
      </c>
      <c r="C58" s="81"/>
      <c r="D58" s="82">
        <v>3323000</v>
      </c>
      <c r="E58" s="82">
        <v>3421000</v>
      </c>
      <c r="F58" s="83">
        <v>3609000</v>
      </c>
      <c r="G58" s="83">
        <v>3850000</v>
      </c>
      <c r="I58" s="80" t="s">
        <v>40</v>
      </c>
      <c r="J58" s="81"/>
      <c r="K58" s="82">
        <v>3129000</v>
      </c>
      <c r="L58" s="82">
        <v>3373000</v>
      </c>
      <c r="M58" s="82">
        <v>3323000</v>
      </c>
      <c r="N58" s="83">
        <v>3262000</v>
      </c>
    </row>
    <row r="59" spans="2:14" ht="12.75">
      <c r="B59" s="80" t="s">
        <v>41</v>
      </c>
      <c r="C59" s="81"/>
      <c r="D59" s="82" t="s">
        <v>293</v>
      </c>
      <c r="E59" s="82" t="s">
        <v>293</v>
      </c>
      <c r="F59" s="83">
        <v>1639000</v>
      </c>
      <c r="G59" s="83">
        <v>2302000</v>
      </c>
      <c r="I59" s="80" t="s">
        <v>41</v>
      </c>
      <c r="J59" s="81"/>
      <c r="K59" s="82"/>
      <c r="L59" s="82"/>
      <c r="M59" s="82"/>
      <c r="N59" s="83"/>
    </row>
    <row r="60" spans="2:14" ht="12.75">
      <c r="B60" s="80" t="s">
        <v>42</v>
      </c>
      <c r="C60" s="81"/>
      <c r="D60" s="82">
        <v>2067000</v>
      </c>
      <c r="E60" s="82">
        <v>2063000</v>
      </c>
      <c r="F60" s="83">
        <v>596000</v>
      </c>
      <c r="G60" s="83">
        <v>0</v>
      </c>
      <c r="I60" s="80" t="s">
        <v>42</v>
      </c>
      <c r="J60" s="81"/>
      <c r="K60" s="82">
        <v>2047000</v>
      </c>
      <c r="L60" s="82">
        <v>2068000</v>
      </c>
      <c r="M60" s="82">
        <v>2067000</v>
      </c>
      <c r="N60" s="83">
        <v>2067000</v>
      </c>
    </row>
    <row r="61" spans="2:14" ht="12.75">
      <c r="B61" s="80" t="s">
        <v>43</v>
      </c>
      <c r="C61" s="81"/>
      <c r="D61" s="81" t="s">
        <v>293</v>
      </c>
      <c r="E61" s="81" t="s">
        <v>293</v>
      </c>
      <c r="F61" s="84" t="s">
        <v>293</v>
      </c>
      <c r="G61" s="84">
        <v>0</v>
      </c>
      <c r="I61" s="80" t="s">
        <v>43</v>
      </c>
      <c r="J61" s="81"/>
      <c r="K61" s="81"/>
      <c r="L61" s="81"/>
      <c r="M61" s="81"/>
      <c r="N61" s="84"/>
    </row>
    <row r="62" spans="2:14" ht="12.75">
      <c r="B62" s="80" t="s">
        <v>44</v>
      </c>
      <c r="C62" s="81"/>
      <c r="D62" s="82">
        <v>381000</v>
      </c>
      <c r="E62" s="82">
        <v>438000</v>
      </c>
      <c r="F62" s="83">
        <v>206000</v>
      </c>
      <c r="G62" s="83">
        <v>80000</v>
      </c>
      <c r="I62" s="80" t="s">
        <v>44</v>
      </c>
      <c r="J62" s="81"/>
      <c r="K62" s="82">
        <v>440000</v>
      </c>
      <c r="L62" s="82">
        <v>399000</v>
      </c>
      <c r="M62" s="82">
        <v>381000</v>
      </c>
      <c r="N62" s="83">
        <v>409000</v>
      </c>
    </row>
    <row r="63" spans="2:14" ht="12.75">
      <c r="B63" s="80" t="s">
        <v>45</v>
      </c>
      <c r="C63" s="81"/>
      <c r="D63" s="82">
        <v>979000</v>
      </c>
      <c r="E63" s="82">
        <v>982000</v>
      </c>
      <c r="F63" s="83">
        <v>639000</v>
      </c>
      <c r="G63" s="83">
        <v>729000</v>
      </c>
      <c r="I63" s="80" t="s">
        <v>45</v>
      </c>
      <c r="J63" s="81"/>
      <c r="K63" s="82">
        <v>988000</v>
      </c>
      <c r="L63" s="82">
        <v>988000</v>
      </c>
      <c r="M63" s="82">
        <v>979000</v>
      </c>
      <c r="N63" s="83">
        <v>988000</v>
      </c>
    </row>
    <row r="64" spans="2:14" ht="12.75">
      <c r="B64" s="80"/>
      <c r="C64" s="81"/>
      <c r="D64" s="81"/>
      <c r="E64" s="81"/>
      <c r="F64" s="84"/>
      <c r="G64" s="84"/>
      <c r="I64" s="80"/>
      <c r="J64" s="81"/>
      <c r="K64" s="81"/>
      <c r="L64" s="81"/>
      <c r="M64" s="81"/>
      <c r="N64" s="84"/>
    </row>
    <row r="65" spans="2:14" ht="12.75">
      <c r="B65" s="80" t="s">
        <v>298</v>
      </c>
      <c r="C65" s="81"/>
      <c r="D65" s="82">
        <v>9776000</v>
      </c>
      <c r="E65" s="82">
        <v>8761000</v>
      </c>
      <c r="F65" s="83">
        <v>9703000</v>
      </c>
      <c r="G65" s="83">
        <v>9622000</v>
      </c>
      <c r="I65" s="80" t="s">
        <v>298</v>
      </c>
      <c r="J65" s="81"/>
      <c r="K65" s="82">
        <v>9999000</v>
      </c>
      <c r="L65" s="82">
        <v>9859000</v>
      </c>
      <c r="M65" s="82">
        <v>9776000</v>
      </c>
      <c r="N65" s="83">
        <v>9402000</v>
      </c>
    </row>
    <row r="66" spans="2:14" ht="12.75">
      <c r="B66" s="80"/>
      <c r="C66" s="81"/>
      <c r="D66" s="81"/>
      <c r="E66" s="81"/>
      <c r="F66" s="84"/>
      <c r="G66" s="84"/>
      <c r="I66" s="80"/>
      <c r="J66" s="81"/>
      <c r="K66" s="81"/>
      <c r="L66" s="81"/>
      <c r="M66" s="81"/>
      <c r="N66" s="84"/>
    </row>
    <row r="67" spans="2:14" ht="12.75">
      <c r="B67" s="80" t="s">
        <v>47</v>
      </c>
      <c r="C67" s="81"/>
      <c r="D67" s="81"/>
      <c r="E67" s="81"/>
      <c r="F67" s="84"/>
      <c r="G67" s="84"/>
      <c r="I67" s="80" t="s">
        <v>47</v>
      </c>
      <c r="J67" s="81"/>
      <c r="K67" s="81"/>
      <c r="L67" s="81"/>
      <c r="M67" s="81"/>
      <c r="N67" s="84"/>
    </row>
    <row r="68" spans="2:14" ht="12.75">
      <c r="B68" s="80" t="s">
        <v>48</v>
      </c>
      <c r="C68" s="81"/>
      <c r="D68" s="81"/>
      <c r="E68" s="81"/>
      <c r="F68" s="84"/>
      <c r="G68" s="84"/>
      <c r="I68" s="80" t="s">
        <v>48</v>
      </c>
      <c r="J68" s="81"/>
      <c r="K68" s="81"/>
      <c r="L68" s="81"/>
      <c r="M68" s="81"/>
      <c r="N68" s="84"/>
    </row>
    <row r="69" spans="2:14" ht="12.75">
      <c r="B69" s="80"/>
      <c r="C69" s="81" t="s">
        <v>49</v>
      </c>
      <c r="D69" s="82">
        <v>2025000</v>
      </c>
      <c r="E69" s="82">
        <v>2022000</v>
      </c>
      <c r="F69" s="83">
        <v>2182000</v>
      </c>
      <c r="G69" s="83">
        <v>2096000</v>
      </c>
      <c r="I69" s="80"/>
      <c r="J69" s="81" t="s">
        <v>49</v>
      </c>
      <c r="K69" s="82">
        <v>2009000</v>
      </c>
      <c r="L69" s="82">
        <v>1993000</v>
      </c>
      <c r="M69" s="82">
        <v>2025000</v>
      </c>
      <c r="N69" s="83">
        <v>2041000</v>
      </c>
    </row>
    <row r="70" spans="2:14" ht="12.75">
      <c r="B70" s="80"/>
      <c r="C70" s="81" t="s">
        <v>50</v>
      </c>
      <c r="D70" s="82">
        <v>136000</v>
      </c>
      <c r="E70" s="82">
        <v>5000</v>
      </c>
      <c r="F70" s="83">
        <v>506000</v>
      </c>
      <c r="G70" s="83">
        <v>5000</v>
      </c>
      <c r="I70" s="80"/>
      <c r="J70" s="81" t="s">
        <v>50</v>
      </c>
      <c r="K70" s="82">
        <v>733000</v>
      </c>
      <c r="L70" s="82">
        <v>134000</v>
      </c>
      <c r="M70" s="82">
        <v>136000</v>
      </c>
      <c r="N70" s="83">
        <v>141000</v>
      </c>
    </row>
    <row r="71" spans="2:14" ht="12.75">
      <c r="B71" s="80"/>
      <c r="C71" s="81" t="s">
        <v>51</v>
      </c>
      <c r="D71" s="81"/>
      <c r="E71" s="81"/>
      <c r="F71" s="84"/>
      <c r="G71" s="84">
        <v>0</v>
      </c>
      <c r="I71" s="80"/>
      <c r="J71" s="81" t="s">
        <v>51</v>
      </c>
      <c r="K71" s="81"/>
      <c r="L71" s="81"/>
      <c r="M71" s="81"/>
      <c r="N71" s="84"/>
    </row>
    <row r="72" spans="2:14" ht="12.75">
      <c r="B72" s="80"/>
      <c r="C72" s="81"/>
      <c r="D72" s="81"/>
      <c r="E72" s="81"/>
      <c r="F72" s="84"/>
      <c r="G72" s="84"/>
      <c r="I72" s="80"/>
      <c r="J72" s="81"/>
      <c r="K72" s="81"/>
      <c r="L72" s="81"/>
      <c r="M72" s="81"/>
      <c r="N72" s="84"/>
    </row>
    <row r="73" spans="2:14" ht="12.75">
      <c r="B73" s="80" t="s">
        <v>299</v>
      </c>
      <c r="C73" s="81"/>
      <c r="D73" s="82">
        <v>2161000</v>
      </c>
      <c r="E73" s="82">
        <v>2027000</v>
      </c>
      <c r="F73" s="83">
        <v>2688000</v>
      </c>
      <c r="G73" s="83">
        <v>2101000</v>
      </c>
      <c r="I73" s="80" t="s">
        <v>299</v>
      </c>
      <c r="J73" s="81"/>
      <c r="K73" s="82">
        <v>2742000</v>
      </c>
      <c r="L73" s="82">
        <v>2127000</v>
      </c>
      <c r="M73" s="82">
        <v>2161000</v>
      </c>
      <c r="N73" s="83">
        <v>2182000</v>
      </c>
    </row>
    <row r="74" spans="2:14" ht="12.75">
      <c r="B74" s="80" t="s">
        <v>53</v>
      </c>
      <c r="C74" s="81"/>
      <c r="D74" s="82">
        <v>3215000</v>
      </c>
      <c r="E74" s="82">
        <v>2955000</v>
      </c>
      <c r="F74" s="83">
        <v>3502000</v>
      </c>
      <c r="G74" s="83">
        <v>3590000</v>
      </c>
      <c r="I74" s="80" t="s">
        <v>53</v>
      </c>
      <c r="J74" s="81"/>
      <c r="K74" s="82">
        <v>2489000</v>
      </c>
      <c r="L74" s="82">
        <v>3178000</v>
      </c>
      <c r="M74" s="82">
        <v>3215000</v>
      </c>
      <c r="N74" s="83">
        <v>3251000</v>
      </c>
    </row>
    <row r="75" spans="2:14" ht="12.75">
      <c r="B75" s="80" t="s">
        <v>54</v>
      </c>
      <c r="C75" s="81"/>
      <c r="D75" s="82">
        <v>1886000</v>
      </c>
      <c r="E75" s="82">
        <v>1903000</v>
      </c>
      <c r="F75" s="83">
        <v>719000</v>
      </c>
      <c r="G75" s="83">
        <v>1801000</v>
      </c>
      <c r="I75" s="80" t="s">
        <v>54</v>
      </c>
      <c r="J75" s="81"/>
      <c r="K75" s="82">
        <v>1935000</v>
      </c>
      <c r="L75" s="82">
        <v>1905000</v>
      </c>
      <c r="M75" s="82">
        <v>1886000</v>
      </c>
      <c r="N75" s="83">
        <v>1861000</v>
      </c>
    </row>
    <row r="76" spans="2:14" ht="12.75">
      <c r="B76" s="80" t="s">
        <v>55</v>
      </c>
      <c r="C76" s="81"/>
      <c r="D76" s="82">
        <v>28000</v>
      </c>
      <c r="E76" s="82">
        <v>31000</v>
      </c>
      <c r="F76" s="83">
        <v>1150000</v>
      </c>
      <c r="G76" s="83">
        <v>28000</v>
      </c>
      <c r="I76" s="80" t="s">
        <v>55</v>
      </c>
      <c r="J76" s="81"/>
      <c r="K76" s="82">
        <v>30000</v>
      </c>
      <c r="L76" s="82">
        <v>29000</v>
      </c>
      <c r="M76" s="82">
        <v>28000</v>
      </c>
      <c r="N76" s="83">
        <v>33000</v>
      </c>
    </row>
    <row r="77" spans="2:14" ht="12.75">
      <c r="B77" s="80" t="s">
        <v>20</v>
      </c>
      <c r="C77" s="81"/>
      <c r="D77" s="82">
        <v>15000</v>
      </c>
      <c r="E77" s="82">
        <v>21000</v>
      </c>
      <c r="F77" s="83">
        <v>23000</v>
      </c>
      <c r="G77" s="83">
        <v>26000</v>
      </c>
      <c r="I77" s="80" t="s">
        <v>20</v>
      </c>
      <c r="J77" s="81"/>
      <c r="K77" s="82">
        <v>1000</v>
      </c>
      <c r="L77" s="82">
        <v>14000</v>
      </c>
      <c r="M77" s="82">
        <v>15000</v>
      </c>
      <c r="N77" s="83">
        <v>16000</v>
      </c>
    </row>
    <row r="78" spans="2:14" ht="12.75">
      <c r="B78" s="80" t="s">
        <v>56</v>
      </c>
      <c r="C78" s="81"/>
      <c r="D78" s="81"/>
      <c r="E78" s="81"/>
      <c r="F78" s="84"/>
      <c r="G78" s="84">
        <v>0</v>
      </c>
      <c r="I78" s="80" t="s">
        <v>56</v>
      </c>
      <c r="J78" s="81"/>
      <c r="K78" s="81"/>
      <c r="L78" s="81"/>
      <c r="M78" s="81"/>
      <c r="N78" s="84"/>
    </row>
    <row r="79" spans="2:14" ht="12.75">
      <c r="B79" s="80"/>
      <c r="C79" s="81"/>
      <c r="D79" s="81"/>
      <c r="E79" s="81"/>
      <c r="F79" s="84"/>
      <c r="G79" s="84"/>
      <c r="I79" s="80"/>
      <c r="J79" s="81"/>
      <c r="K79" s="81"/>
      <c r="L79" s="81"/>
      <c r="M79" s="81"/>
      <c r="N79" s="84"/>
    </row>
    <row r="80" spans="2:14" ht="12.75">
      <c r="B80" s="80" t="s">
        <v>300</v>
      </c>
      <c r="C80" s="81"/>
      <c r="D80" s="82">
        <v>7305000</v>
      </c>
      <c r="E80" s="82">
        <v>6937000</v>
      </c>
      <c r="F80" s="83">
        <v>8082000</v>
      </c>
      <c r="G80" s="83">
        <v>7546000</v>
      </c>
      <c r="I80" s="80" t="s">
        <v>300</v>
      </c>
      <c r="J80" s="81"/>
      <c r="K80" s="82">
        <v>7197000</v>
      </c>
      <c r="L80" s="82">
        <v>7253000</v>
      </c>
      <c r="M80" s="82">
        <v>7305000</v>
      </c>
      <c r="N80" s="83">
        <v>7343000</v>
      </c>
    </row>
    <row r="81" spans="2:14" ht="12.75">
      <c r="B81" s="80"/>
      <c r="C81" s="81"/>
      <c r="D81" s="81"/>
      <c r="E81" s="81"/>
      <c r="F81" s="84"/>
      <c r="G81" s="84"/>
      <c r="I81" s="80"/>
      <c r="J81" s="81"/>
      <c r="K81" s="81"/>
      <c r="L81" s="81"/>
      <c r="M81" s="81"/>
      <c r="N81" s="84"/>
    </row>
    <row r="82" spans="2:14" ht="12.75">
      <c r="B82" s="80" t="s">
        <v>301</v>
      </c>
      <c r="C82" s="81"/>
      <c r="D82" s="81"/>
      <c r="E82" s="81"/>
      <c r="F82" s="84"/>
      <c r="G82" s="84"/>
      <c r="I82" s="80" t="s">
        <v>301</v>
      </c>
      <c r="J82" s="81"/>
      <c r="K82" s="81"/>
      <c r="L82" s="81"/>
      <c r="M82" s="81"/>
      <c r="N82" s="84"/>
    </row>
    <row r="83" spans="2:14" ht="12.75">
      <c r="B83" s="80" t="s">
        <v>116</v>
      </c>
      <c r="C83" s="81"/>
      <c r="D83" s="81"/>
      <c r="E83" s="81"/>
      <c r="F83" s="84"/>
      <c r="G83" s="84">
        <v>0</v>
      </c>
      <c r="I83" s="80" t="s">
        <v>116</v>
      </c>
      <c r="J83" s="81"/>
      <c r="K83" s="81"/>
      <c r="L83" s="81"/>
      <c r="M83" s="81"/>
      <c r="N83" s="84"/>
    </row>
    <row r="84" spans="2:14" ht="12.75">
      <c r="B84" s="80" t="s">
        <v>59</v>
      </c>
      <c r="C84" s="81"/>
      <c r="D84" s="81"/>
      <c r="E84" s="81"/>
      <c r="F84" s="84"/>
      <c r="G84" s="84">
        <v>0</v>
      </c>
      <c r="I84" s="80" t="s">
        <v>59</v>
      </c>
      <c r="J84" s="81"/>
      <c r="K84" s="81"/>
      <c r="L84" s="81"/>
      <c r="M84" s="81"/>
      <c r="N84" s="84"/>
    </row>
    <row r="85" spans="2:14" ht="12.75">
      <c r="B85" s="80" t="s">
        <v>60</v>
      </c>
      <c r="C85" s="81"/>
      <c r="D85" s="81"/>
      <c r="E85" s="81"/>
      <c r="F85" s="84"/>
      <c r="G85" s="84">
        <v>0</v>
      </c>
      <c r="I85" s="80" t="s">
        <v>60</v>
      </c>
      <c r="J85" s="81"/>
      <c r="K85" s="81"/>
      <c r="L85" s="81"/>
      <c r="M85" s="81"/>
      <c r="N85" s="84"/>
    </row>
    <row r="86" spans="2:14" ht="12.75">
      <c r="B86" s="80" t="s">
        <v>61</v>
      </c>
      <c r="C86" s="81"/>
      <c r="D86" s="82">
        <v>2000</v>
      </c>
      <c r="E86" s="82">
        <v>2000</v>
      </c>
      <c r="F86" s="83">
        <v>2000</v>
      </c>
      <c r="G86" s="83">
        <v>2000</v>
      </c>
      <c r="I86" s="80" t="s">
        <v>61</v>
      </c>
      <c r="J86" s="81"/>
      <c r="K86" s="82">
        <v>2000</v>
      </c>
      <c r="L86" s="82">
        <v>2000</v>
      </c>
      <c r="M86" s="82">
        <v>2000</v>
      </c>
      <c r="N86" s="83">
        <v>2000</v>
      </c>
    </row>
    <row r="87" spans="2:14" ht="12.75">
      <c r="B87" s="80" t="s">
        <v>62</v>
      </c>
      <c r="C87" s="81"/>
      <c r="D87" s="82">
        <v>1947000</v>
      </c>
      <c r="E87" s="82">
        <v>1553000</v>
      </c>
      <c r="F87" s="83">
        <v>1517000</v>
      </c>
      <c r="G87" s="83">
        <v>1353000</v>
      </c>
      <c r="I87" s="80" t="s">
        <v>62</v>
      </c>
      <c r="J87" s="81"/>
      <c r="K87" s="82">
        <v>2106000</v>
      </c>
      <c r="L87" s="82">
        <v>1975000</v>
      </c>
      <c r="M87" s="82">
        <v>1947000</v>
      </c>
      <c r="N87" s="83">
        <v>1665000</v>
      </c>
    </row>
    <row r="88" spans="2:14" ht="12.75">
      <c r="B88" s="80" t="s">
        <v>63</v>
      </c>
      <c r="C88" s="81"/>
      <c r="D88" s="81"/>
      <c r="E88" s="81"/>
      <c r="F88" s="84"/>
      <c r="G88" s="84">
        <v>0</v>
      </c>
      <c r="I88" s="80" t="s">
        <v>63</v>
      </c>
      <c r="J88" s="81"/>
      <c r="K88" s="81"/>
      <c r="L88" s="81"/>
      <c r="M88" s="81"/>
      <c r="N88" s="84"/>
    </row>
    <row r="89" spans="2:14" ht="12.75">
      <c r="B89" s="80" t="s">
        <v>64</v>
      </c>
      <c r="C89" s="81"/>
      <c r="D89" s="82">
        <v>805000</v>
      </c>
      <c r="E89" s="82">
        <v>552000</v>
      </c>
      <c r="F89" s="83">
        <v>493000</v>
      </c>
      <c r="G89" s="83">
        <v>868000</v>
      </c>
      <c r="I89" s="80" t="s">
        <v>64</v>
      </c>
      <c r="J89" s="81"/>
      <c r="K89" s="82">
        <v>901000</v>
      </c>
      <c r="L89" s="82">
        <v>861000</v>
      </c>
      <c r="M89" s="82">
        <v>805000</v>
      </c>
      <c r="N89" s="83">
        <v>682000</v>
      </c>
    </row>
    <row r="90" spans="2:14" ht="12.75">
      <c r="B90" s="80" t="s">
        <v>65</v>
      </c>
      <c r="C90" s="81"/>
      <c r="D90" s="82">
        <v>-283000</v>
      </c>
      <c r="E90" s="82">
        <v>-283000</v>
      </c>
      <c r="F90" s="83">
        <v>-391000</v>
      </c>
      <c r="G90" s="83">
        <v>-147000</v>
      </c>
      <c r="I90" s="80" t="s">
        <v>65</v>
      </c>
      <c r="J90" s="81"/>
      <c r="K90" s="82">
        <v>-207000</v>
      </c>
      <c r="L90" s="82">
        <v>-232000</v>
      </c>
      <c r="M90" s="82">
        <v>-283000</v>
      </c>
      <c r="N90" s="83">
        <v>-290000</v>
      </c>
    </row>
    <row r="91" spans="2:14" ht="12.75">
      <c r="B91" s="80"/>
      <c r="C91" s="81"/>
      <c r="D91" s="81"/>
      <c r="E91" s="81"/>
      <c r="F91" s="84"/>
      <c r="G91" s="84"/>
      <c r="I91" s="80"/>
      <c r="J91" s="81"/>
      <c r="K91" s="81"/>
      <c r="L91" s="81"/>
      <c r="M91" s="81"/>
      <c r="N91" s="84"/>
    </row>
    <row r="92" spans="2:14" ht="12.75">
      <c r="B92" s="80" t="s">
        <v>302</v>
      </c>
      <c r="C92" s="81"/>
      <c r="D92" s="82">
        <v>2471000</v>
      </c>
      <c r="E92" s="82">
        <v>1824000</v>
      </c>
      <c r="F92" s="83">
        <v>1621000</v>
      </c>
      <c r="G92" s="83">
        <v>2076000</v>
      </c>
      <c r="I92" s="80" t="s">
        <v>302</v>
      </c>
      <c r="J92" s="81"/>
      <c r="K92" s="82">
        <v>2802000</v>
      </c>
      <c r="L92" s="82">
        <v>2606000</v>
      </c>
      <c r="M92" s="82">
        <v>2471000</v>
      </c>
      <c r="N92" s="83">
        <v>2059000</v>
      </c>
    </row>
    <row r="93" spans="2:14" ht="12.75">
      <c r="B93" s="80"/>
      <c r="C93" s="81"/>
      <c r="D93" s="81"/>
      <c r="E93" s="81"/>
      <c r="F93" s="84"/>
      <c r="G93" s="84"/>
      <c r="I93" s="80"/>
      <c r="J93" s="81"/>
      <c r="K93" s="81"/>
      <c r="L93" s="81"/>
      <c r="M93" s="81"/>
      <c r="N93" s="84"/>
    </row>
    <row r="94" spans="2:14" ht="13.5" thickBot="1">
      <c r="B94" s="85" t="s">
        <v>303</v>
      </c>
      <c r="C94" s="86"/>
      <c r="D94" s="87">
        <v>404000</v>
      </c>
      <c r="E94" s="87">
        <v>-239000</v>
      </c>
      <c r="F94" s="88">
        <v>-614000</v>
      </c>
      <c r="G94" s="88">
        <v>-226000</v>
      </c>
      <c r="I94" s="85" t="s">
        <v>303</v>
      </c>
      <c r="J94" s="86"/>
      <c r="K94" s="87">
        <v>755000</v>
      </c>
      <c r="L94" s="87">
        <v>538000</v>
      </c>
      <c r="M94" s="87">
        <v>404000</v>
      </c>
      <c r="N94" s="88">
        <v>-8000</v>
      </c>
    </row>
    <row r="96" ht="13.5" thickBot="1">
      <c r="B96" s="2" t="s">
        <v>121</v>
      </c>
    </row>
    <row r="97" spans="2:14" ht="12.75">
      <c r="B97" s="78" t="s">
        <v>290</v>
      </c>
      <c r="C97" s="79"/>
      <c r="D97" s="95">
        <v>40543</v>
      </c>
      <c r="E97" s="95">
        <v>40178</v>
      </c>
      <c r="F97" s="96">
        <v>39813</v>
      </c>
      <c r="G97" s="96">
        <v>39447</v>
      </c>
      <c r="I97" s="78" t="s">
        <v>290</v>
      </c>
      <c r="J97" s="79"/>
      <c r="K97" s="95">
        <v>40724</v>
      </c>
      <c r="L97" s="95">
        <v>40633</v>
      </c>
      <c r="M97" s="95">
        <v>40543</v>
      </c>
      <c r="N97" s="96">
        <v>40451</v>
      </c>
    </row>
    <row r="98" spans="2:14" ht="12.75">
      <c r="B98" s="80" t="s">
        <v>295</v>
      </c>
      <c r="C98" s="81"/>
      <c r="D98" s="82">
        <v>477000</v>
      </c>
      <c r="E98" s="82">
        <v>73000</v>
      </c>
      <c r="F98" s="83">
        <v>329000</v>
      </c>
      <c r="G98" s="83">
        <v>542000</v>
      </c>
      <c r="I98" s="80" t="s">
        <v>295</v>
      </c>
      <c r="J98" s="81"/>
      <c r="K98" s="82">
        <v>131000</v>
      </c>
      <c r="L98" s="82">
        <v>28000</v>
      </c>
      <c r="M98" s="82">
        <v>339000</v>
      </c>
      <c r="N98" s="83">
        <v>-6000</v>
      </c>
    </row>
    <row r="99" spans="2:14" ht="12.75">
      <c r="B99" s="80"/>
      <c r="C99" s="81"/>
      <c r="D99" s="81"/>
      <c r="E99" s="81"/>
      <c r="F99" s="84"/>
      <c r="G99" s="84"/>
      <c r="I99" s="80"/>
      <c r="J99" s="81"/>
      <c r="K99" s="81"/>
      <c r="L99" s="81"/>
      <c r="M99" s="81"/>
      <c r="N99" s="84"/>
    </row>
    <row r="100" spans="2:14" ht="12.75">
      <c r="B100" s="80" t="s">
        <v>304</v>
      </c>
      <c r="C100" s="81"/>
      <c r="D100" s="81"/>
      <c r="E100" s="81"/>
      <c r="F100" s="84"/>
      <c r="G100" s="84"/>
      <c r="I100" s="80" t="s">
        <v>304</v>
      </c>
      <c r="J100" s="81"/>
      <c r="K100" s="81"/>
      <c r="L100" s="81"/>
      <c r="M100" s="81"/>
      <c r="N100" s="84"/>
    </row>
    <row r="101" spans="2:14" ht="12.75">
      <c r="B101" s="80" t="s">
        <v>70</v>
      </c>
      <c r="C101" s="81"/>
      <c r="D101" s="82">
        <v>217000</v>
      </c>
      <c r="E101" s="82">
        <v>245000</v>
      </c>
      <c r="F101" s="83">
        <v>245000</v>
      </c>
      <c r="G101" s="83">
        <v>229000</v>
      </c>
      <c r="I101" s="80" t="s">
        <v>70</v>
      </c>
      <c r="J101" s="81"/>
      <c r="K101" s="82">
        <v>46000</v>
      </c>
      <c r="L101" s="82">
        <v>47000</v>
      </c>
      <c r="M101" s="82">
        <v>57000</v>
      </c>
      <c r="N101" s="83">
        <v>51000</v>
      </c>
    </row>
    <row r="102" spans="2:14" ht="12.75">
      <c r="B102" s="80" t="s">
        <v>71</v>
      </c>
      <c r="C102" s="81"/>
      <c r="D102" s="82">
        <v>9000</v>
      </c>
      <c r="E102" s="82">
        <v>161000</v>
      </c>
      <c r="F102" s="83">
        <v>249000</v>
      </c>
      <c r="G102" s="83">
        <v>69000</v>
      </c>
      <c r="I102" s="80" t="s">
        <v>71</v>
      </c>
      <c r="J102" s="81"/>
      <c r="K102" s="82">
        <v>41000</v>
      </c>
      <c r="L102" s="82">
        <v>49000</v>
      </c>
      <c r="M102" s="82">
        <v>-73000</v>
      </c>
      <c r="N102" s="83">
        <v>103000</v>
      </c>
    </row>
    <row r="103" spans="2:14" ht="12.75">
      <c r="B103" s="80" t="s">
        <v>72</v>
      </c>
      <c r="C103" s="81"/>
      <c r="D103" s="82">
        <v>-50000</v>
      </c>
      <c r="E103" s="82">
        <v>230000</v>
      </c>
      <c r="F103" s="83">
        <v>-116000</v>
      </c>
      <c r="G103" s="83">
        <v>-23000</v>
      </c>
      <c r="I103" s="80" t="s">
        <v>72</v>
      </c>
      <c r="J103" s="81"/>
      <c r="K103" s="82">
        <v>-5000</v>
      </c>
      <c r="L103" s="82">
        <v>-4000</v>
      </c>
      <c r="M103" s="82">
        <v>-32000</v>
      </c>
      <c r="N103" s="83">
        <v>-13000</v>
      </c>
    </row>
    <row r="104" spans="2:14" ht="12.75">
      <c r="B104" s="80" t="s">
        <v>73</v>
      </c>
      <c r="C104" s="81"/>
      <c r="D104" s="82">
        <v>213000</v>
      </c>
      <c r="E104" s="82">
        <v>-94000</v>
      </c>
      <c r="F104" s="83">
        <v>63000</v>
      </c>
      <c r="G104" s="83">
        <v>387000</v>
      </c>
      <c r="I104" s="80" t="s">
        <v>73</v>
      </c>
      <c r="J104" s="81"/>
      <c r="K104" s="82">
        <v>-82000</v>
      </c>
      <c r="L104" s="82">
        <v>-2000</v>
      </c>
      <c r="M104" s="82">
        <v>203000</v>
      </c>
      <c r="N104" s="83">
        <v>-18000</v>
      </c>
    </row>
    <row r="105" spans="2:14" ht="12.75">
      <c r="B105" s="80" t="s">
        <v>74</v>
      </c>
      <c r="C105" s="81"/>
      <c r="D105" s="82">
        <v>-110000</v>
      </c>
      <c r="E105" s="82">
        <v>-98000</v>
      </c>
      <c r="F105" s="83">
        <v>-280000</v>
      </c>
      <c r="G105" s="83">
        <v>-143000</v>
      </c>
      <c r="I105" s="80" t="s">
        <v>74</v>
      </c>
      <c r="J105" s="81"/>
      <c r="K105" s="82"/>
      <c r="L105" s="82"/>
      <c r="M105" s="82">
        <v>-110000</v>
      </c>
      <c r="N105" s="83"/>
    </row>
    <row r="106" spans="2:14" ht="12.75">
      <c r="B106" s="80" t="s">
        <v>75</v>
      </c>
      <c r="C106" s="81"/>
      <c r="D106" s="82">
        <v>10000</v>
      </c>
      <c r="E106" s="82">
        <v>56000</v>
      </c>
      <c r="F106" s="83">
        <v>156000</v>
      </c>
      <c r="G106" s="83">
        <v>-166000</v>
      </c>
      <c r="I106" s="80" t="s">
        <v>75</v>
      </c>
      <c r="J106" s="81"/>
      <c r="K106" s="82">
        <v>2000</v>
      </c>
      <c r="L106" s="82">
        <v>-127000</v>
      </c>
      <c r="M106" s="82">
        <v>77000</v>
      </c>
      <c r="N106" s="83">
        <v>93000</v>
      </c>
    </row>
    <row r="107" spans="2:14" ht="12.75">
      <c r="B107" s="80"/>
      <c r="C107" s="81"/>
      <c r="D107" s="81"/>
      <c r="E107" s="81"/>
      <c r="F107" s="84"/>
      <c r="G107" s="84"/>
      <c r="I107" s="80"/>
      <c r="J107" s="81"/>
      <c r="K107" s="81"/>
      <c r="L107" s="81"/>
      <c r="M107" s="81"/>
      <c r="N107" s="84"/>
    </row>
    <row r="108" spans="2:14" ht="12.75">
      <c r="B108" s="80" t="s">
        <v>305</v>
      </c>
      <c r="C108" s="81"/>
      <c r="D108" s="82">
        <v>764000</v>
      </c>
      <c r="E108" s="82">
        <v>571000</v>
      </c>
      <c r="F108" s="83">
        <v>646000</v>
      </c>
      <c r="G108" s="83">
        <v>895000</v>
      </c>
      <c r="I108" s="80" t="s">
        <v>305</v>
      </c>
      <c r="J108" s="81"/>
      <c r="K108" s="82">
        <v>133000</v>
      </c>
      <c r="L108" s="82">
        <v>-11000</v>
      </c>
      <c r="M108" s="82">
        <v>461000</v>
      </c>
      <c r="N108" s="83">
        <v>210000</v>
      </c>
    </row>
    <row r="109" spans="2:14" ht="12.75">
      <c r="B109" s="80"/>
      <c r="C109" s="81"/>
      <c r="D109" s="81"/>
      <c r="E109" s="81"/>
      <c r="F109" s="84"/>
      <c r="G109" s="84"/>
      <c r="I109" s="80"/>
      <c r="J109" s="81"/>
      <c r="K109" s="81"/>
      <c r="L109" s="81"/>
      <c r="M109" s="81"/>
      <c r="N109" s="84"/>
    </row>
    <row r="110" spans="2:14" ht="12.75">
      <c r="B110" s="80" t="s">
        <v>77</v>
      </c>
      <c r="C110" s="81"/>
      <c r="D110" s="81"/>
      <c r="E110" s="81"/>
      <c r="F110" s="84"/>
      <c r="G110" s="84"/>
      <c r="I110" s="80" t="s">
        <v>77</v>
      </c>
      <c r="J110" s="81"/>
      <c r="K110" s="81"/>
      <c r="L110" s="81"/>
      <c r="M110" s="81"/>
      <c r="N110" s="84"/>
    </row>
    <row r="111" spans="2:14" ht="12.75">
      <c r="B111" s="80" t="s">
        <v>78</v>
      </c>
      <c r="C111" s="81"/>
      <c r="D111" s="82">
        <v>-227000</v>
      </c>
      <c r="E111" s="82">
        <v>-196000</v>
      </c>
      <c r="F111" s="83">
        <v>-476000</v>
      </c>
      <c r="G111" s="83">
        <v>-384000</v>
      </c>
      <c r="I111" s="80" t="s">
        <v>78</v>
      </c>
      <c r="J111" s="81"/>
      <c r="K111" s="82">
        <v>-80000</v>
      </c>
      <c r="L111" s="82">
        <v>-61000</v>
      </c>
      <c r="M111" s="82">
        <v>-108000</v>
      </c>
      <c r="N111" s="83">
        <v>-49000</v>
      </c>
    </row>
    <row r="112" spans="2:14" ht="12.75">
      <c r="B112" s="80" t="s">
        <v>79</v>
      </c>
      <c r="C112" s="81"/>
      <c r="D112" s="82">
        <v>18000</v>
      </c>
      <c r="E112" s="82">
        <v>28000</v>
      </c>
      <c r="F112" s="83">
        <v>5000</v>
      </c>
      <c r="G112" s="83">
        <v>108000</v>
      </c>
      <c r="I112" s="80" t="s">
        <v>79</v>
      </c>
      <c r="J112" s="81"/>
      <c r="K112" s="82">
        <v>1000</v>
      </c>
      <c r="L112" s="82">
        <v>1000</v>
      </c>
      <c r="M112" s="82">
        <v>43000</v>
      </c>
      <c r="N112" s="83">
        <v>1000</v>
      </c>
    </row>
    <row r="113" spans="2:14" ht="12.75">
      <c r="B113" s="80" t="s">
        <v>306</v>
      </c>
      <c r="C113" s="81"/>
      <c r="D113" s="82">
        <v>138000</v>
      </c>
      <c r="E113" s="82">
        <v>284000</v>
      </c>
      <c r="F113" s="83">
        <v>299000</v>
      </c>
      <c r="G113" s="83">
        <v>61000</v>
      </c>
      <c r="I113" s="80" t="s">
        <v>306</v>
      </c>
      <c r="J113" s="81"/>
      <c r="K113" s="82">
        <v>287000</v>
      </c>
      <c r="L113" s="82">
        <v>-9000</v>
      </c>
      <c r="M113" s="82">
        <v>3000</v>
      </c>
      <c r="N113" s="83">
        <v>65000</v>
      </c>
    </row>
    <row r="114" spans="2:14" ht="12.75">
      <c r="B114" s="80"/>
      <c r="C114" s="81"/>
      <c r="D114" s="81"/>
      <c r="E114" s="81"/>
      <c r="F114" s="84"/>
      <c r="G114" s="84"/>
      <c r="I114" s="80"/>
      <c r="J114" s="81"/>
      <c r="K114" s="81"/>
      <c r="L114" s="81"/>
      <c r="M114" s="81"/>
      <c r="N114" s="84"/>
    </row>
    <row r="115" spans="2:14" ht="12.75">
      <c r="B115" s="80" t="s">
        <v>307</v>
      </c>
      <c r="C115" s="81"/>
      <c r="D115" s="82">
        <v>-71000</v>
      </c>
      <c r="E115" s="82">
        <v>116000</v>
      </c>
      <c r="F115" s="83">
        <v>-172000</v>
      </c>
      <c r="G115" s="83">
        <v>-215000</v>
      </c>
      <c r="I115" s="80" t="s">
        <v>307</v>
      </c>
      <c r="J115" s="81"/>
      <c r="K115" s="82">
        <v>208000</v>
      </c>
      <c r="L115" s="82">
        <v>-69000</v>
      </c>
      <c r="M115" s="82">
        <v>-62000</v>
      </c>
      <c r="N115" s="83">
        <v>17000</v>
      </c>
    </row>
    <row r="116" spans="2:14" ht="12.75">
      <c r="B116" s="80"/>
      <c r="C116" s="81"/>
      <c r="D116" s="81"/>
      <c r="E116" s="81"/>
      <c r="F116" s="84"/>
      <c r="G116" s="84"/>
      <c r="I116" s="80"/>
      <c r="J116" s="81"/>
      <c r="K116" s="81"/>
      <c r="L116" s="81"/>
      <c r="M116" s="81"/>
      <c r="N116" s="84"/>
    </row>
    <row r="117" spans="2:14" ht="12.75">
      <c r="B117" s="80" t="s">
        <v>82</v>
      </c>
      <c r="C117" s="81"/>
      <c r="D117" s="81"/>
      <c r="E117" s="81"/>
      <c r="F117" s="84"/>
      <c r="G117" s="84"/>
      <c r="I117" s="80" t="s">
        <v>82</v>
      </c>
      <c r="J117" s="81"/>
      <c r="K117" s="81"/>
      <c r="L117" s="81"/>
      <c r="M117" s="81"/>
      <c r="N117" s="84"/>
    </row>
    <row r="118" spans="2:14" ht="12.75">
      <c r="B118" s="80" t="s">
        <v>83</v>
      </c>
      <c r="C118" s="81"/>
      <c r="D118" s="82">
        <v>-93000</v>
      </c>
      <c r="E118" s="82">
        <v>-165000</v>
      </c>
      <c r="F118" s="83">
        <v>-172000</v>
      </c>
      <c r="G118" s="83">
        <v>-90000</v>
      </c>
      <c r="I118" s="80" t="s">
        <v>83</v>
      </c>
      <c r="J118" s="81"/>
      <c r="K118" s="82">
        <v>-1000</v>
      </c>
      <c r="L118" s="82">
        <v>-2000</v>
      </c>
      <c r="M118" s="82">
        <v>-56000</v>
      </c>
      <c r="N118" s="83" t="s">
        <v>293</v>
      </c>
    </row>
    <row r="119" spans="2:14" ht="12.75">
      <c r="B119" s="80" t="s">
        <v>84</v>
      </c>
      <c r="C119" s="81"/>
      <c r="D119" s="82">
        <v>141000</v>
      </c>
      <c r="E119" s="82">
        <v>2000</v>
      </c>
      <c r="F119" s="83">
        <v>-473000</v>
      </c>
      <c r="G119" s="83">
        <v>-1597000</v>
      </c>
      <c r="I119" s="80" t="s">
        <v>84</v>
      </c>
      <c r="J119" s="81"/>
      <c r="K119" s="82">
        <v>12000</v>
      </c>
      <c r="L119" s="82">
        <v>43000</v>
      </c>
      <c r="M119" s="82">
        <v>85000</v>
      </c>
      <c r="N119" s="83">
        <v>10000</v>
      </c>
    </row>
    <row r="120" spans="2:14" ht="12.75">
      <c r="B120" s="80" t="s">
        <v>85</v>
      </c>
      <c r="C120" s="81"/>
      <c r="D120" s="82">
        <v>-64000</v>
      </c>
      <c r="E120" s="82">
        <v>-1057000</v>
      </c>
      <c r="F120" s="83">
        <v>412000</v>
      </c>
      <c r="G120" s="83">
        <v>942000</v>
      </c>
      <c r="I120" s="80" t="s">
        <v>85</v>
      </c>
      <c r="J120" s="81"/>
      <c r="K120" s="82">
        <v>-39000</v>
      </c>
      <c r="L120" s="82">
        <v>-37000</v>
      </c>
      <c r="M120" s="82">
        <v>-40000</v>
      </c>
      <c r="N120" s="83">
        <v>28000</v>
      </c>
    </row>
    <row r="121" spans="2:14" ht="12.75">
      <c r="B121" s="80" t="s">
        <v>86</v>
      </c>
      <c r="C121" s="81"/>
      <c r="D121" s="82">
        <v>-30000</v>
      </c>
      <c r="E121" s="82">
        <v>227000</v>
      </c>
      <c r="F121" s="83">
        <v>-10000</v>
      </c>
      <c r="G121" s="83">
        <v>33000</v>
      </c>
      <c r="I121" s="80" t="s">
        <v>86</v>
      </c>
      <c r="J121" s="81"/>
      <c r="K121" s="82">
        <v>-2000</v>
      </c>
      <c r="L121" s="82">
        <v>-27000</v>
      </c>
      <c r="M121" s="82">
        <v>-2000</v>
      </c>
      <c r="N121" s="83">
        <v>-6000</v>
      </c>
    </row>
    <row r="122" spans="2:14" ht="12.75">
      <c r="B122" s="80"/>
      <c r="C122" s="81"/>
      <c r="D122" s="81"/>
      <c r="E122" s="81"/>
      <c r="F122" s="84"/>
      <c r="G122" s="84"/>
      <c r="I122" s="80"/>
      <c r="J122" s="81"/>
      <c r="K122" s="81"/>
      <c r="L122" s="81"/>
      <c r="M122" s="81"/>
      <c r="N122" s="84"/>
    </row>
    <row r="123" spans="2:14" ht="12.75">
      <c r="B123" s="80" t="s">
        <v>308</v>
      </c>
      <c r="C123" s="81"/>
      <c r="D123" s="82">
        <v>-26000</v>
      </c>
      <c r="E123" s="82">
        <v>-993000</v>
      </c>
      <c r="F123" s="83">
        <v>-243000</v>
      </c>
      <c r="G123" s="83">
        <v>-712000</v>
      </c>
      <c r="I123" s="80" t="s">
        <v>308</v>
      </c>
      <c r="J123" s="81"/>
      <c r="K123" s="82">
        <v>-24000</v>
      </c>
      <c r="L123" s="82">
        <v>-11000</v>
      </c>
      <c r="M123" s="82">
        <v>-1000</v>
      </c>
      <c r="N123" s="83">
        <v>34000</v>
      </c>
    </row>
    <row r="124" spans="2:14" ht="12.75">
      <c r="B124" s="80" t="s">
        <v>88</v>
      </c>
      <c r="C124" s="81"/>
      <c r="D124" s="82">
        <v>-1000</v>
      </c>
      <c r="E124" s="82">
        <v>4000</v>
      </c>
      <c r="F124" s="83">
        <v>7000</v>
      </c>
      <c r="G124" s="83">
        <v>11000</v>
      </c>
      <c r="I124" s="80" t="s">
        <v>88</v>
      </c>
      <c r="J124" s="81"/>
      <c r="K124" s="82">
        <v>7000</v>
      </c>
      <c r="L124" s="82">
        <v>13000</v>
      </c>
      <c r="M124" s="82">
        <v>-2000</v>
      </c>
      <c r="N124" s="83">
        <v>6000</v>
      </c>
    </row>
    <row r="125" spans="2:14" ht="12.75">
      <c r="B125" s="80"/>
      <c r="C125" s="81"/>
      <c r="D125" s="81"/>
      <c r="E125" s="81"/>
      <c r="F125" s="84"/>
      <c r="G125" s="84"/>
      <c r="I125" s="80"/>
      <c r="J125" s="81"/>
      <c r="K125" s="81"/>
      <c r="L125" s="81"/>
      <c r="M125" s="81"/>
      <c r="N125" s="84"/>
    </row>
    <row r="126" spans="2:14" ht="13.5" thickBot="1">
      <c r="B126" s="85" t="s">
        <v>89</v>
      </c>
      <c r="C126" s="86"/>
      <c r="D126" s="87">
        <v>666000</v>
      </c>
      <c r="E126" s="87">
        <v>-302000</v>
      </c>
      <c r="F126" s="88">
        <v>238000</v>
      </c>
      <c r="G126" s="88">
        <v>-21000</v>
      </c>
      <c r="I126" s="85" t="s">
        <v>89</v>
      </c>
      <c r="J126" s="86"/>
      <c r="K126" s="87">
        <v>324000</v>
      </c>
      <c r="L126" s="87">
        <v>-78000</v>
      </c>
      <c r="M126" s="87">
        <v>396000</v>
      </c>
      <c r="N126" s="88">
        <v>267000</v>
      </c>
    </row>
  </sheetData>
  <printOptions/>
  <pageMargins left="0.35" right="0.36" top="1" bottom="1" header="0.5" footer="0.5"/>
  <pageSetup horizontalDpi="300" verticalDpi="300" orientation="landscape" scale="60" r:id="rId2"/>
  <rowBreaks count="2" manualBreakCount="2">
    <brk id="44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workbookViewId="0" topLeftCell="A1">
      <selection activeCell="E24" sqref="E24"/>
    </sheetView>
  </sheetViews>
  <sheetFormatPr defaultColWidth="9.140625" defaultRowHeight="12.75"/>
  <sheetData>
    <row r="18" spans="3:15" ht="12.75" customHeight="1">
      <c r="C18" s="375" t="s">
        <v>272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</row>
    <row r="19" spans="3:15" ht="12.75" customHeight="1"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</row>
    <row r="20" spans="3:15" ht="38.25" customHeight="1"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</row>
    <row r="27" spans="6:12" ht="15.75">
      <c r="F27" s="377" t="s">
        <v>273</v>
      </c>
      <c r="G27" s="378"/>
      <c r="H27" s="378"/>
      <c r="I27" s="378"/>
      <c r="J27" s="378"/>
      <c r="K27" s="378"/>
      <c r="L27" s="378"/>
    </row>
  </sheetData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5"/>
  <sheetViews>
    <sheetView workbookViewId="0" topLeftCell="A34">
      <selection activeCell="F7" sqref="F7"/>
    </sheetView>
  </sheetViews>
  <sheetFormatPr defaultColWidth="9.140625" defaultRowHeight="12.75"/>
  <cols>
    <col min="1" max="1" width="4.28125" style="0" customWidth="1"/>
    <col min="2" max="2" width="2.00390625" style="0" customWidth="1"/>
    <col min="3" max="3" width="3.421875" style="0" customWidth="1"/>
    <col min="4" max="4" width="45.00390625" style="0" customWidth="1"/>
    <col min="5" max="6" width="11.57421875" style="0" customWidth="1"/>
    <col min="7" max="7" width="12.28125" style="0" customWidth="1"/>
    <col min="8" max="9" width="11.28125" style="0" customWidth="1"/>
    <col min="10" max="10" width="4.421875" style="0" customWidth="1"/>
    <col min="11" max="11" width="10.57421875" style="0" customWidth="1"/>
    <col min="12" max="12" width="13.140625" style="0" bestFit="1" customWidth="1"/>
    <col min="13" max="14" width="11.57421875" style="0" bestFit="1" customWidth="1"/>
    <col min="15" max="16" width="9.28125" style="0" bestFit="1" customWidth="1"/>
    <col min="17" max="17" width="11.140625" style="0" bestFit="1" customWidth="1"/>
  </cols>
  <sheetData>
    <row r="1" ht="24" customHeight="1">
      <c r="C1" s="1" t="str">
        <f>+'Yahoo Fin Input'!B2</f>
        <v>Starwood Hotels &amp; Resorts Worldwide Inc. (HOT)</v>
      </c>
    </row>
    <row r="2" spans="3:11" ht="12.75">
      <c r="C2" s="2" t="s">
        <v>1</v>
      </c>
      <c r="K2" s="3"/>
    </row>
    <row r="3" spans="3:11" ht="12.75">
      <c r="C3" s="2"/>
      <c r="K3" s="3"/>
    </row>
    <row r="4" spans="5:14" ht="15" customHeight="1" thickBot="1">
      <c r="E4" s="379" t="s">
        <v>2</v>
      </c>
      <c r="F4" s="379"/>
      <c r="G4" s="380"/>
      <c r="H4" s="380"/>
      <c r="I4" s="347"/>
      <c r="K4" s="379" t="s">
        <v>3</v>
      </c>
      <c r="L4" s="380"/>
      <c r="M4" s="380"/>
      <c r="N4" s="380"/>
    </row>
    <row r="5" spans="5:14" ht="15" customHeight="1" thickBot="1">
      <c r="E5" s="67" t="s">
        <v>122</v>
      </c>
      <c r="F5" s="67"/>
      <c r="G5" s="68"/>
      <c r="H5" s="68"/>
      <c r="I5" s="349"/>
      <c r="K5" s="67"/>
      <c r="L5" s="68"/>
      <c r="M5" s="68"/>
      <c r="N5" s="68"/>
    </row>
    <row r="6" spans="3:15" ht="13.5" thickBot="1">
      <c r="C6" s="381" t="s">
        <v>4</v>
      </c>
      <c r="D6" s="382"/>
      <c r="E6" s="90">
        <f>+'Yahoo Fin Input'!K6</f>
        <v>40724</v>
      </c>
      <c r="F6" s="4">
        <f>+'Yahoo Fin Input'!D6</f>
        <v>40543</v>
      </c>
      <c r="G6" s="4">
        <f>+'Yahoo Fin Input'!E6</f>
        <v>40178</v>
      </c>
      <c r="H6" s="4">
        <f>+'Yahoo Fin Input'!F6</f>
        <v>39813</v>
      </c>
      <c r="I6" s="4">
        <f>+'Yahoo Fin Input'!G6</f>
        <v>39447</v>
      </c>
      <c r="J6" s="5"/>
      <c r="K6" s="6">
        <f>+'Yahoo Fin Input'!K6</f>
        <v>40724</v>
      </c>
      <c r="L6" s="7">
        <f>+'Yahoo Fin Input'!L6</f>
        <v>40633</v>
      </c>
      <c r="M6" s="7">
        <f>+'Yahoo Fin Input'!M6</f>
        <v>40543</v>
      </c>
      <c r="N6" s="8">
        <f>+'Yahoo Fin Input'!N6</f>
        <v>40451</v>
      </c>
      <c r="O6" s="9"/>
    </row>
    <row r="7" spans="1:15" ht="13.5" customHeight="1">
      <c r="A7">
        <f>ROW()</f>
        <v>7</v>
      </c>
      <c r="C7" s="383" t="s">
        <v>5</v>
      </c>
      <c r="D7" s="383"/>
      <c r="E7" s="11">
        <f>SUM(K7:N7)</f>
        <v>5316000</v>
      </c>
      <c r="F7" s="12">
        <f>+'Yahoo Fin Input'!D7</f>
        <v>5071000</v>
      </c>
      <c r="G7" s="12">
        <f>+'Yahoo Fin Input'!E7</f>
        <v>4696000</v>
      </c>
      <c r="H7" s="12">
        <f>+'Yahoo Fin Input'!F7</f>
        <v>5907000</v>
      </c>
      <c r="I7" s="12">
        <f>+'Yahoo Fin Input'!G7</f>
        <v>6153000</v>
      </c>
      <c r="J7" s="13"/>
      <c r="K7" s="12">
        <f>+'Yahoo Fin Input'!K7</f>
        <v>1426000</v>
      </c>
      <c r="L7" s="12">
        <f>+'Yahoo Fin Input'!L7</f>
        <v>1295000</v>
      </c>
      <c r="M7" s="12">
        <f>+'Yahoo Fin Input'!M7</f>
        <v>1340000</v>
      </c>
      <c r="N7" s="12">
        <f>+'Yahoo Fin Input'!N7</f>
        <v>1255000</v>
      </c>
      <c r="O7" s="13"/>
    </row>
    <row r="8" spans="1:15" ht="13.5" customHeight="1">
      <c r="A8">
        <f>ROW()</f>
        <v>8</v>
      </c>
      <c r="B8" s="9"/>
      <c r="C8" s="384" t="s">
        <v>6</v>
      </c>
      <c r="D8" s="384"/>
      <c r="E8" s="15">
        <f>SUM(K8:N8)</f>
        <v>1885000</v>
      </c>
      <c r="F8" s="16">
        <f>+'Yahoo Fin Input'!D8</f>
        <v>1800000</v>
      </c>
      <c r="G8" s="16">
        <f>+'Yahoo Fin Input'!E8</f>
        <v>1737000</v>
      </c>
      <c r="H8" s="16">
        <f>+'Yahoo Fin Input'!F8</f>
        <v>2184935.9028960816</v>
      </c>
      <c r="I8" s="16">
        <f>+'Yahoo Fin Input'!G8</f>
        <v>2235664.099646571</v>
      </c>
      <c r="J8" s="13"/>
      <c r="K8" s="16">
        <f>+'Yahoo Fin Input'!K8</f>
        <v>493000</v>
      </c>
      <c r="L8" s="16">
        <f>+'Yahoo Fin Input'!L8</f>
        <v>472000</v>
      </c>
      <c r="M8" s="16">
        <f>+'Yahoo Fin Input'!M8</f>
        <v>470000</v>
      </c>
      <c r="N8" s="16">
        <f>+'Yahoo Fin Input'!N8</f>
        <v>450000</v>
      </c>
      <c r="O8" s="13"/>
    </row>
    <row r="9" spans="1:15" ht="13.5" customHeight="1">
      <c r="A9">
        <f>ROW()</f>
        <v>9</v>
      </c>
      <c r="B9" s="9"/>
      <c r="C9" s="383" t="s">
        <v>7</v>
      </c>
      <c r="D9" s="383"/>
      <c r="E9" s="17">
        <f>+E7-E8</f>
        <v>3431000</v>
      </c>
      <c r="F9" s="12">
        <f>+F7-F8</f>
        <v>3271000</v>
      </c>
      <c r="G9" s="12">
        <f>+G7-G8</f>
        <v>2959000</v>
      </c>
      <c r="H9" s="12">
        <f>+H7-H8</f>
        <v>3722064.0971039184</v>
      </c>
      <c r="I9" s="12">
        <f>+I7-I8</f>
        <v>3917335.900353429</v>
      </c>
      <c r="J9" s="13"/>
      <c r="K9" s="12">
        <f>+K7-K8</f>
        <v>933000</v>
      </c>
      <c r="L9" s="12">
        <f>+L7-L8</f>
        <v>823000</v>
      </c>
      <c r="M9" s="12">
        <f>+M7-M8</f>
        <v>870000</v>
      </c>
      <c r="N9" s="12">
        <f>+N7-N8</f>
        <v>805000</v>
      </c>
      <c r="O9" s="13"/>
    </row>
    <row r="10" spans="1:15" ht="13.5" customHeight="1">
      <c r="A10">
        <f>ROW()</f>
        <v>10</v>
      </c>
      <c r="B10" s="9"/>
      <c r="C10" s="18"/>
      <c r="D10" s="18"/>
      <c r="E10" s="19"/>
      <c r="F10" s="18"/>
      <c r="G10" s="18"/>
      <c r="H10" s="18"/>
      <c r="I10" s="18"/>
      <c r="J10" s="13"/>
      <c r="K10" s="18"/>
      <c r="L10" s="18"/>
      <c r="M10" s="18"/>
      <c r="N10" s="18"/>
      <c r="O10" s="13"/>
    </row>
    <row r="11" spans="1:15" ht="13.5" customHeight="1">
      <c r="A11">
        <f>ROW()</f>
        <v>11</v>
      </c>
      <c r="B11" s="9"/>
      <c r="C11" s="14"/>
      <c r="D11" s="20" t="s">
        <v>8</v>
      </c>
      <c r="E11" s="21"/>
      <c r="F11" s="20"/>
      <c r="G11" s="20"/>
      <c r="H11" s="20"/>
      <c r="I11" s="20"/>
      <c r="J11" s="13"/>
      <c r="K11" s="18"/>
      <c r="L11" s="18"/>
      <c r="M11" s="18"/>
      <c r="N11" s="18"/>
      <c r="O11" s="13"/>
    </row>
    <row r="12" spans="1:15" ht="13.5" customHeight="1">
      <c r="A12">
        <f>ROW()</f>
        <v>12</v>
      </c>
      <c r="B12" s="9"/>
      <c r="C12" s="14"/>
      <c r="D12" s="14" t="s">
        <v>9</v>
      </c>
      <c r="E12" s="22"/>
      <c r="F12" s="23">
        <f>+'Yahoo Fin Input'!D13</f>
        <v>0</v>
      </c>
      <c r="G12" s="23">
        <f>+'Yahoo Fin Input'!E13</f>
        <v>0</v>
      </c>
      <c r="H12" s="23">
        <f>+'Yahoo Fin Input'!F13</f>
        <v>0</v>
      </c>
      <c r="I12" s="23">
        <f>+'Yahoo Fin Input'!G13</f>
        <v>0</v>
      </c>
      <c r="J12" s="13"/>
      <c r="K12" s="24">
        <f>+'Yahoo Fin Input'!K13</f>
        <v>0</v>
      </c>
      <c r="L12" s="24">
        <f>+'Yahoo Fin Input'!L13</f>
        <v>0</v>
      </c>
      <c r="M12" s="24">
        <f>+'Yahoo Fin Input'!M13</f>
        <v>0</v>
      </c>
      <c r="N12" s="24">
        <f>+'Yahoo Fin Input'!N13</f>
        <v>0</v>
      </c>
      <c r="O12" s="13"/>
    </row>
    <row r="13" spans="1:15" ht="13.5" customHeight="1">
      <c r="A13">
        <f>ROW()</f>
        <v>13</v>
      </c>
      <c r="B13" s="9"/>
      <c r="C13" s="14"/>
      <c r="D13" s="14" t="s">
        <v>10</v>
      </c>
      <c r="E13" s="22">
        <f>SUM(K13:N13)</f>
        <v>2559000</v>
      </c>
      <c r="F13" s="23">
        <f>+'Yahoo Fin Input'!D14</f>
        <v>2461000</v>
      </c>
      <c r="G13" s="23">
        <f>+'Yahoo Fin Input'!E14</f>
        <v>2245000</v>
      </c>
      <c r="H13" s="23">
        <f>+'Yahoo Fin Input'!F14</f>
        <v>2639064.0971039184</v>
      </c>
      <c r="I13" s="23">
        <f>+'Yahoo Fin Input'!G14</f>
        <v>2700335.900353429</v>
      </c>
      <c r="J13" s="13"/>
      <c r="K13" s="24">
        <f>+'Yahoo Fin Input'!K14</f>
        <v>689000</v>
      </c>
      <c r="L13" s="24">
        <f>+'Yahoo Fin Input'!L14</f>
        <v>635000</v>
      </c>
      <c r="M13" s="24">
        <f>+'Yahoo Fin Input'!M14</f>
        <v>622000</v>
      </c>
      <c r="N13" s="24">
        <f>+'Yahoo Fin Input'!N14</f>
        <v>613000</v>
      </c>
      <c r="O13" s="13"/>
    </row>
    <row r="14" spans="1:15" ht="13.5" customHeight="1">
      <c r="A14">
        <f>ROW()</f>
        <v>14</v>
      </c>
      <c r="B14" s="9"/>
      <c r="C14" s="14"/>
      <c r="D14" s="14" t="s">
        <v>287</v>
      </c>
      <c r="E14" s="22">
        <f>SUM(K14:N14)</f>
        <v>-74000</v>
      </c>
      <c r="F14" s="23">
        <f>+'Yahoo Fin Input'!D15</f>
        <v>-75000</v>
      </c>
      <c r="G14" s="23">
        <f>+'Yahoo Fin Input'!E15</f>
        <v>379000</v>
      </c>
      <c r="H14" s="23">
        <f>+'Yahoo Fin Input'!F15</f>
        <v>141000</v>
      </c>
      <c r="I14" s="23">
        <f>+'Yahoo Fin Input'!G15</f>
        <v>53000</v>
      </c>
      <c r="J14" s="13"/>
      <c r="K14" s="24">
        <f>+'Yahoo Fin Input'!K15</f>
        <v>0</v>
      </c>
      <c r="L14" s="24">
        <f>+'Yahoo Fin Input'!L15</f>
        <v>0</v>
      </c>
      <c r="M14" s="24">
        <f>+'Yahoo Fin Input'!M15</f>
        <v>-73000</v>
      </c>
      <c r="N14" s="24">
        <f>+'Yahoo Fin Input'!N15</f>
        <v>-1000</v>
      </c>
      <c r="O14" s="13"/>
    </row>
    <row r="15" spans="1:15" ht="13.5" customHeight="1">
      <c r="A15">
        <f>ROW()</f>
        <v>15</v>
      </c>
      <c r="B15" s="9"/>
      <c r="C15" s="14"/>
      <c r="D15" s="14" t="s">
        <v>12</v>
      </c>
      <c r="E15" s="15">
        <f>SUM(K15:N15)</f>
        <v>271000</v>
      </c>
      <c r="F15" s="16">
        <f>+'Yahoo Fin Input'!D16</f>
        <v>285000</v>
      </c>
      <c r="G15" s="16">
        <f>+'Yahoo Fin Input'!E16</f>
        <v>309000</v>
      </c>
      <c r="H15" s="16">
        <f>+'Yahoo Fin Input'!F16</f>
        <v>323000</v>
      </c>
      <c r="I15" s="16">
        <f>+'Yahoo Fin Input'!G16</f>
        <v>306000</v>
      </c>
      <c r="J15" s="13"/>
      <c r="K15" s="26">
        <f>+'Yahoo Fin Input'!K16</f>
        <v>67000</v>
      </c>
      <c r="L15" s="26">
        <f>+'Yahoo Fin Input'!L16</f>
        <v>68000</v>
      </c>
      <c r="M15" s="26">
        <f>+'Yahoo Fin Input'!M16</f>
        <v>65000</v>
      </c>
      <c r="N15" s="26">
        <f>+'Yahoo Fin Input'!N16</f>
        <v>71000</v>
      </c>
      <c r="O15" s="13"/>
    </row>
    <row r="16" spans="1:15" ht="13.5" customHeight="1">
      <c r="A16">
        <f>ROW()</f>
        <v>16</v>
      </c>
      <c r="B16" s="9"/>
      <c r="C16" s="14"/>
      <c r="D16" s="10" t="s">
        <v>13</v>
      </c>
      <c r="E16" s="25">
        <f>SUM(E12:E15)</f>
        <v>2756000</v>
      </c>
      <c r="F16" s="23">
        <f>SUM(F12:F15)</f>
        <v>2671000</v>
      </c>
      <c r="G16" s="23">
        <f>SUM(G12:G15)</f>
        <v>2933000</v>
      </c>
      <c r="H16" s="23">
        <f>SUM(H12:H15)</f>
        <v>3103064.0971039184</v>
      </c>
      <c r="I16" s="23">
        <f>SUM(I12:I15)</f>
        <v>3059335.900353429</v>
      </c>
      <c r="J16" s="13"/>
      <c r="K16" s="23">
        <f>SUM(K12:K15)</f>
        <v>756000</v>
      </c>
      <c r="L16" s="23">
        <f>SUM(L12:L15)</f>
        <v>703000</v>
      </c>
      <c r="M16" s="23">
        <f>SUM(M12:M15)</f>
        <v>614000</v>
      </c>
      <c r="N16" s="23">
        <f>SUM(N12:N15)</f>
        <v>683000</v>
      </c>
      <c r="O16" s="13"/>
    </row>
    <row r="17" spans="1:15" ht="13.5" customHeight="1">
      <c r="A17">
        <f>ROW()</f>
        <v>17</v>
      </c>
      <c r="B17" s="9"/>
      <c r="C17" s="14"/>
      <c r="D17" s="10"/>
      <c r="E17" s="25"/>
      <c r="F17" s="23"/>
      <c r="G17" s="23"/>
      <c r="H17" s="23"/>
      <c r="I17" s="23"/>
      <c r="J17" s="13"/>
      <c r="K17" s="23"/>
      <c r="L17" s="23"/>
      <c r="M17" s="23"/>
      <c r="N17" s="23"/>
      <c r="O17" s="13"/>
    </row>
    <row r="18" spans="1:15" ht="13.5" customHeight="1">
      <c r="A18">
        <f>ROW()</f>
        <v>18</v>
      </c>
      <c r="B18" s="9"/>
      <c r="C18" s="383" t="s">
        <v>14</v>
      </c>
      <c r="D18" s="383"/>
      <c r="E18" s="17">
        <f>+E9-E16</f>
        <v>675000</v>
      </c>
      <c r="F18" s="12">
        <f>+F9-F16</f>
        <v>600000</v>
      </c>
      <c r="G18" s="12">
        <f>+G9-G16</f>
        <v>26000</v>
      </c>
      <c r="H18" s="12">
        <f>+H9-H16</f>
        <v>619000</v>
      </c>
      <c r="I18" s="12">
        <f>+I9-I16</f>
        <v>858000</v>
      </c>
      <c r="J18" s="13"/>
      <c r="K18" s="12">
        <f>+K9-K16</f>
        <v>177000</v>
      </c>
      <c r="L18" s="12">
        <f>+L9-L16</f>
        <v>120000</v>
      </c>
      <c r="M18" s="12">
        <f>+M9-M16</f>
        <v>256000</v>
      </c>
      <c r="N18" s="12">
        <f>+N9-N16</f>
        <v>122000</v>
      </c>
      <c r="O18" s="13"/>
    </row>
    <row r="19" spans="1:15" ht="13.5" customHeight="1">
      <c r="A19">
        <f>ROW()</f>
        <v>19</v>
      </c>
      <c r="B19" s="9"/>
      <c r="C19" s="14"/>
      <c r="D19" s="14" t="s">
        <v>286</v>
      </c>
      <c r="E19" s="15">
        <f>SUM(K19:N19)</f>
        <v>-312000</v>
      </c>
      <c r="F19" s="16">
        <f>+'Yahoo Fin Input'!D25-'Yahoo Fin Input'!D21</f>
        <v>-39000</v>
      </c>
      <c r="G19" s="16">
        <f>+'Yahoo Fin Input'!E25-'Yahoo Fin Input'!E21</f>
        <v>-91000</v>
      </c>
      <c r="H19" s="16">
        <f>+'Yahoo Fin Input'!F25-'Yahoo Fin Input'!F21</f>
        <v>-79000</v>
      </c>
      <c r="I19" s="16">
        <f>+'Yahoo Fin Input'!G25-'Yahoo Fin Input'!G21</f>
        <v>43000</v>
      </c>
      <c r="J19" s="13"/>
      <c r="K19" s="71">
        <f>+'Yahoo Fin Input'!K25-'Yahoo Fin Input'!K21</f>
        <v>-50000</v>
      </c>
      <c r="L19" s="71">
        <f>+'Yahoo Fin Input'!L25-'Yahoo Fin Input'!L21</f>
        <v>-87000</v>
      </c>
      <c r="M19" s="71">
        <f>+'Yahoo Fin Input'!M25-'Yahoo Fin Input'!M21</f>
        <v>-65000</v>
      </c>
      <c r="N19" s="71">
        <f>+'Yahoo Fin Input'!N25-'Yahoo Fin Input'!N21</f>
        <v>-110000</v>
      </c>
      <c r="O19" s="18"/>
    </row>
    <row r="20" spans="1:15" ht="13.5" customHeight="1">
      <c r="A20">
        <f>ROW()</f>
        <v>20</v>
      </c>
      <c r="B20" s="9"/>
      <c r="C20" s="383" t="s">
        <v>16</v>
      </c>
      <c r="D20" s="383"/>
      <c r="E20" s="17">
        <f>+E18+E19</f>
        <v>363000</v>
      </c>
      <c r="F20" s="12">
        <f>+F18+F19</f>
        <v>561000</v>
      </c>
      <c r="G20" s="12">
        <f>+G18+G19</f>
        <v>-65000</v>
      </c>
      <c r="H20" s="12">
        <v>666000</v>
      </c>
      <c r="I20" s="12">
        <v>666001</v>
      </c>
      <c r="J20" s="13"/>
      <c r="K20" s="12">
        <f>+K18+K19</f>
        <v>127000</v>
      </c>
      <c r="L20" s="12">
        <f>+L18+L19</f>
        <v>33000</v>
      </c>
      <c r="M20" s="12">
        <f>+M18+M19</f>
        <v>191000</v>
      </c>
      <c r="N20" s="12">
        <f>+N18+N19</f>
        <v>12000</v>
      </c>
      <c r="O20" s="18"/>
    </row>
    <row r="21" spans="1:15" ht="13.5" customHeight="1">
      <c r="A21">
        <f>ROW()</f>
        <v>21</v>
      </c>
      <c r="B21" s="9"/>
      <c r="C21" s="14"/>
      <c r="D21" s="14" t="s">
        <v>17</v>
      </c>
      <c r="E21" s="15">
        <f>SUM(K21:N21)</f>
        <v>221000</v>
      </c>
      <c r="F21" s="16">
        <f>+'Yahoo Fin Input'!D26</f>
        <v>236000</v>
      </c>
      <c r="G21" s="16">
        <f>+'Yahoo Fin Input'!E26</f>
        <v>227000</v>
      </c>
      <c r="H21" s="16">
        <f>+'Yahoo Fin Input'!F26</f>
        <v>210000</v>
      </c>
      <c r="I21" s="16">
        <f>+'Yahoo Fin Input'!G26</f>
        <v>168000</v>
      </c>
      <c r="J21" s="13"/>
      <c r="K21" s="26">
        <f>+'Yahoo Fin Input'!K26</f>
        <v>52000</v>
      </c>
      <c r="L21" s="26">
        <f>+'Yahoo Fin Input'!L26</f>
        <v>54000</v>
      </c>
      <c r="M21" s="26">
        <f>+'Yahoo Fin Input'!M26</f>
        <v>56000</v>
      </c>
      <c r="N21" s="26">
        <f>+'Yahoo Fin Input'!N26</f>
        <v>59000</v>
      </c>
      <c r="O21" s="18"/>
    </row>
    <row r="22" spans="1:15" ht="13.5" customHeight="1">
      <c r="A22">
        <f>ROW()</f>
        <v>22</v>
      </c>
      <c r="B22" s="9"/>
      <c r="C22" s="14"/>
      <c r="D22" s="14" t="s">
        <v>18</v>
      </c>
      <c r="E22" s="17">
        <f>+E20-E21</f>
        <v>142000</v>
      </c>
      <c r="F22" s="12">
        <f>+F20-F21</f>
        <v>325000</v>
      </c>
      <c r="G22" s="12">
        <f>+G20-G21</f>
        <v>-292000</v>
      </c>
      <c r="H22" s="12">
        <f>+H20-H21</f>
        <v>456000</v>
      </c>
      <c r="I22" s="12">
        <f>+I20-I21</f>
        <v>498001</v>
      </c>
      <c r="J22" s="13"/>
      <c r="K22" s="12">
        <f>+K20-K21</f>
        <v>75000</v>
      </c>
      <c r="L22" s="12">
        <f>+L20-L21</f>
        <v>-21000</v>
      </c>
      <c r="M22" s="12">
        <f>+M20-M21</f>
        <v>135000</v>
      </c>
      <c r="N22" s="12">
        <f>+N20-N21</f>
        <v>-47000</v>
      </c>
      <c r="O22" s="18"/>
    </row>
    <row r="23" spans="1:15" ht="13.5" customHeight="1">
      <c r="A23">
        <f>ROW()</f>
        <v>23</v>
      </c>
      <c r="B23" s="9"/>
      <c r="C23" s="14"/>
      <c r="D23" s="14" t="s">
        <v>19</v>
      </c>
      <c r="E23" s="22">
        <f>SUM(K23:N23)</f>
        <v>0</v>
      </c>
      <c r="F23" s="23">
        <f>+'Yahoo Fin Input'!D28</f>
        <v>27000</v>
      </c>
      <c r="G23" s="23">
        <f>+'Yahoo Fin Input'!E28</f>
        <v>-293000</v>
      </c>
      <c r="H23" s="23">
        <f>+'Yahoo Fin Input'!F28</f>
        <v>76000</v>
      </c>
      <c r="I23" s="23">
        <f>+'Yahoo Fin Input'!G28</f>
        <v>189000</v>
      </c>
      <c r="J23" s="13"/>
      <c r="K23" s="24">
        <f>+'Yahoo Fin Input'!K28</f>
        <v>-16000</v>
      </c>
      <c r="L23" s="24">
        <f>+'Yahoo Fin Input'!L28</f>
        <v>10000</v>
      </c>
      <c r="M23" s="24">
        <f>+'Yahoo Fin Input'!M28</f>
        <v>-5000</v>
      </c>
      <c r="N23" s="24">
        <f>+'Yahoo Fin Input'!N28</f>
        <v>11000</v>
      </c>
      <c r="O23" s="18"/>
    </row>
    <row r="24" spans="1:15" ht="13.5" customHeight="1">
      <c r="A24">
        <f>ROW()</f>
        <v>24</v>
      </c>
      <c r="B24" s="9"/>
      <c r="C24" s="14"/>
      <c r="D24" s="14" t="s">
        <v>20</v>
      </c>
      <c r="E24" s="15">
        <f>SUM(K24:N24)</f>
        <v>2000</v>
      </c>
      <c r="F24" s="16">
        <f>+'Yahoo Fin Input'!D29</f>
        <v>2000</v>
      </c>
      <c r="G24" s="16">
        <f>+'Yahoo Fin Input'!E29</f>
        <v>2000</v>
      </c>
      <c r="H24" s="16">
        <f>+'Yahoo Fin Input'!F29</f>
        <v>0</v>
      </c>
      <c r="I24" s="16">
        <f>+'Yahoo Fin Input'!G29</f>
        <v>-1000</v>
      </c>
      <c r="J24" s="13"/>
      <c r="K24" s="26">
        <f>+'Yahoo Fin Input'!K29</f>
        <v>0</v>
      </c>
      <c r="L24" s="26">
        <f>+'Yahoo Fin Input'!L29</f>
        <v>2000</v>
      </c>
      <c r="M24" s="26">
        <f>+'Yahoo Fin Input'!M29</f>
        <v>0</v>
      </c>
      <c r="N24" s="26">
        <f>+'Yahoo Fin Input'!N29</f>
        <v>0</v>
      </c>
      <c r="O24" s="18"/>
    </row>
    <row r="25" spans="1:15" ht="13.5" customHeight="1">
      <c r="A25">
        <f>ROW()</f>
        <v>25</v>
      </c>
      <c r="B25" s="9"/>
      <c r="C25" s="14"/>
      <c r="D25" s="14" t="s">
        <v>21</v>
      </c>
      <c r="E25" s="17">
        <f>+E22-E23-E24</f>
        <v>140000</v>
      </c>
      <c r="F25" s="12">
        <f>+F22-F23+F24</f>
        <v>300000</v>
      </c>
      <c r="G25" s="12">
        <f>+G22-G23+G24</f>
        <v>3000</v>
      </c>
      <c r="H25" s="12">
        <f>+H22-H23+H24</f>
        <v>380000</v>
      </c>
      <c r="I25" s="12">
        <f>+I22-I23+I24</f>
        <v>308001</v>
      </c>
      <c r="J25" s="13"/>
      <c r="K25" s="12">
        <f>+K22-K23+K24</f>
        <v>91000</v>
      </c>
      <c r="L25" s="12">
        <f>+L22-L23+L24</f>
        <v>-29000</v>
      </c>
      <c r="M25" s="12">
        <f>+M22-M23+M24</f>
        <v>140000</v>
      </c>
      <c r="N25" s="12">
        <f>+N22-N23+N24</f>
        <v>-58000</v>
      </c>
      <c r="O25" s="18"/>
    </row>
    <row r="26" spans="1:15" ht="13.5" customHeight="1">
      <c r="A26">
        <f>ROW()</f>
        <v>26</v>
      </c>
      <c r="B26" s="9"/>
      <c r="C26" s="14"/>
      <c r="D26" s="14"/>
      <c r="E26" s="17"/>
      <c r="F26" s="12"/>
      <c r="G26" s="12"/>
      <c r="H26" s="12"/>
      <c r="I26" s="12"/>
      <c r="J26" s="13"/>
      <c r="K26" s="12"/>
      <c r="L26" s="12"/>
      <c r="M26" s="12"/>
      <c r="N26" s="12"/>
      <c r="O26" s="18"/>
    </row>
    <row r="27" spans="1:15" ht="13.5" customHeight="1">
      <c r="A27">
        <f>ROW()</f>
        <v>27</v>
      </c>
      <c r="B27" s="9"/>
      <c r="C27" s="14"/>
      <c r="D27" s="18" t="s">
        <v>22</v>
      </c>
      <c r="E27" s="19"/>
      <c r="F27" s="18"/>
      <c r="G27" s="18"/>
      <c r="H27" s="18"/>
      <c r="I27" s="18"/>
      <c r="J27" s="13"/>
      <c r="K27" s="24"/>
      <c r="L27" s="24"/>
      <c r="M27" s="24"/>
      <c r="N27" s="24"/>
      <c r="O27" s="18"/>
    </row>
    <row r="28" spans="1:15" ht="13.5" customHeight="1">
      <c r="A28">
        <f>ROW()</f>
        <v>28</v>
      </c>
      <c r="B28" s="9"/>
      <c r="C28" s="14"/>
      <c r="D28" s="14" t="s">
        <v>23</v>
      </c>
      <c r="E28" s="22">
        <f>SUM(K28:N28)</f>
        <v>112000</v>
      </c>
      <c r="F28" s="23">
        <f>+'Yahoo Fin Input'!D34</f>
        <v>167000</v>
      </c>
      <c r="G28" s="23">
        <f>+'Yahoo Fin Input'!E34</f>
        <v>74000</v>
      </c>
      <c r="H28" s="23">
        <f>+'Yahoo Fin Input'!F34</f>
        <v>75000</v>
      </c>
      <c r="I28" s="23">
        <f>+'Yahoo Fin Input'!G34</f>
        <v>-1000</v>
      </c>
      <c r="J28" s="13"/>
      <c r="K28" s="24">
        <f>+'Yahoo Fin Input'!K34</f>
        <v>-19000</v>
      </c>
      <c r="L28" s="24">
        <f>+'Yahoo Fin Input'!L34</f>
        <v>-1000</v>
      </c>
      <c r="M28" s="24">
        <f>+'Yahoo Fin Input'!M34</f>
        <v>133000</v>
      </c>
      <c r="N28" s="24">
        <f>+'Yahoo Fin Input'!N34</f>
        <v>-1000</v>
      </c>
      <c r="O28" s="18"/>
    </row>
    <row r="29" spans="1:15" ht="13.5" customHeight="1">
      <c r="A29">
        <f>ROW()</f>
        <v>29</v>
      </c>
      <c r="B29" s="9"/>
      <c r="C29" s="14"/>
      <c r="D29" s="14" t="s">
        <v>24</v>
      </c>
      <c r="E29" s="22">
        <f>SUM(K29:N29)</f>
        <v>0</v>
      </c>
      <c r="F29" s="23">
        <f>+'Yahoo Fin Input'!D35</f>
        <v>0</v>
      </c>
      <c r="G29" s="23">
        <f>+'Yahoo Fin Input'!E35</f>
        <v>0</v>
      </c>
      <c r="H29" s="23">
        <f>+'Yahoo Fin Input'!F35</f>
        <v>0</v>
      </c>
      <c r="I29" s="23">
        <f>+'Yahoo Fin Input'!G35</f>
        <v>0</v>
      </c>
      <c r="J29" s="13"/>
      <c r="K29" s="24">
        <f>+'Yahoo Fin Input'!K35</f>
        <v>0</v>
      </c>
      <c r="L29" s="24">
        <f>+'Yahoo Fin Input'!L35</f>
        <v>0</v>
      </c>
      <c r="M29" s="24">
        <f>+'Yahoo Fin Input'!M35</f>
        <v>0</v>
      </c>
      <c r="N29" s="24">
        <f>+'Yahoo Fin Input'!N35</f>
        <v>0</v>
      </c>
      <c r="O29" s="18"/>
    </row>
    <row r="30" spans="1:15" ht="13.5" customHeight="1">
      <c r="A30">
        <f>ROW()</f>
        <v>30</v>
      </c>
      <c r="B30" s="9"/>
      <c r="C30" s="14"/>
      <c r="D30" s="14" t="s">
        <v>25</v>
      </c>
      <c r="E30" s="22">
        <f>SUM(K30:N30)</f>
        <v>0</v>
      </c>
      <c r="F30" s="23">
        <f>+'Yahoo Fin Input'!D36</f>
        <v>0</v>
      </c>
      <c r="G30" s="23">
        <f>+'Yahoo Fin Input'!E36</f>
        <v>0</v>
      </c>
      <c r="H30" s="23">
        <f>+'Yahoo Fin Input'!F36</f>
        <v>0</v>
      </c>
      <c r="I30" s="23">
        <f>+'Yahoo Fin Input'!G36</f>
        <v>0</v>
      </c>
      <c r="J30" s="13"/>
      <c r="K30" s="24">
        <f>+'Yahoo Fin Input'!K36</f>
        <v>0</v>
      </c>
      <c r="L30" s="24">
        <f>+'Yahoo Fin Input'!L36</f>
        <v>0</v>
      </c>
      <c r="M30" s="24">
        <f>+'Yahoo Fin Input'!M36</f>
        <v>0</v>
      </c>
      <c r="N30" s="24">
        <f>+'Yahoo Fin Input'!N36</f>
        <v>0</v>
      </c>
      <c r="O30" s="18"/>
    </row>
    <row r="31" spans="1:15" ht="13.5" customHeight="1">
      <c r="A31">
        <f>ROW()</f>
        <v>31</v>
      </c>
      <c r="B31" s="9"/>
      <c r="C31" s="14"/>
      <c r="D31" s="14" t="s">
        <v>26</v>
      </c>
      <c r="E31" s="15">
        <f>SUM(K31:N31)</f>
        <v>0</v>
      </c>
      <c r="F31" s="16">
        <f>+'Yahoo Fin Input'!D37</f>
        <v>0</v>
      </c>
      <c r="G31" s="16">
        <f>+'Yahoo Fin Input'!E37</f>
        <v>0</v>
      </c>
      <c r="H31" s="16">
        <f>+'Yahoo Fin Input'!F37</f>
        <v>0</v>
      </c>
      <c r="I31" s="16">
        <f>+'Yahoo Fin Input'!G37</f>
        <v>0</v>
      </c>
      <c r="J31" s="13"/>
      <c r="K31" s="26">
        <f>+'Yahoo Fin Input'!K37</f>
        <v>0</v>
      </c>
      <c r="L31" s="26">
        <f>+'Yahoo Fin Input'!L37</f>
        <v>0</v>
      </c>
      <c r="M31" s="26">
        <f>+'Yahoo Fin Input'!M37</f>
        <v>0</v>
      </c>
      <c r="N31" s="26">
        <f>+'Yahoo Fin Input'!N37</f>
        <v>0</v>
      </c>
      <c r="O31" s="18"/>
    </row>
    <row r="32" spans="1:15" ht="13.5" customHeight="1">
      <c r="A32">
        <f>ROW()</f>
        <v>32</v>
      </c>
      <c r="B32" s="9"/>
      <c r="C32" s="383" t="s">
        <v>27</v>
      </c>
      <c r="D32" s="383"/>
      <c r="E32" s="17">
        <f>+E25+SUM(E28:E31)</f>
        <v>252000</v>
      </c>
      <c r="F32" s="12">
        <f>+F25+SUM(F28:F31)</f>
        <v>467000</v>
      </c>
      <c r="G32" s="12">
        <f>+G25+SUM(G28:G31)</f>
        <v>77000</v>
      </c>
      <c r="H32" s="12">
        <f>+H25+SUM(H28:H31)</f>
        <v>455000</v>
      </c>
      <c r="I32" s="12">
        <f>+I25+SUM(I28:I31)</f>
        <v>307001</v>
      </c>
      <c r="J32" s="13"/>
      <c r="K32" s="12">
        <f>+K25+SUM(K28:K31)</f>
        <v>72000</v>
      </c>
      <c r="L32" s="12">
        <f>+L25+SUM(L28:L31)</f>
        <v>-30000</v>
      </c>
      <c r="M32" s="12">
        <f>+M25+SUM(M28:M31)</f>
        <v>273000</v>
      </c>
      <c r="N32" s="12">
        <f>+N25+SUM(N28:N31)</f>
        <v>-59000</v>
      </c>
      <c r="O32" s="18"/>
    </row>
    <row r="33" spans="1:15" ht="13.5" customHeight="1">
      <c r="A33">
        <f>ROW()</f>
        <v>33</v>
      </c>
      <c r="B33" s="9"/>
      <c r="C33" s="384" t="s">
        <v>28</v>
      </c>
      <c r="D33" s="384"/>
      <c r="E33" s="15">
        <f>SUM(K33:N33)</f>
        <v>0</v>
      </c>
      <c r="F33" s="16">
        <v>0</v>
      </c>
      <c r="G33" s="16">
        <v>0</v>
      </c>
      <c r="H33" s="16">
        <v>0</v>
      </c>
      <c r="I33" s="16">
        <v>0</v>
      </c>
      <c r="J33" s="13"/>
      <c r="K33" s="16">
        <v>0</v>
      </c>
      <c r="L33" s="16">
        <v>0</v>
      </c>
      <c r="M33" s="16">
        <v>0</v>
      </c>
      <c r="N33" s="16">
        <v>0</v>
      </c>
      <c r="O33" s="18"/>
    </row>
    <row r="34" spans="1:15" ht="13.5" customHeight="1" thickBot="1">
      <c r="A34">
        <f>ROW()</f>
        <v>34</v>
      </c>
      <c r="B34" s="9"/>
      <c r="C34" s="383" t="s">
        <v>29</v>
      </c>
      <c r="D34" s="383"/>
      <c r="E34" s="345">
        <f>+E32-E33</f>
        <v>252000</v>
      </c>
      <c r="F34" s="27">
        <f>+F32-F33</f>
        <v>467000</v>
      </c>
      <c r="G34" s="27">
        <f>+G32-G33</f>
        <v>77000</v>
      </c>
      <c r="H34" s="27">
        <f>+H32-H33</f>
        <v>455000</v>
      </c>
      <c r="I34" s="27">
        <f>+I32-I33</f>
        <v>307001</v>
      </c>
      <c r="J34" s="13"/>
      <c r="K34" s="27">
        <f>+K32-K33</f>
        <v>72000</v>
      </c>
      <c r="L34" s="27">
        <f>+L32-L33</f>
        <v>-30000</v>
      </c>
      <c r="M34" s="27">
        <f>+M32-M33</f>
        <v>273000</v>
      </c>
      <c r="N34" s="27">
        <f>+N32-N33</f>
        <v>-59000</v>
      </c>
      <c r="O34" s="18"/>
    </row>
    <row r="35" spans="1:15" ht="13.5" customHeight="1" thickTop="1">
      <c r="A35">
        <f>ROW()</f>
        <v>35</v>
      </c>
      <c r="B35" s="9"/>
      <c r="C35" s="10"/>
      <c r="D35" s="10"/>
      <c r="E35" s="10"/>
      <c r="F35" s="10"/>
      <c r="G35" s="28"/>
      <c r="H35" s="28"/>
      <c r="I35" s="28"/>
      <c r="J35" s="13"/>
      <c r="K35" s="24"/>
      <c r="L35" s="24"/>
      <c r="M35" s="24"/>
      <c r="N35" s="24"/>
      <c r="O35" s="18"/>
    </row>
    <row r="36" spans="1:15" ht="13.5" customHeight="1">
      <c r="A36">
        <f>ROW()</f>
        <v>36</v>
      </c>
      <c r="B36" s="9"/>
      <c r="C36" s="5"/>
      <c r="D36" s="5"/>
      <c r="E36" s="5"/>
      <c r="F36" s="5"/>
      <c r="G36" s="5"/>
      <c r="H36" s="5"/>
      <c r="I36" s="5"/>
      <c r="J36" s="5"/>
      <c r="K36" s="24"/>
      <c r="L36" s="24"/>
      <c r="M36" s="24"/>
      <c r="N36" s="24"/>
      <c r="O36" s="18"/>
    </row>
    <row r="37" spans="1:15" ht="15.75" customHeight="1">
      <c r="A37">
        <f>ROW()</f>
        <v>37</v>
      </c>
      <c r="B37" s="9"/>
      <c r="C37" s="1" t="str">
        <f>+C1</f>
        <v>Starwood Hotels &amp; Resorts Worldwide Inc. (HOT)</v>
      </c>
      <c r="K37" s="24"/>
      <c r="L37" s="24"/>
      <c r="M37" s="24"/>
      <c r="N37" s="24"/>
      <c r="O37" s="18"/>
    </row>
    <row r="38" spans="1:15" ht="13.5" customHeight="1">
      <c r="A38">
        <f>ROW()</f>
        <v>38</v>
      </c>
      <c r="B38" s="9"/>
      <c r="C38" s="2" t="s">
        <v>30</v>
      </c>
      <c r="K38" s="24"/>
      <c r="L38" s="24"/>
      <c r="M38" s="24"/>
      <c r="N38" s="24"/>
      <c r="O38" s="18"/>
    </row>
    <row r="39" spans="1:17" ht="13.5" customHeight="1" thickBot="1">
      <c r="A39">
        <f>ROW()</f>
        <v>39</v>
      </c>
      <c r="B39" s="9"/>
      <c r="K39" s="24"/>
      <c r="L39" s="24"/>
      <c r="M39" s="24"/>
      <c r="N39" s="24"/>
      <c r="O39" s="18"/>
      <c r="P39" s="29"/>
      <c r="Q39" s="29"/>
    </row>
    <row r="40" spans="1:17" ht="13.5" customHeight="1" thickBot="1">
      <c r="A40">
        <f>ROW()</f>
        <v>40</v>
      </c>
      <c r="B40" s="9"/>
      <c r="C40" s="30" t="s">
        <v>4</v>
      </c>
      <c r="D40" s="31"/>
      <c r="E40" s="32">
        <f>+'Yahoo Fin Input'!K46</f>
        <v>40724</v>
      </c>
      <c r="F40" s="33">
        <f>+F6</f>
        <v>40543</v>
      </c>
      <c r="G40" s="33">
        <f>+G6</f>
        <v>40178</v>
      </c>
      <c r="H40" s="33">
        <f>+H6</f>
        <v>39813</v>
      </c>
      <c r="I40" s="33">
        <f>+I6</f>
        <v>39447</v>
      </c>
      <c r="K40" s="24"/>
      <c r="L40" s="35"/>
      <c r="M40" s="35"/>
      <c r="N40" s="35"/>
      <c r="O40" s="35"/>
      <c r="P40" s="35"/>
      <c r="Q40" s="35"/>
    </row>
    <row r="41" spans="1:17" ht="13.5" customHeight="1">
      <c r="A41">
        <f>ROW()</f>
        <v>41</v>
      </c>
      <c r="B41" s="9"/>
      <c r="C41" s="36" t="s">
        <v>31</v>
      </c>
      <c r="D41" s="36"/>
      <c r="E41" s="37"/>
      <c r="F41" s="36"/>
      <c r="G41" s="36"/>
      <c r="H41" s="36"/>
      <c r="I41" s="36"/>
      <c r="K41" s="24"/>
      <c r="L41" s="35"/>
      <c r="M41" s="35"/>
      <c r="N41" s="38"/>
      <c r="O41" s="38"/>
      <c r="P41" s="38"/>
      <c r="Q41" s="38"/>
    </row>
    <row r="42" spans="1:17" ht="13.5" customHeight="1">
      <c r="A42">
        <f>ROW()</f>
        <v>42</v>
      </c>
      <c r="B42" s="9"/>
      <c r="C42" s="39" t="s">
        <v>32</v>
      </c>
      <c r="D42" s="39"/>
      <c r="E42" s="40"/>
      <c r="F42" s="39"/>
      <c r="G42" s="39"/>
      <c r="H42" s="39"/>
      <c r="I42" s="39"/>
      <c r="K42" s="24"/>
      <c r="L42" s="35"/>
      <c r="M42" s="35"/>
      <c r="N42" s="38"/>
      <c r="O42" s="38"/>
      <c r="P42" s="38"/>
      <c r="Q42" s="38"/>
    </row>
    <row r="43" spans="1:17" ht="13.5" customHeight="1">
      <c r="A43">
        <f>ROW()</f>
        <v>43</v>
      </c>
      <c r="B43" s="9"/>
      <c r="C43" s="18"/>
      <c r="D43" s="18" t="s">
        <v>33</v>
      </c>
      <c r="E43" s="19">
        <f>+'Yahoo Fin Input'!K50</f>
        <v>1077000</v>
      </c>
      <c r="F43" s="24">
        <f>+'Yahoo Fin Input'!D50</f>
        <v>806000</v>
      </c>
      <c r="G43" s="24">
        <f>+'Yahoo Fin Input'!E50</f>
        <v>134000</v>
      </c>
      <c r="H43" s="24">
        <f>+'Yahoo Fin Input'!F50</f>
        <v>485000</v>
      </c>
      <c r="I43" s="24">
        <f>+'Yahoo Fin Input'!G50</f>
        <v>358000</v>
      </c>
      <c r="K43" s="24"/>
      <c r="L43" s="35"/>
      <c r="M43" s="35"/>
      <c r="N43" s="38"/>
      <c r="O43" s="38"/>
      <c r="P43" s="38"/>
      <c r="Q43" s="38"/>
    </row>
    <row r="44" spans="1:17" ht="13.5" customHeight="1">
      <c r="A44">
        <f>ROW()</f>
        <v>44</v>
      </c>
      <c r="B44" s="9"/>
      <c r="C44" s="18"/>
      <c r="D44" s="18" t="s">
        <v>34</v>
      </c>
      <c r="E44" s="19">
        <f>+'Yahoo Fin Input'!K51</f>
        <v>0</v>
      </c>
      <c r="F44" s="24" t="str">
        <f>+'Yahoo Fin Input'!D51</f>
        <v>-  </v>
      </c>
      <c r="G44" s="24" t="str">
        <f>+'Yahoo Fin Input'!E51</f>
        <v>-  </v>
      </c>
      <c r="H44" s="24" t="str">
        <f>+'Yahoo Fin Input'!F51</f>
        <v>-  </v>
      </c>
      <c r="I44" s="24">
        <f>+'Yahoo Fin Input'!G51</f>
        <v>0</v>
      </c>
      <c r="K44" s="24"/>
      <c r="L44" s="35"/>
      <c r="M44" s="35"/>
      <c r="N44" s="38"/>
      <c r="O44" s="38"/>
      <c r="P44" s="38"/>
      <c r="Q44" s="38"/>
    </row>
    <row r="45" spans="1:17" ht="13.5" customHeight="1">
      <c r="A45">
        <f>ROW()</f>
        <v>45</v>
      </c>
      <c r="B45" s="9"/>
      <c r="C45" s="18"/>
      <c r="D45" s="18" t="s">
        <v>35</v>
      </c>
      <c r="E45" s="19">
        <f>+'Yahoo Fin Input'!K52</f>
        <v>640000</v>
      </c>
      <c r="F45" s="24">
        <f>+'Yahoo Fin Input'!D52</f>
        <v>572000</v>
      </c>
      <c r="G45" s="24">
        <f>+'Yahoo Fin Input'!E52</f>
        <v>445000</v>
      </c>
      <c r="H45" s="24">
        <f>+'Yahoo Fin Input'!F52</f>
        <v>552000</v>
      </c>
      <c r="I45" s="24">
        <f>+'Yahoo Fin Input'!G52</f>
        <v>616000</v>
      </c>
      <c r="K45" s="41"/>
      <c r="L45" s="35"/>
      <c r="M45" s="35"/>
      <c r="N45" s="38"/>
      <c r="O45" s="38"/>
      <c r="P45" s="38"/>
      <c r="Q45" s="38"/>
    </row>
    <row r="46" spans="1:17" ht="13.5" customHeight="1">
      <c r="A46">
        <f>ROW()</f>
        <v>46</v>
      </c>
      <c r="B46" s="9"/>
      <c r="C46" s="18"/>
      <c r="D46" s="18" t="s">
        <v>36</v>
      </c>
      <c r="E46" s="19">
        <f>+'Yahoo Fin Input'!K53</f>
        <v>848000</v>
      </c>
      <c r="F46" s="24">
        <f>+'Yahoo Fin Input'!D53</f>
        <v>802000</v>
      </c>
      <c r="G46" s="24">
        <f>+'Yahoo Fin Input'!E53</f>
        <v>783000</v>
      </c>
      <c r="H46" s="24">
        <f>+'Yahoo Fin Input'!F53</f>
        <v>986000</v>
      </c>
      <c r="I46" s="24">
        <f>+'Yahoo Fin Input'!G53</f>
        <v>714000</v>
      </c>
      <c r="K46" s="41"/>
      <c r="L46" s="42"/>
      <c r="M46" s="42"/>
      <c r="N46" s="43"/>
      <c r="O46" s="43"/>
      <c r="P46" s="43"/>
      <c r="Q46" s="43"/>
    </row>
    <row r="47" spans="1:17" ht="13.5" customHeight="1">
      <c r="A47">
        <f>ROW()</f>
        <v>47</v>
      </c>
      <c r="B47" s="9"/>
      <c r="C47" s="18"/>
      <c r="D47" s="18" t="s">
        <v>37</v>
      </c>
      <c r="E47" s="44">
        <f>+'Yahoo Fin Input'!K54</f>
        <v>185000</v>
      </c>
      <c r="F47" s="74">
        <f>+'Yahoo Fin Input'!D54</f>
        <v>126000</v>
      </c>
      <c r="G47" s="26">
        <f>+'Yahoo Fin Input'!E54</f>
        <v>127000</v>
      </c>
      <c r="H47" s="26">
        <f>+'Yahoo Fin Input'!F54</f>
        <v>143000</v>
      </c>
      <c r="I47" s="26">
        <f>+'Yahoo Fin Input'!G54</f>
        <v>136000</v>
      </c>
      <c r="K47" s="41"/>
      <c r="L47" s="35"/>
      <c r="M47" s="35"/>
      <c r="N47" s="38"/>
      <c r="O47" s="38"/>
      <c r="P47" s="38"/>
      <c r="Q47" s="38"/>
    </row>
    <row r="48" spans="1:17" ht="13.5" customHeight="1">
      <c r="A48">
        <f>ROW()</f>
        <v>48</v>
      </c>
      <c r="B48" s="9"/>
      <c r="C48" s="20" t="s">
        <v>38</v>
      </c>
      <c r="D48" s="20"/>
      <c r="E48" s="45">
        <f>SUM(E43:E47)</f>
        <v>2750000</v>
      </c>
      <c r="F48" s="46">
        <f>SUM(F43:F47)</f>
        <v>2306000</v>
      </c>
      <c r="G48" s="46">
        <f>SUM(G43:G47)</f>
        <v>1489000</v>
      </c>
      <c r="H48" s="46">
        <f>SUM(H43:H47)</f>
        <v>2166000</v>
      </c>
      <c r="I48" s="46">
        <f>SUM(I43:I47)</f>
        <v>1824000</v>
      </c>
      <c r="K48" s="41"/>
      <c r="L48" s="35"/>
      <c r="M48" s="35"/>
      <c r="N48" s="38"/>
      <c r="O48" s="38"/>
      <c r="P48" s="38"/>
      <c r="Q48" s="38"/>
    </row>
    <row r="49" spans="1:17" ht="13.5" customHeight="1">
      <c r="A49">
        <f>ROW()</f>
        <v>49</v>
      </c>
      <c r="B49" s="9"/>
      <c r="C49" s="20"/>
      <c r="D49" s="20"/>
      <c r="E49" s="45"/>
      <c r="F49" s="46"/>
      <c r="G49" s="46"/>
      <c r="H49" s="46"/>
      <c r="I49" s="46"/>
      <c r="K49" s="41"/>
      <c r="L49" s="35"/>
      <c r="M49" s="35"/>
      <c r="N49" s="38"/>
      <c r="O49" s="38"/>
      <c r="P49" s="38"/>
      <c r="Q49" s="38"/>
    </row>
    <row r="50" spans="1:17" ht="13.5" customHeight="1">
      <c r="A50">
        <f>ROW()</f>
        <v>50</v>
      </c>
      <c r="B50" s="9"/>
      <c r="C50" s="18" t="s">
        <v>39</v>
      </c>
      <c r="D50" s="18"/>
      <c r="E50" s="19">
        <f>+'Yahoo Fin Input'!K57</f>
        <v>645000</v>
      </c>
      <c r="F50" s="24">
        <f>+'Yahoo Fin Input'!D57</f>
        <v>720000</v>
      </c>
      <c r="G50" s="24">
        <f>+'Yahoo Fin Input'!E57</f>
        <v>368000</v>
      </c>
      <c r="H50" s="24">
        <f>+'Yahoo Fin Input'!F57</f>
        <v>848000</v>
      </c>
      <c r="I50" s="24">
        <f>+'Yahoo Fin Input'!G57</f>
        <v>837000</v>
      </c>
      <c r="K50" s="41"/>
      <c r="L50" s="35"/>
      <c r="M50" s="35"/>
      <c r="N50" s="38"/>
      <c r="O50" s="38"/>
      <c r="P50" s="38"/>
      <c r="Q50" s="38"/>
    </row>
    <row r="51" spans="1:17" ht="13.5" customHeight="1">
      <c r="A51">
        <f>ROW()</f>
        <v>51</v>
      </c>
      <c r="B51" s="9"/>
      <c r="C51" s="18" t="s">
        <v>40</v>
      </c>
      <c r="D51" s="18"/>
      <c r="E51" s="19">
        <f>+'Yahoo Fin Input'!K58</f>
        <v>3129000</v>
      </c>
      <c r="F51" s="24">
        <f>+'Yahoo Fin Input'!D58</f>
        <v>3323000</v>
      </c>
      <c r="G51" s="24">
        <f>+'Yahoo Fin Input'!E58</f>
        <v>3421000</v>
      </c>
      <c r="H51" s="24">
        <f>+'Yahoo Fin Input'!F58</f>
        <v>3609000</v>
      </c>
      <c r="I51" s="24">
        <f>+'Yahoo Fin Input'!G58</f>
        <v>3850000</v>
      </c>
      <c r="K51" s="41"/>
      <c r="L51" s="35"/>
      <c r="M51" s="35"/>
      <c r="N51" s="38"/>
      <c r="O51" s="38"/>
      <c r="P51" s="38"/>
      <c r="Q51" s="38"/>
    </row>
    <row r="52" spans="1:17" ht="13.5" customHeight="1">
      <c r="A52">
        <f>ROW()</f>
        <v>52</v>
      </c>
      <c r="B52" s="9"/>
      <c r="C52" s="18" t="s">
        <v>41</v>
      </c>
      <c r="D52" s="18"/>
      <c r="E52" s="19">
        <f>+'Yahoo Fin Input'!K59</f>
        <v>0</v>
      </c>
      <c r="F52" s="24" t="str">
        <f>+'Yahoo Fin Input'!D59</f>
        <v>-  </v>
      </c>
      <c r="G52" s="24" t="str">
        <f>+'Yahoo Fin Input'!E59</f>
        <v>-  </v>
      </c>
      <c r="H52" s="24">
        <f>+'Yahoo Fin Input'!F59</f>
        <v>1639000</v>
      </c>
      <c r="I52" s="24">
        <f>+'Yahoo Fin Input'!G59</f>
        <v>2302000</v>
      </c>
      <c r="K52" s="41"/>
      <c r="L52" s="35"/>
      <c r="M52" s="35"/>
      <c r="N52" s="38"/>
      <c r="O52" s="38"/>
      <c r="P52" s="38"/>
      <c r="Q52" s="38"/>
    </row>
    <row r="53" spans="1:17" ht="13.5" customHeight="1">
      <c r="A53">
        <f>ROW()</f>
        <v>53</v>
      </c>
      <c r="B53" s="9"/>
      <c r="C53" s="18" t="s">
        <v>42</v>
      </c>
      <c r="D53" s="18"/>
      <c r="E53" s="19">
        <f>+'Yahoo Fin Input'!K60</f>
        <v>2047000</v>
      </c>
      <c r="F53" s="24">
        <f>+'Yahoo Fin Input'!D60</f>
        <v>2067000</v>
      </c>
      <c r="G53" s="24">
        <f>+'Yahoo Fin Input'!E60</f>
        <v>2063000</v>
      </c>
      <c r="H53" s="24">
        <f>+'Yahoo Fin Input'!F60</f>
        <v>596000</v>
      </c>
      <c r="I53" s="24">
        <f>+'Yahoo Fin Input'!G60</f>
        <v>0</v>
      </c>
      <c r="K53" s="41"/>
      <c r="L53" s="35"/>
      <c r="M53" s="35"/>
      <c r="N53" s="38"/>
      <c r="O53" s="38"/>
      <c r="P53" s="38"/>
      <c r="Q53" s="38"/>
    </row>
    <row r="54" spans="1:17" ht="13.5" customHeight="1">
      <c r="A54">
        <f>ROW()</f>
        <v>54</v>
      </c>
      <c r="B54" s="9"/>
      <c r="C54" s="18" t="s">
        <v>43</v>
      </c>
      <c r="D54" s="18"/>
      <c r="E54" s="19">
        <f>+'Yahoo Fin Input'!K61</f>
        <v>0</v>
      </c>
      <c r="F54" s="24" t="str">
        <f>+'Yahoo Fin Input'!D61</f>
        <v>-  </v>
      </c>
      <c r="G54" s="24" t="str">
        <f>+'Yahoo Fin Input'!E61</f>
        <v>-  </v>
      </c>
      <c r="H54" s="24" t="str">
        <f>+'Yahoo Fin Input'!F61</f>
        <v>-  </v>
      </c>
      <c r="I54" s="24">
        <f>+'Yahoo Fin Input'!G61</f>
        <v>0</v>
      </c>
      <c r="K54" s="41"/>
      <c r="L54" s="35"/>
      <c r="M54" s="35"/>
      <c r="N54" s="38"/>
      <c r="O54" s="38"/>
      <c r="P54" s="38"/>
      <c r="Q54" s="38"/>
    </row>
    <row r="55" spans="1:17" ht="13.5" customHeight="1">
      <c r="A55">
        <f>ROW()</f>
        <v>55</v>
      </c>
      <c r="B55" s="9"/>
      <c r="C55" s="18" t="s">
        <v>44</v>
      </c>
      <c r="D55" s="18"/>
      <c r="E55" s="19">
        <f>+'Yahoo Fin Input'!K62</f>
        <v>440000</v>
      </c>
      <c r="F55" s="24">
        <f>+'Yahoo Fin Input'!D62</f>
        <v>381000</v>
      </c>
      <c r="G55" s="24">
        <f>+'Yahoo Fin Input'!E62</f>
        <v>438000</v>
      </c>
      <c r="H55" s="24">
        <f>+'Yahoo Fin Input'!F62</f>
        <v>206000</v>
      </c>
      <c r="I55" s="24">
        <f>+'Yahoo Fin Input'!G62</f>
        <v>80000</v>
      </c>
      <c r="K55" s="41"/>
      <c r="L55" s="35"/>
      <c r="M55" s="35"/>
      <c r="N55" s="38"/>
      <c r="O55" s="38"/>
      <c r="P55" s="38"/>
      <c r="Q55" s="38"/>
    </row>
    <row r="56" spans="1:17" ht="13.5" customHeight="1">
      <c r="A56">
        <f>ROW()</f>
        <v>56</v>
      </c>
      <c r="B56" s="9"/>
      <c r="C56" s="18" t="s">
        <v>45</v>
      </c>
      <c r="D56" s="18"/>
      <c r="E56" s="44">
        <f>+'Yahoo Fin Input'!K63</f>
        <v>988000</v>
      </c>
      <c r="F56" s="74">
        <f>+'Yahoo Fin Input'!D63</f>
        <v>979000</v>
      </c>
      <c r="G56" s="24">
        <f>+'Yahoo Fin Input'!E63</f>
        <v>982000</v>
      </c>
      <c r="H56" s="24">
        <f>+'Yahoo Fin Input'!F63</f>
        <v>639000</v>
      </c>
      <c r="I56" s="24">
        <f>+'Yahoo Fin Input'!G63</f>
        <v>729000</v>
      </c>
      <c r="K56" s="41"/>
      <c r="L56" s="42"/>
      <c r="M56" s="42"/>
      <c r="N56" s="43"/>
      <c r="O56" s="43"/>
      <c r="P56" s="43"/>
      <c r="Q56" s="43"/>
    </row>
    <row r="57" spans="1:17" ht="13.5" customHeight="1" thickBot="1">
      <c r="A57">
        <f>ROW()</f>
        <v>57</v>
      </c>
      <c r="B57" s="9"/>
      <c r="C57" s="20" t="s">
        <v>46</v>
      </c>
      <c r="D57" s="20"/>
      <c r="E57" s="47">
        <f>SUM(E48:E56)</f>
        <v>9999000</v>
      </c>
      <c r="F57" s="48">
        <f>SUM(F48:F56)</f>
        <v>9776000</v>
      </c>
      <c r="G57" s="48">
        <f>SUM(G48:G56)</f>
        <v>8761000</v>
      </c>
      <c r="H57" s="48">
        <f>SUM(H48:H56)</f>
        <v>9703000</v>
      </c>
      <c r="I57" s="48">
        <f>SUM(I48:I56)</f>
        <v>9622000</v>
      </c>
      <c r="K57" s="41"/>
      <c r="L57" s="35"/>
      <c r="M57" s="35"/>
      <c r="N57" s="35"/>
      <c r="O57" s="35"/>
      <c r="P57" s="35"/>
      <c r="Q57" s="35"/>
    </row>
    <row r="58" spans="1:17" ht="13.5" customHeight="1" thickTop="1">
      <c r="A58">
        <f>ROW()</f>
        <v>58</v>
      </c>
      <c r="B58" s="9"/>
      <c r="C58" s="18"/>
      <c r="D58" s="18"/>
      <c r="E58" s="19"/>
      <c r="F58" s="18"/>
      <c r="G58" s="18"/>
      <c r="H58" s="18"/>
      <c r="I58" s="18"/>
      <c r="K58" s="41"/>
      <c r="L58" s="42"/>
      <c r="M58" s="42"/>
      <c r="N58" s="42"/>
      <c r="O58" s="42"/>
      <c r="P58" s="42"/>
      <c r="Q58" s="42"/>
    </row>
    <row r="59" spans="1:17" ht="13.5" customHeight="1">
      <c r="A59">
        <f>ROW()</f>
        <v>59</v>
      </c>
      <c r="B59" s="9"/>
      <c r="C59" s="20" t="s">
        <v>47</v>
      </c>
      <c r="D59" s="20"/>
      <c r="E59" s="21"/>
      <c r="F59" s="20"/>
      <c r="G59" s="20"/>
      <c r="H59" s="20"/>
      <c r="I59" s="20"/>
      <c r="K59" s="41"/>
      <c r="L59" s="35"/>
      <c r="M59" s="35"/>
      <c r="N59" s="35"/>
      <c r="O59" s="35"/>
      <c r="P59" s="35"/>
      <c r="Q59" s="35"/>
    </row>
    <row r="60" spans="1:17" ht="13.5" customHeight="1">
      <c r="A60">
        <f>ROW()</f>
        <v>60</v>
      </c>
      <c r="B60" s="9"/>
      <c r="C60" s="18" t="s">
        <v>48</v>
      </c>
      <c r="D60" s="18"/>
      <c r="E60" s="19"/>
      <c r="F60" s="18"/>
      <c r="G60" s="18"/>
      <c r="H60" s="18"/>
      <c r="I60" s="18"/>
      <c r="K60" s="41"/>
      <c r="L60" s="35"/>
      <c r="M60" s="35"/>
      <c r="N60" s="35"/>
      <c r="O60" s="35"/>
      <c r="P60" s="35"/>
      <c r="Q60" s="35"/>
    </row>
    <row r="61" spans="1:17" ht="13.5" customHeight="1">
      <c r="A61">
        <f>ROW()</f>
        <v>61</v>
      </c>
      <c r="B61" s="9"/>
      <c r="C61" s="18"/>
      <c r="D61" s="18" t="s">
        <v>49</v>
      </c>
      <c r="E61" s="19">
        <f>+'Yahoo Fin Input'!K69</f>
        <v>2009000</v>
      </c>
      <c r="F61" s="24">
        <f>+'Yahoo Fin Input'!D69</f>
        <v>2025000</v>
      </c>
      <c r="G61" s="24">
        <f>+'Yahoo Fin Input'!E69</f>
        <v>2022000</v>
      </c>
      <c r="H61" s="24">
        <f>+'Yahoo Fin Input'!F69</f>
        <v>2182000</v>
      </c>
      <c r="I61" s="24">
        <f>+'Yahoo Fin Input'!G69</f>
        <v>2096000</v>
      </c>
      <c r="K61" s="41"/>
      <c r="L61" s="35"/>
      <c r="M61" s="35"/>
      <c r="N61" s="35"/>
      <c r="O61" s="35"/>
      <c r="P61" s="35"/>
      <c r="Q61" s="35"/>
    </row>
    <row r="62" spans="1:17" ht="13.5" customHeight="1">
      <c r="A62">
        <f>ROW()</f>
        <v>62</v>
      </c>
      <c r="B62" s="9"/>
      <c r="C62" s="18"/>
      <c r="D62" s="18" t="s">
        <v>50</v>
      </c>
      <c r="E62" s="19">
        <f>+'Yahoo Fin Input'!K70</f>
        <v>733000</v>
      </c>
      <c r="F62" s="24">
        <f>+'Yahoo Fin Input'!D70</f>
        <v>136000</v>
      </c>
      <c r="G62" s="24">
        <f>+'Yahoo Fin Input'!E70</f>
        <v>5000</v>
      </c>
      <c r="H62" s="24">
        <f>+'Yahoo Fin Input'!F70</f>
        <v>506000</v>
      </c>
      <c r="I62" s="24">
        <f>+'Yahoo Fin Input'!G70</f>
        <v>5000</v>
      </c>
      <c r="K62" s="41"/>
      <c r="L62" s="35"/>
      <c r="M62" s="35"/>
      <c r="N62" s="35"/>
      <c r="O62" s="35"/>
      <c r="P62" s="35"/>
      <c r="Q62" s="35"/>
    </row>
    <row r="63" spans="1:17" ht="13.5" customHeight="1">
      <c r="A63">
        <f>ROW()</f>
        <v>63</v>
      </c>
      <c r="B63" s="9"/>
      <c r="C63" s="18"/>
      <c r="D63" s="18" t="s">
        <v>51</v>
      </c>
      <c r="E63" s="44">
        <f>+'Yahoo Fin Input'!K71</f>
        <v>0</v>
      </c>
      <c r="F63" s="74">
        <f>+'Yahoo Fin Input'!D71</f>
        <v>0</v>
      </c>
      <c r="G63" s="26">
        <f>+'Yahoo Fin Input'!E71</f>
        <v>0</v>
      </c>
      <c r="H63" s="26">
        <f>+'Yahoo Fin Input'!F71</f>
        <v>0</v>
      </c>
      <c r="I63" s="26">
        <f>+'Yahoo Fin Input'!G71</f>
        <v>0</v>
      </c>
      <c r="K63" s="41"/>
      <c r="L63" s="35"/>
      <c r="M63" s="35"/>
      <c r="N63" s="35"/>
      <c r="O63" s="35"/>
      <c r="P63" s="35"/>
      <c r="Q63" s="35"/>
    </row>
    <row r="64" spans="1:17" ht="13.5" customHeight="1">
      <c r="A64">
        <f>ROW()</f>
        <v>64</v>
      </c>
      <c r="B64" s="9"/>
      <c r="C64" s="20" t="s">
        <v>52</v>
      </c>
      <c r="D64" s="20"/>
      <c r="E64" s="45">
        <f>SUM(E61:E63)</f>
        <v>2742000</v>
      </c>
      <c r="F64" s="46">
        <f>SUM(F61:F63)</f>
        <v>2161000</v>
      </c>
      <c r="G64" s="46">
        <f>SUM(G61:G63)</f>
        <v>2027000</v>
      </c>
      <c r="H64" s="46">
        <f>SUM(H61:H63)</f>
        <v>2688000</v>
      </c>
      <c r="I64" s="46">
        <f>SUM(I61:I63)</f>
        <v>2101000</v>
      </c>
      <c r="K64" s="41"/>
      <c r="L64" s="35"/>
      <c r="M64" s="35"/>
      <c r="N64" s="35"/>
      <c r="O64" s="35"/>
      <c r="P64" s="35"/>
      <c r="Q64" s="35"/>
    </row>
    <row r="65" spans="1:17" ht="13.5" customHeight="1">
      <c r="A65">
        <f>ROW()</f>
        <v>65</v>
      </c>
      <c r="B65" s="9"/>
      <c r="C65" s="18" t="s">
        <v>53</v>
      </c>
      <c r="D65" s="18"/>
      <c r="E65" s="19">
        <f>+'Yahoo Fin Input'!K74</f>
        <v>2489000</v>
      </c>
      <c r="F65" s="24">
        <f>+'Yahoo Fin Input'!D74</f>
        <v>3215000</v>
      </c>
      <c r="G65" s="24">
        <f>+'Yahoo Fin Input'!E74</f>
        <v>2955000</v>
      </c>
      <c r="H65" s="24">
        <f>+'Yahoo Fin Input'!F74</f>
        <v>3502000</v>
      </c>
      <c r="I65" s="24">
        <f>+'Yahoo Fin Input'!G74</f>
        <v>3590000</v>
      </c>
      <c r="K65" s="41"/>
      <c r="L65" s="35"/>
      <c r="M65" s="35"/>
      <c r="N65" s="35"/>
      <c r="O65" s="35"/>
      <c r="P65" s="35"/>
      <c r="Q65" s="35"/>
    </row>
    <row r="66" spans="1:17" ht="13.5" customHeight="1">
      <c r="A66">
        <f>ROW()</f>
        <v>66</v>
      </c>
      <c r="B66" s="9"/>
      <c r="C66" s="18" t="s">
        <v>54</v>
      </c>
      <c r="D66" s="18"/>
      <c r="E66" s="19">
        <f>+'Yahoo Fin Input'!K75</f>
        <v>1935000</v>
      </c>
      <c r="F66" s="24">
        <f>+'Yahoo Fin Input'!D75</f>
        <v>1886000</v>
      </c>
      <c r="G66" s="24">
        <f>+'Yahoo Fin Input'!E75</f>
        <v>1903000</v>
      </c>
      <c r="H66" s="24">
        <f>+'Yahoo Fin Input'!F75</f>
        <v>719000</v>
      </c>
      <c r="I66" s="24">
        <f>+'Yahoo Fin Input'!G75</f>
        <v>1801000</v>
      </c>
      <c r="K66" s="41"/>
      <c r="L66" s="35"/>
      <c r="M66" s="35"/>
      <c r="N66" s="35"/>
      <c r="O66" s="35"/>
      <c r="P66" s="35"/>
      <c r="Q66" s="35"/>
    </row>
    <row r="67" spans="1:17" ht="13.5" customHeight="1">
      <c r="A67">
        <f>ROW()</f>
        <v>67</v>
      </c>
      <c r="B67" s="9"/>
      <c r="C67" s="18" t="s">
        <v>55</v>
      </c>
      <c r="D67" s="18"/>
      <c r="E67" s="19">
        <f>+'Yahoo Fin Input'!K76</f>
        <v>30000</v>
      </c>
      <c r="F67" s="24">
        <f>+'Yahoo Fin Input'!D76</f>
        <v>28000</v>
      </c>
      <c r="G67" s="24">
        <f>+'Yahoo Fin Input'!E76</f>
        <v>31000</v>
      </c>
      <c r="H67" s="24">
        <f>+'Yahoo Fin Input'!F76</f>
        <v>1150000</v>
      </c>
      <c r="I67" s="24">
        <f>+'Yahoo Fin Input'!G76</f>
        <v>28000</v>
      </c>
      <c r="K67" s="41"/>
      <c r="L67" s="35"/>
      <c r="M67" s="35"/>
      <c r="N67" s="35"/>
      <c r="O67" s="35"/>
      <c r="P67" s="35"/>
      <c r="Q67" s="35"/>
    </row>
    <row r="68" spans="1:17" ht="13.5" customHeight="1">
      <c r="A68">
        <f>ROW()</f>
        <v>68</v>
      </c>
      <c r="B68" s="9"/>
      <c r="C68" s="18" t="s">
        <v>20</v>
      </c>
      <c r="D68" s="18"/>
      <c r="E68" s="19">
        <f>+'Yahoo Fin Input'!K77</f>
        <v>1000</v>
      </c>
      <c r="F68" s="24">
        <f>+'Yahoo Fin Input'!D77</f>
        <v>15000</v>
      </c>
      <c r="G68" s="24">
        <f>+'Yahoo Fin Input'!E77</f>
        <v>21000</v>
      </c>
      <c r="H68" s="24">
        <f>+'Yahoo Fin Input'!F77</f>
        <v>23000</v>
      </c>
      <c r="I68" s="24">
        <f>+'Yahoo Fin Input'!G77</f>
        <v>26000</v>
      </c>
      <c r="K68" s="41"/>
      <c r="L68" s="35"/>
      <c r="M68" s="35"/>
      <c r="N68" s="35"/>
      <c r="O68" s="35"/>
      <c r="P68" s="35"/>
      <c r="Q68" s="35"/>
    </row>
    <row r="69" spans="1:17" ht="13.5" customHeight="1">
      <c r="A69">
        <f>ROW()</f>
        <v>69</v>
      </c>
      <c r="B69" s="9"/>
      <c r="C69" s="18" t="s">
        <v>56</v>
      </c>
      <c r="D69" s="18"/>
      <c r="E69" s="44">
        <f>+'Yahoo Fin Input'!K78</f>
        <v>0</v>
      </c>
      <c r="F69" s="74">
        <f>+'Yahoo Fin Input'!D78</f>
        <v>0</v>
      </c>
      <c r="G69" s="26">
        <f>+'Yahoo Fin Input'!E78</f>
        <v>0</v>
      </c>
      <c r="H69" s="26">
        <f>+'Yahoo Fin Input'!F78</f>
        <v>0</v>
      </c>
      <c r="I69" s="26">
        <f>+'Yahoo Fin Input'!G78</f>
        <v>0</v>
      </c>
      <c r="K69" s="41"/>
      <c r="L69" s="35"/>
      <c r="M69" s="35"/>
      <c r="N69" s="35"/>
      <c r="O69" s="35"/>
      <c r="P69" s="35"/>
      <c r="Q69" s="35"/>
    </row>
    <row r="70" spans="1:17" ht="13.5" customHeight="1">
      <c r="A70">
        <f>ROW()</f>
        <v>70</v>
      </c>
      <c r="B70" s="9"/>
      <c r="C70" s="20" t="s">
        <v>57</v>
      </c>
      <c r="D70" s="20"/>
      <c r="E70" s="45">
        <f>SUM(E64:E69)</f>
        <v>7197000</v>
      </c>
      <c r="F70" s="46">
        <f>SUM(F64:F69)</f>
        <v>7305000</v>
      </c>
      <c r="G70" s="46">
        <f>SUM(G64:G69)</f>
        <v>6937000</v>
      </c>
      <c r="H70" s="46">
        <f>SUM(H64:H69)</f>
        <v>8082000</v>
      </c>
      <c r="I70" s="46">
        <f>SUM(I64:I69)</f>
        <v>7546000</v>
      </c>
      <c r="K70" s="41"/>
      <c r="L70" s="35"/>
      <c r="M70" s="35"/>
      <c r="N70" s="35"/>
      <c r="O70" s="35"/>
      <c r="P70" s="35"/>
      <c r="Q70" s="35"/>
    </row>
    <row r="71" spans="1:17" ht="13.5" customHeight="1">
      <c r="A71">
        <f>ROW()</f>
        <v>71</v>
      </c>
      <c r="B71" s="9"/>
      <c r="C71" s="18"/>
      <c r="D71" s="18"/>
      <c r="E71" s="19"/>
      <c r="F71" s="18"/>
      <c r="G71" s="18"/>
      <c r="H71" s="18"/>
      <c r="I71" s="18"/>
      <c r="K71" s="41"/>
      <c r="L71" s="35"/>
      <c r="M71" s="35"/>
      <c r="N71" s="35"/>
      <c r="O71" s="35"/>
      <c r="P71" s="35"/>
      <c r="Q71" s="35"/>
    </row>
    <row r="72" spans="1:17" ht="13.5" customHeight="1">
      <c r="A72">
        <f>ROW()</f>
        <v>72</v>
      </c>
      <c r="B72" s="9"/>
      <c r="C72" s="20" t="s">
        <v>58</v>
      </c>
      <c r="D72" s="20"/>
      <c r="E72" s="21"/>
      <c r="F72" s="20"/>
      <c r="G72" s="20"/>
      <c r="H72" s="20"/>
      <c r="I72" s="20"/>
      <c r="K72" s="41"/>
      <c r="L72" s="35"/>
      <c r="M72" s="35"/>
      <c r="N72" s="35"/>
      <c r="O72" s="35"/>
      <c r="P72" s="35"/>
      <c r="Q72" s="35"/>
    </row>
    <row r="73" spans="1:17" ht="13.5" customHeight="1">
      <c r="A73">
        <f>ROW()</f>
        <v>73</v>
      </c>
      <c r="B73" s="9"/>
      <c r="C73" s="18" t="s">
        <v>59</v>
      </c>
      <c r="D73" s="18"/>
      <c r="E73" s="19">
        <f>+'Yahoo Fin Input'!K84</f>
        <v>0</v>
      </c>
      <c r="F73" s="24">
        <f>+'Yahoo Fin Input'!D84</f>
        <v>0</v>
      </c>
      <c r="G73" s="24">
        <f>+'Yahoo Fin Input'!E84</f>
        <v>0</v>
      </c>
      <c r="H73" s="24">
        <f>+'Yahoo Fin Input'!F84</f>
        <v>0</v>
      </c>
      <c r="I73" s="24">
        <f>+'Yahoo Fin Input'!G84</f>
        <v>0</v>
      </c>
      <c r="K73" s="41"/>
      <c r="L73" s="35"/>
      <c r="M73" s="35"/>
      <c r="N73" s="35"/>
      <c r="O73" s="35"/>
      <c r="P73" s="35"/>
      <c r="Q73" s="35"/>
    </row>
    <row r="74" spans="1:17" ht="13.5" customHeight="1">
      <c r="A74">
        <f>ROW()</f>
        <v>74</v>
      </c>
      <c r="B74" s="9"/>
      <c r="C74" s="18" t="s">
        <v>60</v>
      </c>
      <c r="D74" s="18"/>
      <c r="E74" s="19">
        <f>+'Yahoo Fin Input'!K85</f>
        <v>0</v>
      </c>
      <c r="F74" s="24">
        <f>+'Yahoo Fin Input'!D85</f>
        <v>0</v>
      </c>
      <c r="G74" s="24">
        <f>+'Yahoo Fin Input'!E85</f>
        <v>0</v>
      </c>
      <c r="H74" s="24">
        <f>+'Yahoo Fin Input'!F85</f>
        <v>0</v>
      </c>
      <c r="I74" s="24">
        <f>+'Yahoo Fin Input'!G85</f>
        <v>0</v>
      </c>
      <c r="K74" s="29"/>
      <c r="L74" s="35"/>
      <c r="M74" s="35"/>
      <c r="N74" s="35"/>
      <c r="O74" s="35"/>
      <c r="P74" s="35"/>
      <c r="Q74" s="35"/>
    </row>
    <row r="75" spans="1:17" ht="13.5" customHeight="1">
      <c r="A75">
        <f>ROW()</f>
        <v>75</v>
      </c>
      <c r="B75" s="9"/>
      <c r="C75" s="18" t="s">
        <v>61</v>
      </c>
      <c r="D75" s="18"/>
      <c r="E75" s="19">
        <f>+'Yahoo Fin Input'!K86</f>
        <v>2000</v>
      </c>
      <c r="F75" s="24">
        <f>+'Yahoo Fin Input'!D86</f>
        <v>2000</v>
      </c>
      <c r="G75" s="24">
        <f>+'Yahoo Fin Input'!E86</f>
        <v>2000</v>
      </c>
      <c r="H75" s="24">
        <f>+'Yahoo Fin Input'!F86</f>
        <v>2000</v>
      </c>
      <c r="I75" s="24">
        <f>+'Yahoo Fin Input'!G86</f>
        <v>2000</v>
      </c>
      <c r="K75" s="29"/>
      <c r="L75" s="35"/>
      <c r="M75" s="35"/>
      <c r="N75" s="35"/>
      <c r="O75" s="35"/>
      <c r="P75" s="35"/>
      <c r="Q75" s="35"/>
    </row>
    <row r="76" spans="1:17" ht="13.5" customHeight="1">
      <c r="A76">
        <f>ROW()</f>
        <v>76</v>
      </c>
      <c r="B76" s="9"/>
      <c r="C76" s="18" t="s">
        <v>62</v>
      </c>
      <c r="D76" s="18"/>
      <c r="E76" s="19">
        <f>+'Yahoo Fin Input'!K87</f>
        <v>2106000</v>
      </c>
      <c r="F76" s="24">
        <f>+'Yahoo Fin Input'!D87</f>
        <v>1947000</v>
      </c>
      <c r="G76" s="24">
        <f>+'Yahoo Fin Input'!E87</f>
        <v>1553000</v>
      </c>
      <c r="H76" s="24">
        <f>+'Yahoo Fin Input'!F87</f>
        <v>1517000</v>
      </c>
      <c r="I76" s="24">
        <f>+'Yahoo Fin Input'!G87</f>
        <v>1353000</v>
      </c>
      <c r="K76" s="29"/>
      <c r="L76" s="35"/>
      <c r="M76" s="35"/>
      <c r="N76" s="35"/>
      <c r="O76" s="35"/>
      <c r="P76" s="35"/>
      <c r="Q76" s="35"/>
    </row>
    <row r="77" spans="1:17" ht="13.5" customHeight="1">
      <c r="A77">
        <f>ROW()</f>
        <v>77</v>
      </c>
      <c r="B77" s="9"/>
      <c r="C77" s="18" t="s">
        <v>63</v>
      </c>
      <c r="D77" s="18"/>
      <c r="E77" s="19">
        <f>+'Yahoo Fin Input'!K88</f>
        <v>0</v>
      </c>
      <c r="F77" s="24">
        <f>+'Yahoo Fin Input'!D88</f>
        <v>0</v>
      </c>
      <c r="G77" s="24">
        <f>+'Yahoo Fin Input'!E88</f>
        <v>0</v>
      </c>
      <c r="H77" s="24">
        <f>+'Yahoo Fin Input'!F88</f>
        <v>0</v>
      </c>
      <c r="I77" s="24">
        <f>+'Yahoo Fin Input'!G88</f>
        <v>0</v>
      </c>
      <c r="K77" s="29"/>
      <c r="L77" s="35"/>
      <c r="M77" s="35"/>
      <c r="N77" s="35"/>
      <c r="O77" s="35"/>
      <c r="P77" s="35"/>
      <c r="Q77" s="35"/>
    </row>
    <row r="78" spans="1:17" ht="13.5" customHeight="1">
      <c r="A78">
        <f>ROW()</f>
        <v>78</v>
      </c>
      <c r="B78" s="9"/>
      <c r="C78" s="18" t="s">
        <v>64</v>
      </c>
      <c r="D78" s="18"/>
      <c r="E78" s="19">
        <f>+'Yahoo Fin Input'!K89</f>
        <v>901000</v>
      </c>
      <c r="F78" s="24">
        <f>+'Yahoo Fin Input'!D89</f>
        <v>805000</v>
      </c>
      <c r="G78" s="24">
        <f>+'Yahoo Fin Input'!E89</f>
        <v>552000</v>
      </c>
      <c r="H78" s="24">
        <f>+'Yahoo Fin Input'!F89</f>
        <v>493000</v>
      </c>
      <c r="I78" s="24">
        <f>+'Yahoo Fin Input'!G89</f>
        <v>868000</v>
      </c>
      <c r="K78" s="29"/>
      <c r="L78" s="35"/>
      <c r="M78" s="35"/>
      <c r="N78" s="35"/>
      <c r="O78" s="35"/>
      <c r="P78" s="35"/>
      <c r="Q78" s="35"/>
    </row>
    <row r="79" spans="1:17" ht="13.5" customHeight="1">
      <c r="A79">
        <f>ROW()</f>
        <v>79</v>
      </c>
      <c r="B79" s="9"/>
      <c r="C79" s="18" t="s">
        <v>65</v>
      </c>
      <c r="D79" s="18"/>
      <c r="E79" s="44">
        <f>+'Yahoo Fin Input'!K90</f>
        <v>-207000</v>
      </c>
      <c r="F79" s="74">
        <f>+'Yahoo Fin Input'!D90</f>
        <v>-283000</v>
      </c>
      <c r="G79" s="26">
        <f>+'Yahoo Fin Input'!E90</f>
        <v>-283000</v>
      </c>
      <c r="H79" s="26">
        <f>+'Yahoo Fin Input'!F90</f>
        <v>-391000</v>
      </c>
      <c r="I79" s="26">
        <f>+'Yahoo Fin Input'!G90</f>
        <v>-147000</v>
      </c>
      <c r="K79" s="29"/>
      <c r="L79" s="35"/>
      <c r="M79" s="35"/>
      <c r="N79" s="35"/>
      <c r="O79" s="35"/>
      <c r="P79" s="35"/>
      <c r="Q79" s="35"/>
    </row>
    <row r="80" spans="1:17" ht="13.5" customHeight="1">
      <c r="A80">
        <f>ROW()</f>
        <v>80</v>
      </c>
      <c r="B80" s="9"/>
      <c r="C80" s="20" t="s">
        <v>66</v>
      </c>
      <c r="D80" s="20"/>
      <c r="E80" s="45">
        <f>SUM(E73:E79)</f>
        <v>2802000</v>
      </c>
      <c r="F80" s="46">
        <f>SUM(F73:F79)</f>
        <v>2471000</v>
      </c>
      <c r="G80" s="46">
        <f>SUM(G73:G79)</f>
        <v>1824000</v>
      </c>
      <c r="H80" s="46">
        <f>SUM(H73:H79)</f>
        <v>1621000</v>
      </c>
      <c r="I80" s="46">
        <f>SUM(I73:I79)</f>
        <v>2076000</v>
      </c>
      <c r="K80" s="29"/>
      <c r="L80" s="35"/>
      <c r="M80" s="35"/>
      <c r="N80" s="35"/>
      <c r="O80" s="35"/>
      <c r="P80" s="35"/>
      <c r="Q80" s="35"/>
    </row>
    <row r="81" spans="1:17" ht="13.5" customHeight="1" thickBot="1">
      <c r="A81">
        <f>ROW()</f>
        <v>81</v>
      </c>
      <c r="B81" s="9"/>
      <c r="C81" s="20" t="s">
        <v>67</v>
      </c>
      <c r="D81" s="20"/>
      <c r="E81" s="47">
        <f>+E80+E70</f>
        <v>9999000</v>
      </c>
      <c r="F81" s="48">
        <f>+F80+F70</f>
        <v>9776000</v>
      </c>
      <c r="G81" s="48">
        <f>+G80+G70</f>
        <v>8761000</v>
      </c>
      <c r="H81" s="48">
        <f>+H80+H70</f>
        <v>9703000</v>
      </c>
      <c r="I81" s="48">
        <f>+I80+I70</f>
        <v>9622000</v>
      </c>
      <c r="K81" s="29"/>
      <c r="L81" s="35"/>
      <c r="M81" s="35"/>
      <c r="N81" s="35"/>
      <c r="O81" s="35"/>
      <c r="P81" s="35"/>
      <c r="Q81" s="35"/>
    </row>
    <row r="82" spans="1:17" ht="13.5" customHeight="1" thickBot="1" thickTop="1">
      <c r="A82">
        <f>ROW()</f>
        <v>82</v>
      </c>
      <c r="B82" s="9"/>
      <c r="C82" s="41"/>
      <c r="D82" s="49" t="s">
        <v>68</v>
      </c>
      <c r="E82" s="50">
        <f>+E57-E81</f>
        <v>0</v>
      </c>
      <c r="F82" s="51">
        <f>+F57-F81</f>
        <v>0</v>
      </c>
      <c r="G82" s="51">
        <f>+G57-G81</f>
        <v>0</v>
      </c>
      <c r="H82" s="51">
        <f>+H57-H81</f>
        <v>0</v>
      </c>
      <c r="I82" s="51">
        <f>+I57-I81</f>
        <v>0</v>
      </c>
      <c r="K82" s="29"/>
      <c r="L82" s="35"/>
      <c r="M82" s="35"/>
      <c r="N82" s="35"/>
      <c r="O82" s="35"/>
      <c r="P82" s="35"/>
      <c r="Q82" s="35"/>
    </row>
    <row r="83" spans="1:17" ht="13.5" customHeight="1">
      <c r="A83">
        <f>ROW()</f>
        <v>83</v>
      </c>
      <c r="B83" s="9"/>
      <c r="C83" s="41"/>
      <c r="D83" s="41"/>
      <c r="E83" s="41"/>
      <c r="F83" s="41"/>
      <c r="G83" s="41"/>
      <c r="H83" s="41"/>
      <c r="I83" s="41"/>
      <c r="K83" s="29"/>
      <c r="L83" s="35"/>
      <c r="M83" s="35"/>
      <c r="N83" s="35"/>
      <c r="O83" s="35"/>
      <c r="P83" s="35"/>
      <c r="Q83" s="35"/>
    </row>
    <row r="84" spans="1:17" ht="22.5" customHeight="1">
      <c r="A84">
        <f>ROW()</f>
        <v>84</v>
      </c>
      <c r="B84" s="9"/>
      <c r="C84" s="52" t="str">
        <f>+C1</f>
        <v>Starwood Hotels &amp; Resorts Worldwide Inc. (HOT)</v>
      </c>
      <c r="D84" s="41"/>
      <c r="E84" s="41"/>
      <c r="F84" s="41"/>
      <c r="G84" s="41"/>
      <c r="H84" s="41"/>
      <c r="I84" s="41"/>
      <c r="K84" s="29"/>
      <c r="L84" s="35"/>
      <c r="M84" s="35"/>
      <c r="N84" s="35"/>
      <c r="O84" s="35"/>
      <c r="P84" s="35"/>
      <c r="Q84" s="35"/>
    </row>
    <row r="85" spans="1:17" ht="13.5" customHeight="1">
      <c r="A85">
        <f>ROW()</f>
        <v>85</v>
      </c>
      <c r="B85" s="9"/>
      <c r="C85" s="53" t="s">
        <v>69</v>
      </c>
      <c r="D85" s="41"/>
      <c r="E85" s="41"/>
      <c r="F85" s="41"/>
      <c r="G85" s="41"/>
      <c r="H85" s="41"/>
      <c r="I85" s="41"/>
      <c r="K85" s="29"/>
      <c r="L85" s="35"/>
      <c r="M85" s="35"/>
      <c r="N85" s="35"/>
      <c r="O85" s="35"/>
      <c r="P85" s="35"/>
      <c r="Q85" s="35"/>
    </row>
    <row r="86" spans="2:17" ht="13.5" customHeight="1">
      <c r="B86" s="9"/>
      <c r="C86" s="53"/>
      <c r="D86" s="41"/>
      <c r="E86" s="41"/>
      <c r="F86" s="41"/>
      <c r="G86" s="41"/>
      <c r="H86" s="41"/>
      <c r="I86" s="41"/>
      <c r="K86" s="29"/>
      <c r="L86" s="35"/>
      <c r="M86" s="35"/>
      <c r="N86" s="35"/>
      <c r="O86" s="35"/>
      <c r="P86" s="35"/>
      <c r="Q86" s="35"/>
    </row>
    <row r="87" spans="1:17" ht="13.5" customHeight="1" thickBot="1">
      <c r="A87">
        <f>ROW()</f>
        <v>87</v>
      </c>
      <c r="B87" s="9"/>
      <c r="C87" s="29"/>
      <c r="D87" s="29"/>
      <c r="E87" s="379" t="s">
        <v>2</v>
      </c>
      <c r="F87" s="379"/>
      <c r="G87" s="380"/>
      <c r="H87" s="380"/>
      <c r="I87" s="348"/>
      <c r="K87" s="379" t="s">
        <v>3</v>
      </c>
      <c r="L87" s="380"/>
      <c r="M87" s="380"/>
      <c r="N87" s="380"/>
      <c r="O87" s="35"/>
      <c r="P87" s="35"/>
      <c r="Q87" s="35"/>
    </row>
    <row r="88" spans="1:17" ht="13.5" customHeight="1" thickBot="1">
      <c r="A88">
        <f>ROW()</f>
        <v>88</v>
      </c>
      <c r="B88" s="9"/>
      <c r="C88" s="29"/>
      <c r="D88" s="29"/>
      <c r="E88" s="67" t="s">
        <v>123</v>
      </c>
      <c r="F88" s="67"/>
      <c r="G88" s="68"/>
      <c r="H88" s="68"/>
      <c r="I88" s="349"/>
      <c r="K88" s="67"/>
      <c r="L88" s="68"/>
      <c r="M88" s="68"/>
      <c r="N88" s="68"/>
      <c r="O88" s="35"/>
      <c r="P88" s="35"/>
      <c r="Q88" s="35"/>
    </row>
    <row r="89" spans="1:17" ht="13.5" customHeight="1" thickBot="1">
      <c r="A89">
        <f>ROW()</f>
        <v>89</v>
      </c>
      <c r="B89" s="9"/>
      <c r="C89" s="30" t="s">
        <v>4</v>
      </c>
      <c r="D89" s="31"/>
      <c r="E89" s="91">
        <f>+E6</f>
        <v>40724</v>
      </c>
      <c r="F89" s="33">
        <f aca="true" t="shared" si="0" ref="F89:N89">+F6</f>
        <v>40543</v>
      </c>
      <c r="G89" s="33">
        <f t="shared" si="0"/>
        <v>40178</v>
      </c>
      <c r="H89" s="33">
        <f t="shared" si="0"/>
        <v>39813</v>
      </c>
      <c r="I89" s="33">
        <f>+I6</f>
        <v>39447</v>
      </c>
      <c r="K89" s="54">
        <f t="shared" si="0"/>
        <v>40724</v>
      </c>
      <c r="L89" s="33">
        <f t="shared" si="0"/>
        <v>40633</v>
      </c>
      <c r="M89" s="33">
        <f t="shared" si="0"/>
        <v>40543</v>
      </c>
      <c r="N89" s="34">
        <f t="shared" si="0"/>
        <v>40451</v>
      </c>
      <c r="Q89" s="35"/>
    </row>
    <row r="90" spans="1:17" ht="13.5" customHeight="1">
      <c r="A90">
        <f>ROW()</f>
        <v>90</v>
      </c>
      <c r="B90" s="9"/>
      <c r="C90" s="20" t="s">
        <v>27</v>
      </c>
      <c r="D90" s="20"/>
      <c r="E90" s="45">
        <f>SUM(K90:N90)</f>
        <v>492000</v>
      </c>
      <c r="F90" s="46">
        <f>+'Yahoo Fin Input'!D98</f>
        <v>477000</v>
      </c>
      <c r="G90" s="46">
        <f>+'Yahoo Fin Input'!E98</f>
        <v>73000</v>
      </c>
      <c r="H90" s="46">
        <f>+'Yahoo Fin Input'!F98</f>
        <v>329000</v>
      </c>
      <c r="I90" s="46">
        <f>+'Yahoo Fin Input'!G98</f>
        <v>542000</v>
      </c>
      <c r="K90" s="75">
        <f>+'Yahoo Fin Input'!K98</f>
        <v>131000</v>
      </c>
      <c r="L90" s="75">
        <f>+'Yahoo Fin Input'!L98</f>
        <v>28000</v>
      </c>
      <c r="M90" s="75">
        <f>+'Yahoo Fin Input'!M98</f>
        <v>339000</v>
      </c>
      <c r="N90" s="75">
        <f>+'Yahoo Fin Input'!N98</f>
        <v>-6000</v>
      </c>
      <c r="Q90" s="35"/>
    </row>
    <row r="91" spans="1:17" ht="13.5" customHeight="1">
      <c r="A91">
        <f>ROW()</f>
        <v>91</v>
      </c>
      <c r="B91" s="9"/>
      <c r="C91" s="20"/>
      <c r="D91" s="20"/>
      <c r="E91" s="21"/>
      <c r="F91" s="46"/>
      <c r="G91" s="46"/>
      <c r="H91" s="46"/>
      <c r="I91" s="46"/>
      <c r="K91" s="41"/>
      <c r="L91" s="41"/>
      <c r="M91" s="41"/>
      <c r="N91" s="41"/>
      <c r="Q91" s="35"/>
    </row>
    <row r="92" spans="1:17" ht="13.5" customHeight="1">
      <c r="A92">
        <f>ROW()</f>
        <v>92</v>
      </c>
      <c r="B92" s="9"/>
      <c r="C92" s="18" t="s">
        <v>70</v>
      </c>
      <c r="D92" s="18"/>
      <c r="E92" s="19">
        <f aca="true" t="shared" si="1" ref="E92:E97">SUM(K92:N92)</f>
        <v>201000</v>
      </c>
      <c r="F92" s="24">
        <f>+'Yahoo Fin Input'!D101</f>
        <v>217000</v>
      </c>
      <c r="G92" s="24">
        <f>+'Yahoo Fin Input'!E101</f>
        <v>245000</v>
      </c>
      <c r="H92" s="24">
        <f>+'Yahoo Fin Input'!F101</f>
        <v>245000</v>
      </c>
      <c r="I92" s="24">
        <f>+'Yahoo Fin Input'!G101</f>
        <v>229000</v>
      </c>
      <c r="K92" s="76">
        <f>+'Yahoo Fin Input'!K101</f>
        <v>46000</v>
      </c>
      <c r="L92" s="76">
        <f>+'Yahoo Fin Input'!L101</f>
        <v>47000</v>
      </c>
      <c r="M92" s="76">
        <f>+'Yahoo Fin Input'!M101</f>
        <v>57000</v>
      </c>
      <c r="N92" s="76">
        <f>+'Yahoo Fin Input'!N101</f>
        <v>51000</v>
      </c>
      <c r="Q92" s="35"/>
    </row>
    <row r="93" spans="1:17" ht="13.5" customHeight="1">
      <c r="A93">
        <f>ROW()</f>
        <v>93</v>
      </c>
      <c r="B93" s="9"/>
      <c r="C93" s="18" t="s">
        <v>71</v>
      </c>
      <c r="D93" s="18"/>
      <c r="E93" s="19">
        <f t="shared" si="1"/>
        <v>120000</v>
      </c>
      <c r="F93" s="24">
        <f>+'Yahoo Fin Input'!D102</f>
        <v>9000</v>
      </c>
      <c r="G93" s="24">
        <f>+'Yahoo Fin Input'!E102</f>
        <v>161000</v>
      </c>
      <c r="H93" s="24">
        <f>+'Yahoo Fin Input'!F102</f>
        <v>249000</v>
      </c>
      <c r="I93" s="24">
        <f>+'Yahoo Fin Input'!G102</f>
        <v>69000</v>
      </c>
      <c r="K93" s="76">
        <f>+'Yahoo Fin Input'!K102</f>
        <v>41000</v>
      </c>
      <c r="L93" s="76">
        <f>+'Yahoo Fin Input'!L102</f>
        <v>49000</v>
      </c>
      <c r="M93" s="76">
        <f>+'Yahoo Fin Input'!M102</f>
        <v>-73000</v>
      </c>
      <c r="N93" s="76">
        <f>+'Yahoo Fin Input'!N102</f>
        <v>103000</v>
      </c>
      <c r="Q93" s="35"/>
    </row>
    <row r="94" spans="1:17" ht="13.5" customHeight="1">
      <c r="A94">
        <f>ROW()</f>
        <v>94</v>
      </c>
      <c r="B94" s="9"/>
      <c r="C94" s="18" t="s">
        <v>72</v>
      </c>
      <c r="D94" s="18"/>
      <c r="E94" s="19">
        <f t="shared" si="1"/>
        <v>-54000</v>
      </c>
      <c r="F94" s="24">
        <f>+'Yahoo Fin Input'!D103</f>
        <v>-50000</v>
      </c>
      <c r="G94" s="24">
        <f>+'Yahoo Fin Input'!E103</f>
        <v>230000</v>
      </c>
      <c r="H94" s="24">
        <f>+'Yahoo Fin Input'!F103</f>
        <v>-116000</v>
      </c>
      <c r="I94" s="24">
        <f>+'Yahoo Fin Input'!G103</f>
        <v>-23000</v>
      </c>
      <c r="K94" s="76">
        <f>+'Yahoo Fin Input'!K103</f>
        <v>-5000</v>
      </c>
      <c r="L94" s="76">
        <f>+'Yahoo Fin Input'!L103</f>
        <v>-4000</v>
      </c>
      <c r="M94" s="76">
        <f>+'Yahoo Fin Input'!M103</f>
        <v>-32000</v>
      </c>
      <c r="N94" s="76">
        <f>+'Yahoo Fin Input'!N103</f>
        <v>-13000</v>
      </c>
      <c r="Q94" s="55"/>
    </row>
    <row r="95" spans="1:17" ht="13.5" customHeight="1">
      <c r="A95">
        <f>ROW()</f>
        <v>95</v>
      </c>
      <c r="B95" s="9"/>
      <c r="C95" s="18" t="s">
        <v>73</v>
      </c>
      <c r="D95" s="18"/>
      <c r="E95" s="19">
        <f t="shared" si="1"/>
        <v>101000</v>
      </c>
      <c r="F95" s="24">
        <f>+'Yahoo Fin Input'!D104</f>
        <v>213000</v>
      </c>
      <c r="G95" s="24">
        <f>+'Yahoo Fin Input'!E104</f>
        <v>-94000</v>
      </c>
      <c r="H95" s="24">
        <f>+'Yahoo Fin Input'!F104</f>
        <v>63000</v>
      </c>
      <c r="I95" s="24">
        <f>+'Yahoo Fin Input'!G104</f>
        <v>387000</v>
      </c>
      <c r="K95" s="76">
        <f>+'Yahoo Fin Input'!K104</f>
        <v>-82000</v>
      </c>
      <c r="L95" s="76">
        <f>+'Yahoo Fin Input'!L104</f>
        <v>-2000</v>
      </c>
      <c r="M95" s="76">
        <f>+'Yahoo Fin Input'!M104</f>
        <v>203000</v>
      </c>
      <c r="N95" s="76">
        <f>+'Yahoo Fin Input'!N104</f>
        <v>-18000</v>
      </c>
      <c r="Q95" s="55"/>
    </row>
    <row r="96" spans="1:17" ht="13.5" customHeight="1">
      <c r="A96">
        <f>ROW()</f>
        <v>96</v>
      </c>
      <c r="B96" s="9"/>
      <c r="C96" s="18" t="s">
        <v>74</v>
      </c>
      <c r="D96" s="18"/>
      <c r="E96" s="19">
        <f t="shared" si="1"/>
        <v>-110000</v>
      </c>
      <c r="F96" s="24">
        <f>+'Yahoo Fin Input'!D105</f>
        <v>-110000</v>
      </c>
      <c r="G96" s="24">
        <f>+'Yahoo Fin Input'!E105</f>
        <v>-98000</v>
      </c>
      <c r="H96" s="24">
        <f>+'Yahoo Fin Input'!F105</f>
        <v>-280000</v>
      </c>
      <c r="I96" s="24">
        <f>+'Yahoo Fin Input'!G105</f>
        <v>-143000</v>
      </c>
      <c r="K96" s="76">
        <f>+'Yahoo Fin Input'!K105</f>
        <v>0</v>
      </c>
      <c r="L96" s="76">
        <f>+'Yahoo Fin Input'!L105</f>
        <v>0</v>
      </c>
      <c r="M96" s="76">
        <f>+'Yahoo Fin Input'!M105</f>
        <v>-110000</v>
      </c>
      <c r="N96" s="76">
        <f>+'Yahoo Fin Input'!N105</f>
        <v>0</v>
      </c>
      <c r="Q96" s="55"/>
    </row>
    <row r="97" spans="1:17" ht="13.5" customHeight="1">
      <c r="A97">
        <f>ROW()</f>
        <v>97</v>
      </c>
      <c r="B97" s="9"/>
      <c r="C97" s="18" t="s">
        <v>75</v>
      </c>
      <c r="D97" s="18"/>
      <c r="E97" s="44">
        <f t="shared" si="1"/>
        <v>45000</v>
      </c>
      <c r="F97" s="74">
        <f>+'Yahoo Fin Input'!D106</f>
        <v>10000</v>
      </c>
      <c r="G97" s="26">
        <f>+'Yahoo Fin Input'!E106</f>
        <v>56000</v>
      </c>
      <c r="H97" s="26">
        <f>+'Yahoo Fin Input'!F106</f>
        <v>156000</v>
      </c>
      <c r="I97" s="26">
        <f>+'Yahoo Fin Input'!G106</f>
        <v>-166000</v>
      </c>
      <c r="K97" s="26">
        <f>+'Yahoo Fin Input'!K106</f>
        <v>2000</v>
      </c>
      <c r="L97" s="26">
        <f>+'Yahoo Fin Input'!L106</f>
        <v>-127000</v>
      </c>
      <c r="M97" s="26">
        <f>+'Yahoo Fin Input'!M106</f>
        <v>77000</v>
      </c>
      <c r="N97" s="26">
        <f>+'Yahoo Fin Input'!N106</f>
        <v>93000</v>
      </c>
      <c r="Q97" s="55"/>
    </row>
    <row r="98" spans="1:17" ht="13.5" customHeight="1">
      <c r="A98">
        <f>ROW()</f>
        <v>98</v>
      </c>
      <c r="B98" s="9"/>
      <c r="C98" s="20" t="s">
        <v>76</v>
      </c>
      <c r="D98" s="20"/>
      <c r="E98" s="45">
        <f>SUM(E90:E97)</f>
        <v>795000</v>
      </c>
      <c r="F98" s="46">
        <f>SUM(F90:F97)</f>
        <v>766000</v>
      </c>
      <c r="G98" s="46">
        <f>SUM(G90:G97)</f>
        <v>573000</v>
      </c>
      <c r="H98" s="46">
        <f>SUM(H90:H97)</f>
        <v>646000</v>
      </c>
      <c r="I98" s="46">
        <f>SUM(I90:I97)</f>
        <v>895000</v>
      </c>
      <c r="K98" s="46">
        <f>SUM(K90:K97)</f>
        <v>133000</v>
      </c>
      <c r="L98" s="46">
        <f>SUM(L90:L97)</f>
        <v>-9000</v>
      </c>
      <c r="M98" s="46">
        <f>SUM(M90:M97)</f>
        <v>461000</v>
      </c>
      <c r="N98" s="46">
        <f>SUM(N90:N97)</f>
        <v>210000</v>
      </c>
      <c r="Q98" s="55"/>
    </row>
    <row r="99" spans="1:17" ht="13.5" customHeight="1">
      <c r="A99">
        <f>ROW()</f>
        <v>99</v>
      </c>
      <c r="B99" s="9"/>
      <c r="C99" s="18"/>
      <c r="D99" s="18"/>
      <c r="E99" s="19"/>
      <c r="F99" s="18"/>
      <c r="G99" s="18"/>
      <c r="H99" s="18"/>
      <c r="I99" s="18"/>
      <c r="K99" s="13"/>
      <c r="L99" s="13"/>
      <c r="M99" s="13"/>
      <c r="N99" s="13"/>
      <c r="Q99" s="55"/>
    </row>
    <row r="100" spans="1:17" ht="13.5" customHeight="1">
      <c r="A100">
        <f>ROW()</f>
        <v>100</v>
      </c>
      <c r="B100" s="9"/>
      <c r="C100" s="20" t="s">
        <v>77</v>
      </c>
      <c r="D100" s="20"/>
      <c r="E100" s="21"/>
      <c r="F100" s="20"/>
      <c r="G100" s="20"/>
      <c r="H100" s="20"/>
      <c r="I100" s="20"/>
      <c r="K100" s="20"/>
      <c r="L100" s="20"/>
      <c r="M100" s="20"/>
      <c r="N100" s="20"/>
      <c r="Q100" s="55"/>
    </row>
    <row r="101" spans="1:17" ht="13.5" customHeight="1">
      <c r="A101">
        <f>ROW()</f>
        <v>101</v>
      </c>
      <c r="B101" s="9"/>
      <c r="C101" s="18" t="s">
        <v>78</v>
      </c>
      <c r="D101" s="18"/>
      <c r="E101" s="19">
        <f>SUM(K101:N101)</f>
        <v>-298000</v>
      </c>
      <c r="F101" s="24">
        <f>+'Yahoo Fin Input'!D111</f>
        <v>-227000</v>
      </c>
      <c r="G101" s="24">
        <f>+'Yahoo Fin Input'!E111</f>
        <v>-196000</v>
      </c>
      <c r="H101" s="24">
        <f>+'Yahoo Fin Input'!F111</f>
        <v>-476000</v>
      </c>
      <c r="I101" s="24">
        <f>+'Yahoo Fin Input'!G111</f>
        <v>-384000</v>
      </c>
      <c r="K101" s="76">
        <f>+'Yahoo Fin Input'!K111</f>
        <v>-80000</v>
      </c>
      <c r="L101" s="76">
        <f>+'Yahoo Fin Input'!L111</f>
        <v>-61000</v>
      </c>
      <c r="M101" s="76">
        <f>+'Yahoo Fin Input'!M111</f>
        <v>-108000</v>
      </c>
      <c r="N101" s="76">
        <f>+'Yahoo Fin Input'!N111</f>
        <v>-49000</v>
      </c>
      <c r="Q101" s="55"/>
    </row>
    <row r="102" spans="1:17" ht="13.5" customHeight="1">
      <c r="A102">
        <f>ROW()</f>
        <v>102</v>
      </c>
      <c r="B102" s="9"/>
      <c r="C102" s="18" t="s">
        <v>79</v>
      </c>
      <c r="D102" s="18"/>
      <c r="E102" s="19">
        <f>SUM(K102:N102)</f>
        <v>46000</v>
      </c>
      <c r="F102" s="24">
        <f>+'Yahoo Fin Input'!D112</f>
        <v>18000</v>
      </c>
      <c r="G102" s="24">
        <f>+'Yahoo Fin Input'!E112</f>
        <v>28000</v>
      </c>
      <c r="H102" s="24">
        <f>+'Yahoo Fin Input'!F112</f>
        <v>5000</v>
      </c>
      <c r="I102" s="24">
        <f>+'Yahoo Fin Input'!G112</f>
        <v>108000</v>
      </c>
      <c r="K102" s="76">
        <f>+'Yahoo Fin Input'!K112</f>
        <v>1000</v>
      </c>
      <c r="L102" s="76">
        <f>+'Yahoo Fin Input'!L112</f>
        <v>1000</v>
      </c>
      <c r="M102" s="76">
        <f>+'Yahoo Fin Input'!M112</f>
        <v>43000</v>
      </c>
      <c r="N102" s="76">
        <f>+'Yahoo Fin Input'!N112</f>
        <v>1000</v>
      </c>
      <c r="Q102" s="55"/>
    </row>
    <row r="103" spans="1:17" ht="13.5" customHeight="1">
      <c r="A103">
        <f>ROW()</f>
        <v>103</v>
      </c>
      <c r="B103" s="9"/>
      <c r="C103" s="18" t="s">
        <v>80</v>
      </c>
      <c r="D103" s="18"/>
      <c r="E103" s="44">
        <f>SUM(K103:N103)</f>
        <v>346000</v>
      </c>
      <c r="F103" s="74">
        <f>+'Yahoo Fin Input'!D113</f>
        <v>138000</v>
      </c>
      <c r="G103" s="26">
        <f>+'Yahoo Fin Input'!E113</f>
        <v>284000</v>
      </c>
      <c r="H103" s="26">
        <f>+'Yahoo Fin Input'!F113</f>
        <v>299000</v>
      </c>
      <c r="I103" s="26">
        <f>+'Yahoo Fin Input'!G113</f>
        <v>61000</v>
      </c>
      <c r="K103" s="26">
        <f>+'Yahoo Fin Input'!K113</f>
        <v>287000</v>
      </c>
      <c r="L103" s="26">
        <f>+'Yahoo Fin Input'!L113</f>
        <v>-9000</v>
      </c>
      <c r="M103" s="26">
        <f>+'Yahoo Fin Input'!M113</f>
        <v>3000</v>
      </c>
      <c r="N103" s="26">
        <f>+'Yahoo Fin Input'!N113</f>
        <v>65000</v>
      </c>
      <c r="Q103" s="55"/>
    </row>
    <row r="104" spans="1:17" ht="13.5" customHeight="1">
      <c r="A104">
        <f>ROW()</f>
        <v>104</v>
      </c>
      <c r="B104" s="9"/>
      <c r="C104" s="20" t="s">
        <v>81</v>
      </c>
      <c r="D104" s="20"/>
      <c r="E104" s="45">
        <f>SUM(E101:E103)</f>
        <v>94000</v>
      </c>
      <c r="F104" s="46">
        <f>SUM(F101:F103)</f>
        <v>-71000</v>
      </c>
      <c r="G104" s="46">
        <f>SUM(G101:G103)</f>
        <v>116000</v>
      </c>
      <c r="H104" s="46">
        <f>SUM(H101:H103)</f>
        <v>-172000</v>
      </c>
      <c r="I104" s="46">
        <f>SUM(I101:I103)</f>
        <v>-215000</v>
      </c>
      <c r="K104" s="46">
        <f>SUM(K101:K103)</f>
        <v>208000</v>
      </c>
      <c r="L104" s="46">
        <f>SUM(L101:L103)</f>
        <v>-69000</v>
      </c>
      <c r="M104" s="46">
        <f>SUM(M101:M103)</f>
        <v>-62000</v>
      </c>
      <c r="N104" s="46">
        <f>SUM(N101:N103)</f>
        <v>17000</v>
      </c>
      <c r="Q104" s="55"/>
    </row>
    <row r="105" spans="1:17" ht="13.5" customHeight="1">
      <c r="A105">
        <f>ROW()</f>
        <v>105</v>
      </c>
      <c r="B105" s="9"/>
      <c r="C105" s="18"/>
      <c r="D105" s="18"/>
      <c r="E105" s="19"/>
      <c r="F105" s="18"/>
      <c r="G105" s="18"/>
      <c r="H105" s="18"/>
      <c r="I105" s="18"/>
      <c r="K105" s="13"/>
      <c r="L105" s="13"/>
      <c r="M105" s="13"/>
      <c r="N105" s="13"/>
      <c r="Q105" s="55"/>
    </row>
    <row r="106" spans="1:17" ht="13.5" customHeight="1">
      <c r="A106">
        <f>ROW()</f>
        <v>106</v>
      </c>
      <c r="B106" s="9"/>
      <c r="C106" s="20" t="s">
        <v>82</v>
      </c>
      <c r="D106" s="20"/>
      <c r="E106" s="21"/>
      <c r="F106" s="20"/>
      <c r="G106" s="20"/>
      <c r="H106" s="20"/>
      <c r="I106" s="20"/>
      <c r="K106" s="20"/>
      <c r="L106" s="20"/>
      <c r="M106" s="20"/>
      <c r="N106" s="20"/>
      <c r="Q106" s="55"/>
    </row>
    <row r="107" spans="1:17" ht="13.5" customHeight="1">
      <c r="A107">
        <f>ROW()</f>
        <v>107</v>
      </c>
      <c r="B107" s="9"/>
      <c r="C107" s="18" t="s">
        <v>83</v>
      </c>
      <c r="D107" s="18"/>
      <c r="E107" s="19">
        <f aca="true" t="shared" si="2" ref="E107:E112">SUM(K107:N107)</f>
        <v>-59000</v>
      </c>
      <c r="F107" s="24">
        <f>+'Yahoo Fin Input'!D118</f>
        <v>-93000</v>
      </c>
      <c r="G107" s="24">
        <f>+'Yahoo Fin Input'!E118</f>
        <v>-165000</v>
      </c>
      <c r="H107" s="24">
        <f>+'Yahoo Fin Input'!F118</f>
        <v>-172000</v>
      </c>
      <c r="I107" s="24">
        <f>+'Yahoo Fin Input'!G118</f>
        <v>-90000</v>
      </c>
      <c r="K107" s="76">
        <f>+'Yahoo Fin Input'!K118</f>
        <v>-1000</v>
      </c>
      <c r="L107" s="76">
        <f>+'Yahoo Fin Input'!L118</f>
        <v>-2000</v>
      </c>
      <c r="M107" s="76">
        <f>+'Yahoo Fin Input'!M118</f>
        <v>-56000</v>
      </c>
      <c r="N107" s="76" t="str">
        <f>+'Yahoo Fin Input'!N118</f>
        <v>-  </v>
      </c>
      <c r="Q107" s="55"/>
    </row>
    <row r="108" spans="1:17" ht="13.5" customHeight="1">
      <c r="A108">
        <f>ROW()</f>
        <v>108</v>
      </c>
      <c r="B108" s="9"/>
      <c r="C108" s="18" t="s">
        <v>84</v>
      </c>
      <c r="D108" s="18"/>
      <c r="E108" s="19">
        <f t="shared" si="2"/>
        <v>150000</v>
      </c>
      <c r="F108" s="24">
        <f>+'Yahoo Fin Input'!D119</f>
        <v>141000</v>
      </c>
      <c r="G108" s="24">
        <f>+'Yahoo Fin Input'!E119</f>
        <v>2000</v>
      </c>
      <c r="H108" s="24">
        <f>+'Yahoo Fin Input'!F119</f>
        <v>-473000</v>
      </c>
      <c r="I108" s="24">
        <f>+'Yahoo Fin Input'!G119</f>
        <v>-1597000</v>
      </c>
      <c r="K108" s="76">
        <f>+'Yahoo Fin Input'!K119</f>
        <v>12000</v>
      </c>
      <c r="L108" s="76">
        <f>+'Yahoo Fin Input'!L119</f>
        <v>43000</v>
      </c>
      <c r="M108" s="76">
        <f>+'Yahoo Fin Input'!M119</f>
        <v>85000</v>
      </c>
      <c r="N108" s="76">
        <f>+'Yahoo Fin Input'!N119</f>
        <v>10000</v>
      </c>
      <c r="Q108" s="55"/>
    </row>
    <row r="109" spans="1:17" ht="13.5" customHeight="1">
      <c r="A109">
        <f>ROW()</f>
        <v>109</v>
      </c>
      <c r="B109" s="9"/>
      <c r="C109" s="18" t="s">
        <v>85</v>
      </c>
      <c r="D109" s="18"/>
      <c r="E109" s="19">
        <f t="shared" si="2"/>
        <v>-88000</v>
      </c>
      <c r="F109" s="24">
        <f>+'Yahoo Fin Input'!D120</f>
        <v>-64000</v>
      </c>
      <c r="G109" s="24">
        <f>+'Yahoo Fin Input'!E120</f>
        <v>-1057000</v>
      </c>
      <c r="H109" s="24">
        <f>+'Yahoo Fin Input'!F120</f>
        <v>412000</v>
      </c>
      <c r="I109" s="24">
        <f>+'Yahoo Fin Input'!G120</f>
        <v>942000</v>
      </c>
      <c r="K109" s="76">
        <f>+'Yahoo Fin Input'!K120</f>
        <v>-39000</v>
      </c>
      <c r="L109" s="76">
        <f>+'Yahoo Fin Input'!L120</f>
        <v>-37000</v>
      </c>
      <c r="M109" s="76">
        <f>+'Yahoo Fin Input'!M120</f>
        <v>-40000</v>
      </c>
      <c r="N109" s="76">
        <f>+'Yahoo Fin Input'!N120</f>
        <v>28000</v>
      </c>
      <c r="Q109" s="55"/>
    </row>
    <row r="110" spans="1:17" ht="13.5" customHeight="1">
      <c r="A110">
        <f>ROW()</f>
        <v>110</v>
      </c>
      <c r="B110" s="9"/>
      <c r="C110" s="18" t="s">
        <v>86</v>
      </c>
      <c r="D110" s="18"/>
      <c r="E110" s="44">
        <f t="shared" si="2"/>
        <v>-37000</v>
      </c>
      <c r="F110" s="74">
        <f>+'Yahoo Fin Input'!D121</f>
        <v>-30000</v>
      </c>
      <c r="G110" s="26">
        <f>+'Yahoo Fin Input'!E121</f>
        <v>227000</v>
      </c>
      <c r="H110" s="26">
        <f>+'Yahoo Fin Input'!F121</f>
        <v>-10000</v>
      </c>
      <c r="I110" s="26">
        <f>+'Yahoo Fin Input'!G121</f>
        <v>33000</v>
      </c>
      <c r="K110" s="26">
        <f>+'Yahoo Fin Input'!K121</f>
        <v>-2000</v>
      </c>
      <c r="L110" s="26">
        <f>+'Yahoo Fin Input'!L121</f>
        <v>-27000</v>
      </c>
      <c r="M110" s="26">
        <f>+'Yahoo Fin Input'!M121</f>
        <v>-2000</v>
      </c>
      <c r="N110" s="26">
        <f>+'Yahoo Fin Input'!N121</f>
        <v>-6000</v>
      </c>
      <c r="Q110" s="55"/>
    </row>
    <row r="111" spans="1:17" ht="13.5" customHeight="1">
      <c r="A111">
        <f>ROW()</f>
        <v>111</v>
      </c>
      <c r="B111" s="9"/>
      <c r="C111" s="20" t="s">
        <v>87</v>
      </c>
      <c r="D111" s="20"/>
      <c r="E111" s="45">
        <f>SUM(E107:E110)</f>
        <v>-34000</v>
      </c>
      <c r="F111" s="46">
        <f>SUM(F107:F110)</f>
        <v>-46000</v>
      </c>
      <c r="G111" s="46">
        <f>SUM(G107:G110)</f>
        <v>-993000</v>
      </c>
      <c r="H111" s="46">
        <f>SUM(H107:H110)</f>
        <v>-243000</v>
      </c>
      <c r="I111" s="46">
        <f>SUM(I107:I110)</f>
        <v>-712000</v>
      </c>
      <c r="K111" s="46">
        <f>SUM(K107:K110)</f>
        <v>-30000</v>
      </c>
      <c r="L111" s="46">
        <f>SUM(L107:L110)</f>
        <v>-23000</v>
      </c>
      <c r="M111" s="46">
        <f>SUM(M107:M110)</f>
        <v>-13000</v>
      </c>
      <c r="N111" s="46">
        <f>SUM(N107:N110)</f>
        <v>32000</v>
      </c>
      <c r="Q111" s="55"/>
    </row>
    <row r="112" spans="1:17" ht="13.5" customHeight="1">
      <c r="A112">
        <f>ROW()</f>
        <v>112</v>
      </c>
      <c r="B112" s="9"/>
      <c r="C112" s="18" t="s">
        <v>88</v>
      </c>
      <c r="D112" s="18"/>
      <c r="E112" s="44">
        <f t="shared" si="2"/>
        <v>24000</v>
      </c>
      <c r="F112" s="24">
        <f>+'Yahoo Fin Input'!D124</f>
        <v>-1000</v>
      </c>
      <c r="G112" s="24">
        <f>+'Yahoo Fin Input'!E124</f>
        <v>4000</v>
      </c>
      <c r="H112" s="24">
        <f>+'Yahoo Fin Input'!F124</f>
        <v>7000</v>
      </c>
      <c r="I112" s="24">
        <f>+'Yahoo Fin Input'!G124</f>
        <v>11000</v>
      </c>
      <c r="K112" s="24">
        <f>+'Yahoo Fin Input'!K124</f>
        <v>7000</v>
      </c>
      <c r="L112" s="24">
        <f>+'Yahoo Fin Input'!L124</f>
        <v>13000</v>
      </c>
      <c r="M112" s="24">
        <f>+'Yahoo Fin Input'!M124</f>
        <v>-2000</v>
      </c>
      <c r="N112" s="24">
        <f>+'Yahoo Fin Input'!N124</f>
        <v>6000</v>
      </c>
      <c r="Q112" s="55"/>
    </row>
    <row r="113" spans="1:17" ht="13.5" customHeight="1" thickBot="1">
      <c r="A113">
        <f>ROW()</f>
        <v>113</v>
      </c>
      <c r="B113" s="9"/>
      <c r="C113" s="20" t="s">
        <v>89</v>
      </c>
      <c r="D113" s="20"/>
      <c r="E113" s="56">
        <f>+E112+E111+E104+E98</f>
        <v>879000</v>
      </c>
      <c r="F113" s="48">
        <f>+F112+F111+F104+F98</f>
        <v>648000</v>
      </c>
      <c r="G113" s="48">
        <f>+G112+G111+G104+G98</f>
        <v>-300000</v>
      </c>
      <c r="H113" s="48">
        <f>+H112+H111+H104+H98</f>
        <v>238000</v>
      </c>
      <c r="I113" s="48">
        <f>+I112+I111+I104+I98</f>
        <v>-21000</v>
      </c>
      <c r="K113" s="48">
        <f>+K112+K111+K104+K98</f>
        <v>318000</v>
      </c>
      <c r="L113" s="48">
        <f>+L112+L111+L104+L98</f>
        <v>-88000</v>
      </c>
      <c r="M113" s="48">
        <f>+M112+M111+M104+M98</f>
        <v>384000</v>
      </c>
      <c r="N113" s="48">
        <f>+N112+N111+N104+N98</f>
        <v>265000</v>
      </c>
      <c r="Q113" s="55"/>
    </row>
    <row r="114" spans="1:17" ht="13.5" customHeight="1">
      <c r="A114">
        <f>ROW()</f>
        <v>114</v>
      </c>
      <c r="B114" s="9"/>
      <c r="C114" s="18"/>
      <c r="D114" s="18"/>
      <c r="E114" s="18"/>
      <c r="F114" s="18"/>
      <c r="G114" s="18"/>
      <c r="H114" s="18"/>
      <c r="I114" s="18"/>
      <c r="Q114" s="55"/>
    </row>
    <row r="115" spans="1:17" ht="13.5" customHeight="1">
      <c r="A115">
        <f>ROW()</f>
        <v>115</v>
      </c>
      <c r="B115" s="9"/>
      <c r="C115" s="18"/>
      <c r="D115" s="18"/>
      <c r="E115" s="18"/>
      <c r="F115" s="18"/>
      <c r="G115" s="18"/>
      <c r="H115" s="18"/>
      <c r="I115" s="18"/>
      <c r="Q115" s="55"/>
    </row>
    <row r="116" spans="1:17" ht="22.5" customHeight="1">
      <c r="A116">
        <f>ROW()</f>
        <v>116</v>
      </c>
      <c r="B116" s="9"/>
      <c r="C116" s="52" t="s">
        <v>0</v>
      </c>
      <c r="D116" s="18"/>
      <c r="E116" s="18"/>
      <c r="F116" s="18"/>
      <c r="G116" s="18"/>
      <c r="H116" s="18"/>
      <c r="I116" s="18"/>
      <c r="Q116" s="55"/>
    </row>
    <row r="117" spans="1:17" ht="13.5" customHeight="1">
      <c r="A117">
        <f>ROW()</f>
        <v>117</v>
      </c>
      <c r="B117" s="9"/>
      <c r="C117" s="57" t="s">
        <v>90</v>
      </c>
      <c r="D117" s="18"/>
      <c r="E117" s="18"/>
      <c r="F117" s="18"/>
      <c r="G117" s="18"/>
      <c r="H117" s="18"/>
      <c r="I117" s="18"/>
      <c r="Q117" s="55"/>
    </row>
    <row r="118" spans="1:17" ht="13.5" customHeight="1" thickBot="1">
      <c r="A118">
        <f>ROW()</f>
        <v>118</v>
      </c>
      <c r="B118" s="9"/>
      <c r="C118" s="57"/>
      <c r="D118" s="18"/>
      <c r="E118" s="18"/>
      <c r="F118" s="18"/>
      <c r="G118" s="18"/>
      <c r="H118" s="18"/>
      <c r="I118" s="18"/>
      <c r="Q118" s="55"/>
    </row>
    <row r="119" spans="1:17" ht="13.5" customHeight="1" thickBot="1">
      <c r="A119">
        <f>ROW()</f>
        <v>119</v>
      </c>
      <c r="B119" s="9"/>
      <c r="C119" s="30" t="s">
        <v>4</v>
      </c>
      <c r="D119" s="31"/>
      <c r="E119" s="91">
        <f>+E89</f>
        <v>40724</v>
      </c>
      <c r="F119" s="33">
        <f aca="true" t="shared" si="3" ref="F119:N119">+F89</f>
        <v>40543</v>
      </c>
      <c r="G119" s="33">
        <f t="shared" si="3"/>
        <v>40178</v>
      </c>
      <c r="H119" s="33">
        <f t="shared" si="3"/>
        <v>39813</v>
      </c>
      <c r="I119" s="33">
        <f>+I89</f>
        <v>39447</v>
      </c>
      <c r="K119" s="54">
        <f t="shared" si="3"/>
        <v>40724</v>
      </c>
      <c r="L119" s="33">
        <f t="shared" si="3"/>
        <v>40633</v>
      </c>
      <c r="M119" s="33">
        <f t="shared" si="3"/>
        <v>40543</v>
      </c>
      <c r="N119" s="34">
        <f t="shared" si="3"/>
        <v>40451</v>
      </c>
      <c r="O119" s="55"/>
      <c r="P119" s="55"/>
      <c r="Q119" s="55"/>
    </row>
    <row r="120" spans="1:17" ht="13.5" customHeight="1">
      <c r="A120">
        <f>ROW()</f>
        <v>120</v>
      </c>
      <c r="B120" s="9"/>
      <c r="C120" s="29"/>
      <c r="D120" s="29"/>
      <c r="E120" s="58"/>
      <c r="F120" s="29"/>
      <c r="G120" s="29"/>
      <c r="H120" s="29"/>
      <c r="I120" s="29"/>
      <c r="K120" s="29"/>
      <c r="L120" s="55"/>
      <c r="M120" s="55"/>
      <c r="N120" s="55"/>
      <c r="O120" s="55"/>
      <c r="P120" s="55"/>
      <c r="Q120" s="55"/>
    </row>
    <row r="121" spans="1:17" ht="13.5" customHeight="1">
      <c r="A121">
        <f>ROW()</f>
        <v>121</v>
      </c>
      <c r="B121" s="9"/>
      <c r="C121" s="57" t="s">
        <v>285</v>
      </c>
      <c r="D121" s="18"/>
      <c r="E121" s="21">
        <f>+E18+E92+E14</f>
        <v>802000</v>
      </c>
      <c r="F121" s="20">
        <f>+F18+F92+F14</f>
        <v>742000</v>
      </c>
      <c r="G121" s="20">
        <f>+G18+G92+G14</f>
        <v>650000</v>
      </c>
      <c r="H121" s="20">
        <f>+H18+H92+H14</f>
        <v>1005000</v>
      </c>
      <c r="I121" s="20">
        <f>+I18+I92+I14</f>
        <v>1140000</v>
      </c>
      <c r="K121" s="20">
        <f>+K18+K92+K14</f>
        <v>223000</v>
      </c>
      <c r="L121" s="20">
        <f>+L18+L92+L14</f>
        <v>167000</v>
      </c>
      <c r="M121" s="20"/>
      <c r="N121" s="20">
        <f>+N18+N92+N14</f>
        <v>172000</v>
      </c>
      <c r="O121" s="55"/>
      <c r="P121" s="55"/>
      <c r="Q121" s="55"/>
    </row>
    <row r="122" spans="1:17" ht="13.5" customHeight="1">
      <c r="A122">
        <f>ROW()</f>
        <v>122</v>
      </c>
      <c r="B122" s="9"/>
      <c r="C122" s="57"/>
      <c r="D122" s="18"/>
      <c r="E122" s="19"/>
      <c r="F122" s="18"/>
      <c r="G122" s="18"/>
      <c r="H122" s="18"/>
      <c r="I122" s="18"/>
      <c r="K122" s="18"/>
      <c r="L122" s="18"/>
      <c r="M122" s="18"/>
      <c r="N122" s="55"/>
      <c r="O122" s="55"/>
      <c r="P122" s="55"/>
      <c r="Q122" s="55"/>
    </row>
    <row r="123" spans="1:17" ht="13.5" customHeight="1">
      <c r="A123">
        <f>ROW()</f>
        <v>123</v>
      </c>
      <c r="B123" s="9"/>
      <c r="C123" s="57" t="s">
        <v>92</v>
      </c>
      <c r="D123" s="41"/>
      <c r="E123" s="59"/>
      <c r="F123" s="41"/>
      <c r="G123" s="41"/>
      <c r="H123" s="41"/>
      <c r="I123" s="41"/>
      <c r="K123" s="41"/>
      <c r="L123" s="41"/>
      <c r="M123" s="41"/>
      <c r="N123" s="55"/>
      <c r="O123" s="55"/>
      <c r="P123" s="55"/>
      <c r="Q123" s="55"/>
    </row>
    <row r="124" spans="1:17" ht="13.5" customHeight="1">
      <c r="A124">
        <f>ROW()</f>
        <v>124</v>
      </c>
      <c r="B124" s="9"/>
      <c r="C124" s="41" t="s">
        <v>93</v>
      </c>
      <c r="D124" s="41"/>
      <c r="E124" s="60">
        <f>+E48/E64</f>
        <v>1.0029175784099198</v>
      </c>
      <c r="F124" s="61">
        <f>+F48/F64</f>
        <v>1.0670985654789449</v>
      </c>
      <c r="G124" s="61">
        <f>+G48/G64</f>
        <v>0.734583127775037</v>
      </c>
      <c r="H124" s="61">
        <f>+H48/H64</f>
        <v>0.8058035714285714</v>
      </c>
      <c r="I124" s="61">
        <f>+I48/I64</f>
        <v>0.8681580199904807</v>
      </c>
      <c r="K124" s="61"/>
      <c r="L124" s="61"/>
      <c r="M124" s="61"/>
      <c r="N124" s="55"/>
      <c r="O124" s="55"/>
      <c r="P124" s="55"/>
      <c r="Q124" s="55"/>
    </row>
    <row r="125" spans="1:17" ht="13.5" customHeight="1">
      <c r="A125">
        <f>ROW()</f>
        <v>125</v>
      </c>
      <c r="B125" s="9"/>
      <c r="C125" s="41" t="s">
        <v>94</v>
      </c>
      <c r="D125" s="41"/>
      <c r="E125" s="60">
        <f>+E7/AVERAGE(E45:G45)</f>
        <v>9.624622812311406</v>
      </c>
      <c r="F125" s="61">
        <f>+F7/AVERAGE(F45:G45)</f>
        <v>9.972468043264504</v>
      </c>
      <c r="G125" s="61">
        <f>+G7/AVERAGE(G45:H45)</f>
        <v>9.420260782347041</v>
      </c>
      <c r="H125" s="61">
        <f>+H7/AVERAGE(H45:H45)</f>
        <v>10.701086956521738</v>
      </c>
      <c r="I125" s="61">
        <f>+I7/AVERAGE(I45:I45)</f>
        <v>9.988636363636363</v>
      </c>
      <c r="K125" s="61"/>
      <c r="L125" s="61"/>
      <c r="M125" s="61"/>
      <c r="N125" s="55"/>
      <c r="O125" s="55"/>
      <c r="P125" s="55"/>
      <c r="Q125" s="55"/>
    </row>
    <row r="126" spans="1:17" ht="13.5" customHeight="1">
      <c r="A126">
        <f>ROW()</f>
        <v>126</v>
      </c>
      <c r="B126" s="9"/>
      <c r="C126" s="41"/>
      <c r="D126" s="41"/>
      <c r="E126" s="62"/>
      <c r="F126" s="63"/>
      <c r="G126" s="63"/>
      <c r="H126" s="41"/>
      <c r="I126" s="41"/>
      <c r="K126" s="41"/>
      <c r="L126" s="41"/>
      <c r="M126" s="41"/>
      <c r="N126" s="55"/>
      <c r="O126" s="55"/>
      <c r="P126" s="55"/>
      <c r="Q126" s="55"/>
    </row>
    <row r="127" spans="1:17" ht="13.5" customHeight="1">
      <c r="A127">
        <f>ROW()</f>
        <v>127</v>
      </c>
      <c r="B127" s="9"/>
      <c r="C127" s="57" t="s">
        <v>95</v>
      </c>
      <c r="D127" s="41"/>
      <c r="E127" s="40"/>
      <c r="F127" s="39"/>
      <c r="G127" s="39"/>
      <c r="H127" s="41"/>
      <c r="I127" s="41"/>
      <c r="K127" s="41"/>
      <c r="L127" s="41"/>
      <c r="M127" s="41"/>
      <c r="N127" s="55"/>
      <c r="O127" s="55"/>
      <c r="P127" s="55"/>
      <c r="Q127" s="55"/>
    </row>
    <row r="128" spans="1:17" ht="13.5" customHeight="1">
      <c r="A128">
        <f>ROW()</f>
        <v>128</v>
      </c>
      <c r="B128" s="9"/>
      <c r="C128" s="41" t="s">
        <v>96</v>
      </c>
      <c r="D128" s="41"/>
      <c r="E128" s="62">
        <f>+(E62+E65)/(E62+E65+E80)</f>
        <v>0.5348605577689243</v>
      </c>
      <c r="F128" s="63">
        <f>+(F62+F65)/(F62+F65+F80)</f>
        <v>0.5755754036413604</v>
      </c>
      <c r="G128" s="63">
        <f>+(G62+G65)/(G62+G65+G80)</f>
        <v>0.6187290969899666</v>
      </c>
      <c r="H128" s="63">
        <f>+(H62+H65)/(H62+H65+H80)</f>
        <v>0.7120270030200746</v>
      </c>
      <c r="I128" s="63">
        <f>+(I62+I65)/(I62+I65+I80)</f>
        <v>0.6339269970022924</v>
      </c>
      <c r="K128" s="63"/>
      <c r="L128" s="63"/>
      <c r="M128" s="63"/>
      <c r="N128" s="63"/>
      <c r="O128" s="55"/>
      <c r="P128" s="55"/>
      <c r="Q128" s="55"/>
    </row>
    <row r="129" spans="1:17" ht="13.5" customHeight="1">
      <c r="A129">
        <f>ROW()</f>
        <v>129</v>
      </c>
      <c r="B129" s="9"/>
      <c r="C129" s="41" t="s">
        <v>97</v>
      </c>
      <c r="D129" s="41"/>
      <c r="E129" s="60"/>
      <c r="F129" s="61"/>
      <c r="G129" s="61"/>
      <c r="H129" s="61">
        <f>+H121/H21</f>
        <v>4.785714285714286</v>
      </c>
      <c r="I129" s="61">
        <f>+I121/I21</f>
        <v>6.785714285714286</v>
      </c>
      <c r="K129" s="61"/>
      <c r="L129" s="61"/>
      <c r="M129" s="61"/>
      <c r="N129" s="61"/>
      <c r="O129" s="55"/>
      <c r="P129" s="55"/>
      <c r="Q129" s="55"/>
    </row>
    <row r="130" spans="1:17" ht="13.5" customHeight="1">
      <c r="A130">
        <f>ROW()</f>
        <v>130</v>
      </c>
      <c r="B130" s="9"/>
      <c r="C130" s="41" t="s">
        <v>98</v>
      </c>
      <c r="D130" s="41"/>
      <c r="E130" s="60">
        <f>+(E62+E65)/E121</f>
        <v>4.017456359102244</v>
      </c>
      <c r="F130" s="61">
        <f>+(F62+F65)/F121</f>
        <v>4.5161725067385445</v>
      </c>
      <c r="G130" s="61">
        <f>+(G62+G65)/G121</f>
        <v>4.553846153846154</v>
      </c>
      <c r="H130" s="61">
        <f>+(H62+H65)/H121</f>
        <v>3.988059701492537</v>
      </c>
      <c r="I130" s="61">
        <f>+(I62+I65)/I121</f>
        <v>3.1535087719298245</v>
      </c>
      <c r="K130" s="61"/>
      <c r="L130" s="61"/>
      <c r="M130" s="61"/>
      <c r="N130" s="61"/>
      <c r="O130" s="55"/>
      <c r="P130" s="55"/>
      <c r="Q130" s="55"/>
    </row>
    <row r="131" spans="1:17" ht="13.5" customHeight="1">
      <c r="A131">
        <f>ROW()</f>
        <v>131</v>
      </c>
      <c r="B131" s="9"/>
      <c r="C131" s="41"/>
      <c r="D131" s="41"/>
      <c r="E131" s="40"/>
      <c r="F131" s="39"/>
      <c r="G131" s="39"/>
      <c r="H131" s="41"/>
      <c r="I131" s="41"/>
      <c r="K131" s="41"/>
      <c r="L131" s="41"/>
      <c r="M131" s="41"/>
      <c r="N131" s="55"/>
      <c r="O131" s="55"/>
      <c r="P131" s="55"/>
      <c r="Q131" s="55"/>
    </row>
    <row r="132" spans="1:17" ht="13.5" customHeight="1">
      <c r="A132">
        <f>ROW()</f>
        <v>132</v>
      </c>
      <c r="B132" s="9"/>
      <c r="C132" s="57" t="s">
        <v>99</v>
      </c>
      <c r="D132" s="41"/>
      <c r="E132" s="40"/>
      <c r="F132" s="39"/>
      <c r="G132" s="39"/>
      <c r="H132" s="41"/>
      <c r="I132" s="41"/>
      <c r="K132" s="41"/>
      <c r="L132" s="41"/>
      <c r="M132" s="41"/>
      <c r="N132" s="55"/>
      <c r="O132" s="55"/>
      <c r="P132" s="64"/>
      <c r="Q132" s="64"/>
    </row>
    <row r="133" spans="1:17" ht="13.5" customHeight="1">
      <c r="A133">
        <f>ROW()</f>
        <v>133</v>
      </c>
      <c r="B133" s="9"/>
      <c r="C133" s="41" t="s">
        <v>100</v>
      </c>
      <c r="D133" s="41"/>
      <c r="E133" s="40"/>
      <c r="F133" s="39"/>
      <c r="G133" s="39"/>
      <c r="H133" s="41"/>
      <c r="I133" s="41"/>
      <c r="K133" s="41"/>
      <c r="L133" s="41"/>
      <c r="M133" s="41"/>
      <c r="N133" s="55"/>
      <c r="O133" s="55"/>
      <c r="P133" s="64"/>
      <c r="Q133" s="64"/>
    </row>
    <row r="134" spans="1:17" ht="13.5" customHeight="1">
      <c r="A134">
        <f>ROW()</f>
        <v>134</v>
      </c>
      <c r="B134" s="9"/>
      <c r="C134" s="41" t="s">
        <v>101</v>
      </c>
      <c r="D134" s="41"/>
      <c r="E134" s="40"/>
      <c r="F134" s="39"/>
      <c r="G134" s="39"/>
      <c r="H134" s="41"/>
      <c r="I134" s="41"/>
      <c r="K134" s="41"/>
      <c r="L134" s="41"/>
      <c r="M134" s="41"/>
      <c r="N134" s="55"/>
      <c r="O134" s="55"/>
      <c r="P134" s="64"/>
      <c r="Q134" s="64"/>
    </row>
    <row r="135" spans="1:17" ht="13.5" customHeight="1">
      <c r="A135">
        <f>ROW()</f>
        <v>135</v>
      </c>
      <c r="B135" s="9"/>
      <c r="C135" s="41" t="s">
        <v>102</v>
      </c>
      <c r="D135" s="41"/>
      <c r="E135" s="40"/>
      <c r="F135" s="39"/>
      <c r="G135" s="39"/>
      <c r="H135" s="41"/>
      <c r="I135" s="41"/>
      <c r="K135" s="41"/>
      <c r="L135" s="41"/>
      <c r="M135" s="41"/>
      <c r="N135" s="55"/>
      <c r="O135" s="55"/>
      <c r="P135" s="64"/>
      <c r="Q135" s="64"/>
    </row>
    <row r="136" spans="1:17" ht="13.5" customHeight="1">
      <c r="A136">
        <f>ROW()</f>
        <v>136</v>
      </c>
      <c r="B136" s="9"/>
      <c r="C136" s="41" t="s">
        <v>103</v>
      </c>
      <c r="D136" s="41"/>
      <c r="E136" s="40"/>
      <c r="F136" s="39"/>
      <c r="G136" s="39"/>
      <c r="H136" s="41"/>
      <c r="I136" s="41"/>
      <c r="K136" s="41"/>
      <c r="L136" s="41"/>
      <c r="M136" s="41"/>
      <c r="N136" s="55"/>
      <c r="O136" s="55"/>
      <c r="P136" s="64"/>
      <c r="Q136" s="64"/>
    </row>
    <row r="137" spans="1:17" ht="13.5" customHeight="1">
      <c r="A137">
        <f>ROW()</f>
        <v>137</v>
      </c>
      <c r="B137" s="9"/>
      <c r="C137" s="41"/>
      <c r="D137" s="41"/>
      <c r="E137" s="40"/>
      <c r="F137" s="39"/>
      <c r="G137" s="39"/>
      <c r="H137" s="41"/>
      <c r="I137" s="41"/>
      <c r="K137" s="41"/>
      <c r="L137" s="41"/>
      <c r="M137" s="41"/>
      <c r="N137" s="55"/>
      <c r="O137" s="55"/>
      <c r="P137" s="64"/>
      <c r="Q137" s="64"/>
    </row>
    <row r="138" spans="1:17" ht="13.5" customHeight="1">
      <c r="A138">
        <f>ROW()</f>
        <v>138</v>
      </c>
      <c r="B138" s="9"/>
      <c r="C138" s="57" t="s">
        <v>104</v>
      </c>
      <c r="D138" s="41"/>
      <c r="E138" s="40"/>
      <c r="F138" s="39"/>
      <c r="G138" s="39"/>
      <c r="H138" s="41"/>
      <c r="I138" s="41"/>
      <c r="K138" s="41"/>
      <c r="L138" s="41"/>
      <c r="M138" s="41"/>
      <c r="N138" s="55"/>
      <c r="O138" s="55"/>
      <c r="P138" s="64"/>
      <c r="Q138" s="64"/>
    </row>
    <row r="139" spans="1:17" ht="13.5" customHeight="1">
      <c r="A139">
        <f>ROW()</f>
        <v>139</v>
      </c>
      <c r="B139" s="9"/>
      <c r="C139" s="41" t="s">
        <v>105</v>
      </c>
      <c r="D139" s="41"/>
      <c r="E139" s="62">
        <f>+E9/E7</f>
        <v>0.6454100827689992</v>
      </c>
      <c r="F139" s="63">
        <f>+F9/F7</f>
        <v>0.6450404259514888</v>
      </c>
      <c r="G139" s="63">
        <f>+G9/G7</f>
        <v>0.6301107325383305</v>
      </c>
      <c r="H139" s="63">
        <f>+H9/H7</f>
        <v>0.6301107325383305</v>
      </c>
      <c r="I139" s="63">
        <f>+I9/I7</f>
        <v>0.6366546238182073</v>
      </c>
      <c r="K139" s="63">
        <f>+K9/K7</f>
        <v>0.6542776998597476</v>
      </c>
      <c r="L139" s="63">
        <f>+L9/L7</f>
        <v>0.6355212355212355</v>
      </c>
      <c r="M139" s="63">
        <f>+M9/M7</f>
        <v>0.6492537313432836</v>
      </c>
      <c r="N139" s="55"/>
      <c r="O139" s="55"/>
      <c r="P139" s="64"/>
      <c r="Q139" s="64"/>
    </row>
    <row r="140" spans="1:17" ht="13.5" customHeight="1">
      <c r="A140">
        <f>ROW()</f>
        <v>140</v>
      </c>
      <c r="B140" s="9"/>
      <c r="C140" s="41" t="s">
        <v>106</v>
      </c>
      <c r="D140" s="41"/>
      <c r="E140" s="62">
        <f>+E121/E7</f>
        <v>0.1508653122648608</v>
      </c>
      <c r="F140" s="63">
        <f>+F121/F7</f>
        <v>0.1463222244133307</v>
      </c>
      <c r="G140" s="63">
        <f>+G121/G7</f>
        <v>0.13841567291311754</v>
      </c>
      <c r="H140" s="63">
        <f>+H121/H7</f>
        <v>0.17013712544438803</v>
      </c>
      <c r="I140" s="63">
        <f>+I121/I7</f>
        <v>0.18527547537786446</v>
      </c>
      <c r="K140" s="63">
        <f>+K121/K7</f>
        <v>0.15638148667601684</v>
      </c>
      <c r="L140" s="63">
        <f>+L121/L7</f>
        <v>0.12895752895752896</v>
      </c>
      <c r="M140" s="63">
        <f>+M121/M7</f>
        <v>0</v>
      </c>
      <c r="N140" s="55"/>
      <c r="O140" s="55"/>
      <c r="P140" s="64"/>
      <c r="Q140" s="64"/>
    </row>
    <row r="141" spans="1:17" ht="13.5" customHeight="1">
      <c r="A141">
        <f>ROW()</f>
        <v>141</v>
      </c>
      <c r="B141" s="9"/>
      <c r="C141" s="41" t="s">
        <v>107</v>
      </c>
      <c r="D141" s="41"/>
      <c r="E141" s="62">
        <f>+E20/E7</f>
        <v>0.0682844243792325</v>
      </c>
      <c r="F141" s="63">
        <f>+F20/F7</f>
        <v>0.11062906724511931</v>
      </c>
      <c r="G141" s="63">
        <f>+G20/G7</f>
        <v>-0.013841567291311755</v>
      </c>
      <c r="H141" s="63">
        <f>+H20/H7</f>
        <v>0.1127475876079228</v>
      </c>
      <c r="I141" s="63">
        <f>+I20/I7</f>
        <v>0.10824004550625711</v>
      </c>
      <c r="K141" s="63">
        <f>+K20/K7</f>
        <v>0.08906030855539972</v>
      </c>
      <c r="L141" s="63">
        <f>+L20/L7</f>
        <v>0.025482625482625483</v>
      </c>
      <c r="M141" s="63">
        <f>+M20/M7</f>
        <v>0.14253731343283582</v>
      </c>
      <c r="N141" s="55"/>
      <c r="O141" s="55"/>
      <c r="P141" s="64"/>
      <c r="Q141" s="64"/>
    </row>
    <row r="142" spans="1:17" ht="13.5" customHeight="1">
      <c r="A142">
        <f>ROW()</f>
        <v>142</v>
      </c>
      <c r="B142" s="9"/>
      <c r="C142" s="41" t="s">
        <v>108</v>
      </c>
      <c r="D142" s="41"/>
      <c r="E142" s="62">
        <f>+E34/AVERAGE(E57:G57)</f>
        <v>0.026492851135407905</v>
      </c>
      <c r="F142" s="63">
        <f>+F34/AVERAGE(F57:G57)</f>
        <v>0.05038571505637374</v>
      </c>
      <c r="G142" s="63">
        <f>+G34/AVERAGE(G57:H57)</f>
        <v>0.008340554592720971</v>
      </c>
      <c r="H142" s="63">
        <f>+H34/AVERAGE(H57:H57)</f>
        <v>0.0468927135937339</v>
      </c>
      <c r="I142" s="63">
        <f>+I34/AVERAGE(I57:I57)</f>
        <v>0.03190615256703388</v>
      </c>
      <c r="K142" s="63"/>
      <c r="L142" s="63"/>
      <c r="M142" s="63"/>
      <c r="N142" s="55"/>
      <c r="O142" s="55"/>
      <c r="P142" s="64"/>
      <c r="Q142" s="64"/>
    </row>
    <row r="143" spans="1:17" ht="13.5" customHeight="1">
      <c r="A143">
        <f>ROW()</f>
        <v>143</v>
      </c>
      <c r="B143" s="9"/>
      <c r="C143" s="41" t="s">
        <v>109</v>
      </c>
      <c r="D143" s="41"/>
      <c r="E143" s="62">
        <f>+E20/((E57+G57)/2)</f>
        <v>0.03869936034115139</v>
      </c>
      <c r="F143" s="63">
        <f>+F20/((F57+G57)/2)</f>
        <v>0.0605275934617252</v>
      </c>
      <c r="G143" s="63">
        <f>+G20/((G57+H57)/2)</f>
        <v>-0.007040727902946273</v>
      </c>
      <c r="H143" s="63"/>
      <c r="I143" s="63"/>
      <c r="K143" s="63"/>
      <c r="L143" s="63"/>
      <c r="M143" s="63"/>
      <c r="N143" s="55"/>
      <c r="O143" s="55"/>
      <c r="P143" s="64"/>
      <c r="Q143" s="64"/>
    </row>
    <row r="144" spans="1:17" ht="13.5" customHeight="1">
      <c r="A144">
        <f>ROW()</f>
        <v>144</v>
      </c>
      <c r="B144" s="9"/>
      <c r="C144" s="41" t="s">
        <v>110</v>
      </c>
      <c r="D144" s="41"/>
      <c r="E144" s="62">
        <f>+E34/AVERAGE(E80:G80)</f>
        <v>0.10652388333098493</v>
      </c>
      <c r="F144" s="63">
        <f>+F34/AVERAGE(F80:G80)</f>
        <v>0.21746216530849827</v>
      </c>
      <c r="G144" s="63">
        <f>+G34/AVERAGE(G80:H80)</f>
        <v>0.04470246734397678</v>
      </c>
      <c r="H144" s="63">
        <f>+H34/AVERAGE(H80:H80)</f>
        <v>0.2806909315237508</v>
      </c>
      <c r="I144" s="63">
        <f>+I34/AVERAGE(I80:I80)</f>
        <v>0.147881021194605</v>
      </c>
      <c r="K144" s="63"/>
      <c r="L144" s="63"/>
      <c r="M144" s="63"/>
      <c r="N144" s="55"/>
      <c r="O144" s="55"/>
      <c r="P144" s="64"/>
      <c r="Q144" s="64"/>
    </row>
    <row r="145" spans="1:17" ht="13.5" customHeight="1">
      <c r="A145">
        <f>ROW()</f>
        <v>145</v>
      </c>
      <c r="B145" s="9"/>
      <c r="C145" s="41"/>
      <c r="D145" s="41"/>
      <c r="E145" s="59"/>
      <c r="F145" s="72"/>
      <c r="G145" s="41"/>
      <c r="H145" s="41"/>
      <c r="I145" s="41"/>
      <c r="K145" s="41"/>
      <c r="L145" s="41"/>
      <c r="M145" s="41"/>
      <c r="N145" s="55"/>
      <c r="O145" s="55"/>
      <c r="P145" s="64"/>
      <c r="Q145" s="64"/>
    </row>
    <row r="146" spans="1:17" ht="13.5" customHeight="1">
      <c r="A146">
        <f>ROW()</f>
        <v>146</v>
      </c>
      <c r="B146" s="9"/>
      <c r="C146" s="57" t="s">
        <v>111</v>
      </c>
      <c r="D146" s="41"/>
      <c r="E146" s="40"/>
      <c r="F146" s="70"/>
      <c r="G146" s="39"/>
      <c r="H146" s="65"/>
      <c r="I146" s="65"/>
      <c r="K146" s="65"/>
      <c r="L146" s="65"/>
      <c r="M146" s="65"/>
      <c r="N146" s="55"/>
      <c r="O146" s="55"/>
      <c r="P146" s="64"/>
      <c r="Q146" s="64"/>
    </row>
    <row r="147" spans="1:17" ht="13.5" customHeight="1">
      <c r="A147">
        <f>ROW()</f>
        <v>147</v>
      </c>
      <c r="B147" s="9"/>
      <c r="C147" s="41" t="s">
        <v>112</v>
      </c>
      <c r="D147" s="41"/>
      <c r="E147" s="62">
        <f>+E7/F7-1</f>
        <v>0.04831394202326966</v>
      </c>
      <c r="F147" s="73">
        <f>+F7/G7-1</f>
        <v>0.07985519591141399</v>
      </c>
      <c r="G147" s="73">
        <f>+G7/H7-1</f>
        <v>-0.20501100389368543</v>
      </c>
      <c r="H147" s="73">
        <f>+H7/I7-1</f>
        <v>-0.03998049731838127</v>
      </c>
      <c r="I147" s="63"/>
      <c r="K147" s="63">
        <f>+K7/L7-1</f>
        <v>0.10115830115830127</v>
      </c>
      <c r="L147" s="63">
        <f>+L7/M7-1</f>
        <v>-0.03358208955223885</v>
      </c>
      <c r="M147" s="63">
        <f>+M7/N7-1</f>
        <v>0.06772908366533859</v>
      </c>
      <c r="N147" s="55"/>
      <c r="O147" s="55"/>
      <c r="P147" s="64"/>
      <c r="Q147" s="64"/>
    </row>
    <row r="148" spans="1:17" ht="13.5" customHeight="1" thickBot="1">
      <c r="A148">
        <f>ROW()</f>
        <v>148</v>
      </c>
      <c r="B148" s="9"/>
      <c r="C148" s="41" t="s">
        <v>113</v>
      </c>
      <c r="D148" s="41"/>
      <c r="E148" s="66"/>
      <c r="F148" s="72"/>
      <c r="G148" s="39"/>
      <c r="H148" s="65"/>
      <c r="I148" s="65"/>
      <c r="K148" s="29"/>
      <c r="L148" s="55"/>
      <c r="M148" s="55"/>
      <c r="N148" s="55"/>
      <c r="O148" s="55"/>
      <c r="P148" s="64"/>
      <c r="Q148" s="64"/>
    </row>
    <row r="149" spans="3:17" ht="13.5" customHeight="1">
      <c r="C149" s="18"/>
      <c r="D149" s="18"/>
      <c r="E149" s="18"/>
      <c r="F149" s="18"/>
      <c r="G149" s="18"/>
      <c r="H149" s="18"/>
      <c r="I149" s="18"/>
      <c r="K149" s="29"/>
      <c r="L149" s="55"/>
      <c r="M149" s="55"/>
      <c r="N149" s="55"/>
      <c r="O149" s="55"/>
      <c r="P149" s="64"/>
      <c r="Q149" s="64"/>
    </row>
    <row r="150" spans="3:17" ht="13.5" customHeight="1">
      <c r="C150" s="18"/>
      <c r="D150" s="18"/>
      <c r="E150" s="18"/>
      <c r="F150" s="18"/>
      <c r="G150" s="18"/>
      <c r="H150" s="18"/>
      <c r="I150" s="18"/>
      <c r="K150" s="29"/>
      <c r="L150" s="55"/>
      <c r="M150" s="55"/>
      <c r="N150" s="55"/>
      <c r="O150" s="55"/>
      <c r="P150" s="64"/>
      <c r="Q150" s="64"/>
    </row>
    <row r="151" spans="3:17" ht="13.5" customHeight="1">
      <c r="C151" s="18"/>
      <c r="D151" s="18"/>
      <c r="E151" s="18"/>
      <c r="F151" s="18"/>
      <c r="G151" s="18"/>
      <c r="H151" s="18"/>
      <c r="I151" s="18"/>
      <c r="K151" s="29"/>
      <c r="L151" s="55"/>
      <c r="M151" s="55"/>
      <c r="N151" s="55"/>
      <c r="O151" s="55"/>
      <c r="P151" s="64"/>
      <c r="Q151" s="64"/>
    </row>
    <row r="152" spans="3:17" ht="13.5" customHeight="1">
      <c r="C152" s="18"/>
      <c r="D152" s="18"/>
      <c r="E152" s="18"/>
      <c r="F152" s="18"/>
      <c r="G152" s="18"/>
      <c r="H152" s="18"/>
      <c r="I152" s="18"/>
      <c r="K152" s="29"/>
      <c r="L152" s="55"/>
      <c r="M152" s="55"/>
      <c r="N152" s="55"/>
      <c r="O152" s="55"/>
      <c r="P152" s="64"/>
      <c r="Q152" s="64"/>
    </row>
    <row r="153" spans="3:17" ht="13.5" customHeight="1">
      <c r="C153" s="18"/>
      <c r="D153" s="18"/>
      <c r="E153" s="18"/>
      <c r="F153" s="18"/>
      <c r="G153" s="18"/>
      <c r="H153" s="18"/>
      <c r="I153" s="18"/>
      <c r="K153" s="29"/>
      <c r="L153" s="55"/>
      <c r="M153" s="55"/>
      <c r="N153" s="55"/>
      <c r="O153" s="55"/>
      <c r="P153" s="64"/>
      <c r="Q153" s="64"/>
    </row>
    <row r="154" spans="3:17" ht="13.5" customHeight="1">
      <c r="C154" s="18"/>
      <c r="D154" s="18"/>
      <c r="E154" s="18"/>
      <c r="F154" s="18"/>
      <c r="G154" s="18"/>
      <c r="H154" s="18"/>
      <c r="I154" s="18"/>
      <c r="K154" s="29"/>
      <c r="L154" s="55"/>
      <c r="M154" s="55"/>
      <c r="N154" s="55"/>
      <c r="O154" s="55"/>
      <c r="P154" s="64"/>
      <c r="Q154" s="64"/>
    </row>
    <row r="155" spans="3:17" ht="13.5" customHeight="1">
      <c r="C155" s="18"/>
      <c r="D155" s="18"/>
      <c r="E155" s="18"/>
      <c r="F155" s="18"/>
      <c r="G155" s="18"/>
      <c r="H155" s="18"/>
      <c r="I155" s="18"/>
      <c r="K155" s="29"/>
      <c r="L155" s="55"/>
      <c r="M155" s="55"/>
      <c r="N155" s="55"/>
      <c r="O155" s="55"/>
      <c r="P155" s="64"/>
      <c r="Q155" s="64"/>
    </row>
    <row r="156" spans="3:17" ht="13.5" customHeight="1">
      <c r="C156" s="18"/>
      <c r="D156" s="18"/>
      <c r="E156" s="18"/>
      <c r="F156" s="18"/>
      <c r="G156" s="18"/>
      <c r="H156" s="18"/>
      <c r="I156" s="18"/>
      <c r="K156" s="29"/>
      <c r="L156" s="55"/>
      <c r="M156" s="55"/>
      <c r="N156" s="55"/>
      <c r="O156" s="55"/>
      <c r="P156" s="64"/>
      <c r="Q156" s="64"/>
    </row>
    <row r="157" spans="3:17" ht="13.5" customHeight="1">
      <c r="C157" s="18"/>
      <c r="D157" s="18"/>
      <c r="E157" s="18"/>
      <c r="F157" s="18"/>
      <c r="G157" s="18"/>
      <c r="H157" s="18"/>
      <c r="I157" s="18"/>
      <c r="K157" s="29"/>
      <c r="L157" s="55"/>
      <c r="M157" s="55"/>
      <c r="N157" s="55"/>
      <c r="O157" s="55"/>
      <c r="P157" s="64"/>
      <c r="Q157" s="64"/>
    </row>
    <row r="158" spans="3:17" ht="13.5" customHeight="1">
      <c r="C158" s="18"/>
      <c r="D158" s="18"/>
      <c r="E158" s="18"/>
      <c r="F158" s="18"/>
      <c r="G158" s="18"/>
      <c r="H158" s="18"/>
      <c r="I158" s="18"/>
      <c r="K158" s="29"/>
      <c r="L158" s="55"/>
      <c r="M158" s="55"/>
      <c r="N158" s="55"/>
      <c r="O158" s="55"/>
      <c r="P158" s="64"/>
      <c r="Q158" s="64"/>
    </row>
    <row r="159" spans="3:17" ht="13.5" customHeight="1">
      <c r="C159" s="18"/>
      <c r="D159" s="18"/>
      <c r="E159" s="18"/>
      <c r="F159" s="18"/>
      <c r="G159" s="18"/>
      <c r="H159" s="18"/>
      <c r="I159" s="18"/>
      <c r="K159" s="29"/>
      <c r="L159" s="55"/>
      <c r="M159" s="55"/>
      <c r="N159" s="55"/>
      <c r="O159" s="55"/>
      <c r="P159" s="64"/>
      <c r="Q159" s="64"/>
    </row>
    <row r="160" spans="3:17" ht="13.5" customHeight="1">
      <c r="C160" s="18"/>
      <c r="D160" s="18"/>
      <c r="E160" s="18"/>
      <c r="F160" s="18"/>
      <c r="G160" s="18"/>
      <c r="H160" s="18"/>
      <c r="I160" s="18"/>
      <c r="L160" s="64"/>
      <c r="M160" s="64"/>
      <c r="N160" s="64"/>
      <c r="O160" s="64"/>
      <c r="P160" s="64"/>
      <c r="Q160" s="64"/>
    </row>
    <row r="161" spans="3:17" ht="13.5" customHeight="1">
      <c r="C161" s="18"/>
      <c r="D161" s="18"/>
      <c r="E161" s="18"/>
      <c r="F161" s="18"/>
      <c r="G161" s="18"/>
      <c r="H161" s="18"/>
      <c r="I161" s="18"/>
      <c r="L161" s="64"/>
      <c r="M161" s="64"/>
      <c r="N161" s="64"/>
      <c r="O161" s="64"/>
      <c r="P161" s="64"/>
      <c r="Q161" s="64"/>
    </row>
    <row r="162" spans="3:17" ht="13.5" customHeight="1">
      <c r="C162" s="18"/>
      <c r="D162" s="18"/>
      <c r="E162" s="18"/>
      <c r="F162" s="18"/>
      <c r="G162" s="18"/>
      <c r="H162" s="18"/>
      <c r="I162" s="18"/>
      <c r="L162" s="64"/>
      <c r="M162" s="64"/>
      <c r="N162" s="64"/>
      <c r="O162" s="64"/>
      <c r="P162" s="64"/>
      <c r="Q162" s="64"/>
    </row>
    <row r="163" spans="3:17" ht="13.5" customHeight="1">
      <c r="C163" s="18"/>
      <c r="D163" s="18"/>
      <c r="E163" s="18"/>
      <c r="F163" s="18"/>
      <c r="G163" s="18"/>
      <c r="H163" s="18"/>
      <c r="I163" s="18"/>
      <c r="L163" s="64"/>
      <c r="M163" s="64"/>
      <c r="N163" s="64"/>
      <c r="O163" s="64"/>
      <c r="P163" s="64"/>
      <c r="Q163" s="64"/>
    </row>
    <row r="164" spans="3:17" ht="13.5" customHeight="1">
      <c r="C164" s="18"/>
      <c r="D164" s="18"/>
      <c r="E164" s="18"/>
      <c r="F164" s="18"/>
      <c r="G164" s="18"/>
      <c r="H164" s="18"/>
      <c r="I164" s="18"/>
      <c r="L164" s="64"/>
      <c r="M164" s="64"/>
      <c r="N164" s="64"/>
      <c r="O164" s="64"/>
      <c r="P164" s="64"/>
      <c r="Q164" s="64"/>
    </row>
    <row r="165" spans="3:17" ht="13.5" customHeight="1">
      <c r="C165" s="18"/>
      <c r="D165" s="18"/>
      <c r="E165" s="18"/>
      <c r="F165" s="18"/>
      <c r="G165" s="18"/>
      <c r="H165" s="18"/>
      <c r="I165" s="18"/>
      <c r="L165" s="64"/>
      <c r="M165" s="64"/>
      <c r="N165" s="64"/>
      <c r="O165" s="64"/>
      <c r="P165" s="64"/>
      <c r="Q165" s="64"/>
    </row>
    <row r="166" spans="3:17" ht="13.5" customHeight="1">
      <c r="C166" s="18"/>
      <c r="D166" s="18"/>
      <c r="E166" s="18"/>
      <c r="F166" s="18"/>
      <c r="G166" s="18"/>
      <c r="H166" s="18"/>
      <c r="I166" s="18"/>
      <c r="L166" s="64"/>
      <c r="M166" s="64"/>
      <c r="N166" s="64"/>
      <c r="O166" s="64"/>
      <c r="P166" s="64"/>
      <c r="Q166" s="64"/>
    </row>
    <row r="167" spans="3:17" ht="13.5" customHeight="1">
      <c r="C167" s="18"/>
      <c r="D167" s="18"/>
      <c r="E167" s="18"/>
      <c r="F167" s="18"/>
      <c r="G167" s="18"/>
      <c r="H167" s="18"/>
      <c r="I167" s="18"/>
      <c r="L167" s="64"/>
      <c r="M167" s="64"/>
      <c r="N167" s="64"/>
      <c r="O167" s="64"/>
      <c r="P167" s="64"/>
      <c r="Q167" s="64"/>
    </row>
    <row r="168" spans="3:17" ht="13.5" customHeight="1">
      <c r="C168" s="18"/>
      <c r="D168" s="18"/>
      <c r="E168" s="18"/>
      <c r="F168" s="18"/>
      <c r="G168" s="18"/>
      <c r="H168" s="18"/>
      <c r="I168" s="18"/>
      <c r="L168" s="64"/>
      <c r="M168" s="64"/>
      <c r="N168" s="64"/>
      <c r="O168" s="64"/>
      <c r="P168" s="64"/>
      <c r="Q168" s="64"/>
    </row>
    <row r="169" spans="3:17" ht="13.5" customHeight="1">
      <c r="C169" s="18"/>
      <c r="D169" s="18"/>
      <c r="E169" s="18"/>
      <c r="F169" s="18"/>
      <c r="G169" s="18"/>
      <c r="H169" s="18"/>
      <c r="I169" s="18"/>
      <c r="L169" s="64"/>
      <c r="M169" s="64"/>
      <c r="N169" s="64"/>
      <c r="O169" s="64"/>
      <c r="P169" s="64"/>
      <c r="Q169" s="64"/>
    </row>
    <row r="170" spans="3:17" ht="13.5" customHeight="1">
      <c r="C170" s="18"/>
      <c r="D170" s="18"/>
      <c r="E170" s="18"/>
      <c r="F170" s="18"/>
      <c r="G170" s="18"/>
      <c r="H170" s="18"/>
      <c r="I170" s="18"/>
      <c r="L170" s="64"/>
      <c r="M170" s="64"/>
      <c r="N170" s="64"/>
      <c r="O170" s="64"/>
      <c r="P170" s="64"/>
      <c r="Q170" s="64"/>
    </row>
    <row r="171" spans="3:17" ht="13.5" customHeight="1">
      <c r="C171" s="18"/>
      <c r="D171" s="18"/>
      <c r="E171" s="18"/>
      <c r="F171" s="18"/>
      <c r="G171" s="18"/>
      <c r="H171" s="18"/>
      <c r="I171" s="18"/>
      <c r="L171" s="64"/>
      <c r="M171" s="64"/>
      <c r="N171" s="64"/>
      <c r="O171" s="64"/>
      <c r="P171" s="64"/>
      <c r="Q171" s="64"/>
    </row>
    <row r="172" spans="3:17" ht="13.5" customHeight="1">
      <c r="C172" s="18"/>
      <c r="D172" s="18"/>
      <c r="E172" s="18"/>
      <c r="F172" s="18"/>
      <c r="G172" s="18"/>
      <c r="H172" s="18"/>
      <c r="I172" s="18"/>
      <c r="L172" s="64"/>
      <c r="M172" s="64"/>
      <c r="N172" s="64"/>
      <c r="O172" s="64"/>
      <c r="P172" s="64"/>
      <c r="Q172" s="64"/>
    </row>
    <row r="173" spans="3:17" ht="13.5" customHeight="1">
      <c r="C173" s="18"/>
      <c r="D173" s="18"/>
      <c r="E173" s="18"/>
      <c r="F173" s="18"/>
      <c r="G173" s="18"/>
      <c r="H173" s="18"/>
      <c r="I173" s="18"/>
      <c r="L173" s="64"/>
      <c r="M173" s="64"/>
      <c r="N173" s="64"/>
      <c r="O173" s="64"/>
      <c r="P173" s="64"/>
      <c r="Q173" s="64"/>
    </row>
    <row r="174" spans="3:17" ht="13.5" customHeight="1">
      <c r="C174" s="18"/>
      <c r="D174" s="18"/>
      <c r="E174" s="18"/>
      <c r="F174" s="18"/>
      <c r="G174" s="18"/>
      <c r="H174" s="18"/>
      <c r="I174" s="18"/>
      <c r="L174" s="64"/>
      <c r="M174" s="64"/>
      <c r="N174" s="64"/>
      <c r="O174" s="64"/>
      <c r="P174" s="64"/>
      <c r="Q174" s="64"/>
    </row>
    <row r="175" spans="3:17" ht="13.5" customHeight="1">
      <c r="C175" s="18"/>
      <c r="D175" s="18"/>
      <c r="E175" s="18"/>
      <c r="F175" s="18"/>
      <c r="G175" s="18"/>
      <c r="H175" s="18"/>
      <c r="I175" s="18"/>
      <c r="L175" s="64"/>
      <c r="M175" s="64"/>
      <c r="N175" s="64"/>
      <c r="O175" s="64"/>
      <c r="P175" s="64"/>
      <c r="Q175" s="64"/>
    </row>
    <row r="176" spans="3:17" ht="13.5" customHeight="1">
      <c r="C176" s="18"/>
      <c r="D176" s="18"/>
      <c r="E176" s="18"/>
      <c r="F176" s="18"/>
      <c r="G176" s="18"/>
      <c r="H176" s="18"/>
      <c r="I176" s="18"/>
      <c r="L176" s="64"/>
      <c r="M176" s="64"/>
      <c r="N176" s="64"/>
      <c r="O176" s="64"/>
      <c r="P176" s="64"/>
      <c r="Q176" s="64"/>
    </row>
    <row r="177" spans="3:17" ht="13.5" customHeight="1">
      <c r="C177" s="18"/>
      <c r="D177" s="18"/>
      <c r="E177" s="18"/>
      <c r="F177" s="18"/>
      <c r="G177" s="18"/>
      <c r="H177" s="18"/>
      <c r="I177" s="18"/>
      <c r="L177" s="64"/>
      <c r="M177" s="64"/>
      <c r="N177" s="64"/>
      <c r="O177" s="64"/>
      <c r="P177" s="64"/>
      <c r="Q177" s="64"/>
    </row>
    <row r="178" spans="3:17" ht="13.5" customHeight="1">
      <c r="C178" s="18"/>
      <c r="D178" s="18"/>
      <c r="E178" s="18"/>
      <c r="F178" s="18"/>
      <c r="G178" s="18"/>
      <c r="H178" s="18"/>
      <c r="I178" s="18"/>
      <c r="L178" s="64"/>
      <c r="M178" s="64"/>
      <c r="N178" s="64"/>
      <c r="O178" s="64"/>
      <c r="P178" s="64"/>
      <c r="Q178" s="64"/>
    </row>
    <row r="179" spans="3:17" ht="13.5" customHeight="1">
      <c r="C179" s="18"/>
      <c r="D179" s="18"/>
      <c r="E179" s="18"/>
      <c r="F179" s="18"/>
      <c r="G179" s="18"/>
      <c r="H179" s="18"/>
      <c r="I179" s="18"/>
      <c r="L179" s="64"/>
      <c r="M179" s="64"/>
      <c r="N179" s="64"/>
      <c r="O179" s="64"/>
      <c r="P179" s="64"/>
      <c r="Q179" s="64"/>
    </row>
    <row r="180" spans="3:17" ht="13.5" customHeight="1">
      <c r="C180" s="18"/>
      <c r="D180" s="18"/>
      <c r="E180" s="18"/>
      <c r="F180" s="18"/>
      <c r="G180" s="18"/>
      <c r="H180" s="18"/>
      <c r="I180" s="18"/>
      <c r="L180" s="64"/>
      <c r="M180" s="64"/>
      <c r="N180" s="64"/>
      <c r="O180" s="64"/>
      <c r="P180" s="64"/>
      <c r="Q180" s="64"/>
    </row>
    <row r="181" spans="3:17" ht="13.5" customHeight="1">
      <c r="C181" s="18"/>
      <c r="D181" s="18"/>
      <c r="E181" s="18"/>
      <c r="F181" s="18"/>
      <c r="G181" s="18"/>
      <c r="H181" s="18"/>
      <c r="I181" s="18"/>
      <c r="L181" s="64"/>
      <c r="M181" s="64"/>
      <c r="N181" s="64"/>
      <c r="O181" s="64"/>
      <c r="P181" s="64"/>
      <c r="Q181" s="64"/>
    </row>
    <row r="182" spans="3:17" ht="13.5" customHeight="1">
      <c r="C182" s="18"/>
      <c r="D182" s="18"/>
      <c r="E182" s="18"/>
      <c r="F182" s="18"/>
      <c r="G182" s="18"/>
      <c r="H182" s="18"/>
      <c r="I182" s="18"/>
      <c r="L182" s="64"/>
      <c r="M182" s="64"/>
      <c r="N182" s="64"/>
      <c r="O182" s="64"/>
      <c r="P182" s="64"/>
      <c r="Q182" s="64"/>
    </row>
    <row r="183" spans="3:17" ht="13.5" customHeight="1">
      <c r="C183" s="18"/>
      <c r="D183" s="18"/>
      <c r="E183" s="18"/>
      <c r="F183" s="18"/>
      <c r="G183" s="18"/>
      <c r="H183" s="18"/>
      <c r="I183" s="18"/>
      <c r="L183" s="64"/>
      <c r="M183" s="64"/>
      <c r="N183" s="64"/>
      <c r="O183" s="64"/>
      <c r="P183" s="64"/>
      <c r="Q183" s="64"/>
    </row>
    <row r="184" spans="3:17" ht="13.5" customHeight="1">
      <c r="C184" s="18"/>
      <c r="D184" s="18"/>
      <c r="E184" s="18"/>
      <c r="F184" s="18"/>
      <c r="G184" s="18"/>
      <c r="H184" s="18"/>
      <c r="I184" s="18"/>
      <c r="L184" s="64"/>
      <c r="M184" s="64"/>
      <c r="N184" s="64"/>
      <c r="O184" s="64"/>
      <c r="P184" s="64"/>
      <c r="Q184" s="64"/>
    </row>
    <row r="185" spans="3:17" ht="13.5" customHeight="1">
      <c r="C185" s="18"/>
      <c r="D185" s="18"/>
      <c r="E185" s="18"/>
      <c r="F185" s="18"/>
      <c r="G185" s="18"/>
      <c r="H185" s="18"/>
      <c r="I185" s="18"/>
      <c r="L185" s="64"/>
      <c r="M185" s="64"/>
      <c r="N185" s="64"/>
      <c r="O185" s="64"/>
      <c r="P185" s="64"/>
      <c r="Q185" s="64"/>
    </row>
    <row r="186" spans="3:17" ht="13.5" customHeight="1">
      <c r="C186" s="18"/>
      <c r="D186" s="18"/>
      <c r="E186" s="18"/>
      <c r="F186" s="18"/>
      <c r="G186" s="18"/>
      <c r="H186" s="18"/>
      <c r="I186" s="18"/>
      <c r="L186" s="64"/>
      <c r="M186" s="64"/>
      <c r="N186" s="64"/>
      <c r="O186" s="64"/>
      <c r="P186" s="64"/>
      <c r="Q186" s="64"/>
    </row>
    <row r="187" spans="3:17" ht="13.5" customHeight="1">
      <c r="C187" s="18"/>
      <c r="D187" s="18"/>
      <c r="E187" s="18"/>
      <c r="F187" s="18"/>
      <c r="G187" s="18"/>
      <c r="H187" s="18"/>
      <c r="I187" s="18"/>
      <c r="L187" s="64"/>
      <c r="M187" s="64"/>
      <c r="N187" s="64"/>
      <c r="O187" s="64"/>
      <c r="P187" s="64"/>
      <c r="Q187" s="64"/>
    </row>
    <row r="188" spans="3:17" ht="13.5" customHeight="1">
      <c r="C188" s="18"/>
      <c r="D188" s="18"/>
      <c r="E188" s="18"/>
      <c r="F188" s="18"/>
      <c r="G188" s="18"/>
      <c r="H188" s="18"/>
      <c r="I188" s="18"/>
      <c r="L188" s="64"/>
      <c r="M188" s="64"/>
      <c r="N188" s="64"/>
      <c r="O188" s="64"/>
      <c r="P188" s="64"/>
      <c r="Q188" s="64"/>
    </row>
    <row r="189" spans="3:17" ht="13.5" customHeight="1">
      <c r="C189" s="18"/>
      <c r="D189" s="18"/>
      <c r="E189" s="18"/>
      <c r="F189" s="18"/>
      <c r="G189" s="18"/>
      <c r="H189" s="18"/>
      <c r="I189" s="18"/>
      <c r="L189" s="64"/>
      <c r="M189" s="64"/>
      <c r="N189" s="64"/>
      <c r="O189" s="64"/>
      <c r="P189" s="64"/>
      <c r="Q189" s="64"/>
    </row>
    <row r="190" spans="3:17" ht="13.5" customHeight="1">
      <c r="C190" s="18"/>
      <c r="D190" s="18"/>
      <c r="E190" s="18"/>
      <c r="F190" s="18"/>
      <c r="G190" s="18"/>
      <c r="H190" s="18"/>
      <c r="I190" s="18"/>
      <c r="L190" s="64"/>
      <c r="M190" s="64"/>
      <c r="N190" s="64"/>
      <c r="O190" s="64"/>
      <c r="P190" s="64"/>
      <c r="Q190" s="64"/>
    </row>
    <row r="191" spans="3:17" ht="13.5" customHeight="1">
      <c r="C191" s="18"/>
      <c r="D191" s="18"/>
      <c r="E191" s="18"/>
      <c r="F191" s="18"/>
      <c r="G191" s="18"/>
      <c r="H191" s="18"/>
      <c r="I191" s="18"/>
      <c r="L191" s="64"/>
      <c r="M191" s="64"/>
      <c r="N191" s="64"/>
      <c r="O191" s="64"/>
      <c r="P191" s="64"/>
      <c r="Q191" s="64"/>
    </row>
    <row r="192" spans="3:17" ht="13.5" customHeight="1">
      <c r="C192" s="18"/>
      <c r="D192" s="18"/>
      <c r="E192" s="18"/>
      <c r="F192" s="18"/>
      <c r="G192" s="18"/>
      <c r="H192" s="18"/>
      <c r="I192" s="18"/>
      <c r="L192" s="64"/>
      <c r="M192" s="64"/>
      <c r="N192" s="64"/>
      <c r="O192" s="64"/>
      <c r="P192" s="64"/>
      <c r="Q192" s="64"/>
    </row>
    <row r="193" spans="3:17" ht="13.5" customHeight="1">
      <c r="C193" s="18"/>
      <c r="D193" s="18"/>
      <c r="E193" s="18"/>
      <c r="F193" s="18"/>
      <c r="G193" s="18"/>
      <c r="H193" s="18"/>
      <c r="I193" s="18"/>
      <c r="L193" s="64"/>
      <c r="M193" s="64"/>
      <c r="N193" s="64"/>
      <c r="O193" s="64"/>
      <c r="P193" s="64"/>
      <c r="Q193" s="64"/>
    </row>
    <row r="194" spans="3:17" ht="13.5" customHeight="1">
      <c r="C194" s="18"/>
      <c r="D194" s="18"/>
      <c r="E194" s="18"/>
      <c r="F194" s="18"/>
      <c r="G194" s="18"/>
      <c r="H194" s="18"/>
      <c r="I194" s="18"/>
      <c r="L194" s="64"/>
      <c r="M194" s="64"/>
      <c r="N194" s="64"/>
      <c r="O194" s="64"/>
      <c r="P194" s="64"/>
      <c r="Q194" s="64"/>
    </row>
    <row r="195" spans="3:17" ht="13.5" customHeight="1">
      <c r="C195" s="18"/>
      <c r="D195" s="18"/>
      <c r="E195" s="18"/>
      <c r="F195" s="18"/>
      <c r="G195" s="18"/>
      <c r="H195" s="18"/>
      <c r="I195" s="18"/>
      <c r="L195" s="64"/>
      <c r="M195" s="64"/>
      <c r="N195" s="64"/>
      <c r="O195" s="64"/>
      <c r="P195" s="64"/>
      <c r="Q195" s="64"/>
    </row>
    <row r="196" spans="3:17" ht="13.5" customHeight="1">
      <c r="C196" s="18"/>
      <c r="D196" s="18"/>
      <c r="E196" s="18"/>
      <c r="F196" s="18"/>
      <c r="G196" s="18"/>
      <c r="H196" s="18"/>
      <c r="I196" s="18"/>
      <c r="L196" s="64"/>
      <c r="M196" s="64"/>
      <c r="N196" s="64"/>
      <c r="O196" s="64"/>
      <c r="P196" s="64"/>
      <c r="Q196" s="64"/>
    </row>
    <row r="197" spans="3:17" ht="13.5" customHeight="1">
      <c r="C197" s="18"/>
      <c r="D197" s="18"/>
      <c r="E197" s="18"/>
      <c r="F197" s="18"/>
      <c r="G197" s="18"/>
      <c r="H197" s="18"/>
      <c r="I197" s="18"/>
      <c r="L197" s="64"/>
      <c r="M197" s="64"/>
      <c r="N197" s="64"/>
      <c r="O197" s="64"/>
      <c r="P197" s="64"/>
      <c r="Q197" s="64"/>
    </row>
    <row r="198" spans="3:17" ht="13.5" customHeight="1">
      <c r="C198" s="18"/>
      <c r="D198" s="18"/>
      <c r="E198" s="18"/>
      <c r="F198" s="18"/>
      <c r="G198" s="18"/>
      <c r="H198" s="18"/>
      <c r="I198" s="18"/>
      <c r="L198" s="64"/>
      <c r="M198" s="64"/>
      <c r="N198" s="64"/>
      <c r="O198" s="64"/>
      <c r="P198" s="64"/>
      <c r="Q198" s="64"/>
    </row>
    <row r="199" spans="3:17" ht="13.5" customHeight="1">
      <c r="C199" s="18"/>
      <c r="D199" s="18"/>
      <c r="E199" s="18"/>
      <c r="F199" s="18"/>
      <c r="G199" s="18"/>
      <c r="H199" s="18"/>
      <c r="I199" s="18"/>
      <c r="L199" s="64"/>
      <c r="M199" s="64"/>
      <c r="N199" s="64"/>
      <c r="O199" s="64"/>
      <c r="P199" s="64"/>
      <c r="Q199" s="64"/>
    </row>
    <row r="200" spans="3:17" ht="13.5" customHeight="1">
      <c r="C200" s="18"/>
      <c r="D200" s="18"/>
      <c r="E200" s="18"/>
      <c r="F200" s="18"/>
      <c r="G200" s="18"/>
      <c r="H200" s="18"/>
      <c r="I200" s="18"/>
      <c r="L200" s="64"/>
      <c r="M200" s="64"/>
      <c r="N200" s="64"/>
      <c r="O200" s="64"/>
      <c r="P200" s="64"/>
      <c r="Q200" s="64"/>
    </row>
    <row r="201" spans="3:17" ht="13.5" customHeight="1">
      <c r="C201" s="18"/>
      <c r="D201" s="18"/>
      <c r="E201" s="18"/>
      <c r="F201" s="18"/>
      <c r="G201" s="18"/>
      <c r="H201" s="18"/>
      <c r="I201" s="18"/>
      <c r="L201" s="64"/>
      <c r="M201" s="64"/>
      <c r="N201" s="64"/>
      <c r="O201" s="64"/>
      <c r="P201" s="64"/>
      <c r="Q201" s="64"/>
    </row>
    <row r="202" spans="3:17" ht="13.5" customHeight="1">
      <c r="C202" s="18"/>
      <c r="D202" s="18"/>
      <c r="E202" s="18"/>
      <c r="F202" s="18"/>
      <c r="G202" s="18"/>
      <c r="H202" s="18"/>
      <c r="I202" s="18"/>
      <c r="L202" s="64"/>
      <c r="M202" s="64"/>
      <c r="N202" s="64"/>
      <c r="O202" s="64"/>
      <c r="P202" s="64"/>
      <c r="Q202" s="64"/>
    </row>
    <row r="203" spans="3:17" ht="13.5" customHeight="1">
      <c r="C203" s="18"/>
      <c r="D203" s="18"/>
      <c r="E203" s="18"/>
      <c r="F203" s="18"/>
      <c r="G203" s="18"/>
      <c r="H203" s="18"/>
      <c r="I203" s="18"/>
      <c r="L203" s="64"/>
      <c r="M203" s="64"/>
      <c r="N203" s="64"/>
      <c r="O203" s="64"/>
      <c r="P203" s="64"/>
      <c r="Q203" s="64"/>
    </row>
    <row r="204" spans="3:17" ht="13.5" customHeight="1">
      <c r="C204" s="18"/>
      <c r="D204" s="18"/>
      <c r="E204" s="18"/>
      <c r="F204" s="18"/>
      <c r="G204" s="18"/>
      <c r="H204" s="18"/>
      <c r="I204" s="18"/>
      <c r="L204" s="64"/>
      <c r="M204" s="64"/>
      <c r="N204" s="64"/>
      <c r="O204" s="64"/>
      <c r="P204" s="64"/>
      <c r="Q204" s="64"/>
    </row>
    <row r="205" spans="3:17" ht="13.5" customHeight="1">
      <c r="C205" s="18"/>
      <c r="D205" s="18"/>
      <c r="E205" s="18"/>
      <c r="F205" s="18"/>
      <c r="G205" s="18"/>
      <c r="H205" s="18"/>
      <c r="I205" s="18"/>
      <c r="L205" s="64"/>
      <c r="M205" s="64"/>
      <c r="N205" s="64"/>
      <c r="O205" s="64"/>
      <c r="P205" s="64"/>
      <c r="Q205" s="64"/>
    </row>
    <row r="206" spans="3:9" ht="13.5" customHeight="1">
      <c r="C206" s="18"/>
      <c r="D206" s="18"/>
      <c r="E206" s="18"/>
      <c r="F206" s="18"/>
      <c r="G206" s="18"/>
      <c r="H206" s="18"/>
      <c r="I206" s="18"/>
    </row>
    <row r="207" spans="3:9" ht="13.5" customHeight="1">
      <c r="C207" s="18"/>
      <c r="D207" s="18"/>
      <c r="E207" s="18"/>
      <c r="F207" s="18"/>
      <c r="G207" s="18"/>
      <c r="H207" s="18"/>
      <c r="I207" s="18"/>
    </row>
    <row r="208" spans="3:9" ht="13.5" customHeight="1">
      <c r="C208" s="18"/>
      <c r="D208" s="18"/>
      <c r="E208" s="18"/>
      <c r="F208" s="18"/>
      <c r="G208" s="18"/>
      <c r="H208" s="18"/>
      <c r="I208" s="18"/>
    </row>
    <row r="209" spans="3:9" ht="13.5" customHeight="1">
      <c r="C209" s="18"/>
      <c r="D209" s="18"/>
      <c r="E209" s="18"/>
      <c r="F209" s="18"/>
      <c r="G209" s="18"/>
      <c r="H209" s="18"/>
      <c r="I209" s="18"/>
    </row>
    <row r="210" spans="3:9" ht="13.5" customHeight="1">
      <c r="C210" s="18"/>
      <c r="D210" s="18"/>
      <c r="E210" s="18"/>
      <c r="F210" s="18"/>
      <c r="G210" s="18"/>
      <c r="H210" s="18"/>
      <c r="I210" s="18"/>
    </row>
    <row r="211" spans="3:9" ht="13.5" customHeight="1">
      <c r="C211" s="18"/>
      <c r="D211" s="18"/>
      <c r="E211" s="18"/>
      <c r="F211" s="18"/>
      <c r="G211" s="18"/>
      <c r="H211" s="18"/>
      <c r="I211" s="18"/>
    </row>
    <row r="212" spans="3:9" ht="13.5" customHeight="1">
      <c r="C212" s="18"/>
      <c r="D212" s="18"/>
      <c r="E212" s="18"/>
      <c r="F212" s="18"/>
      <c r="G212" s="18"/>
      <c r="H212" s="18"/>
      <c r="I212" s="18"/>
    </row>
    <row r="213" spans="3:9" ht="13.5" customHeight="1">
      <c r="C213" s="18"/>
      <c r="D213" s="18"/>
      <c r="E213" s="18"/>
      <c r="F213" s="18"/>
      <c r="G213" s="18"/>
      <c r="H213" s="18"/>
      <c r="I213" s="18"/>
    </row>
    <row r="214" spans="3:9" ht="13.5" customHeight="1">
      <c r="C214" s="18"/>
      <c r="D214" s="18"/>
      <c r="E214" s="18"/>
      <c r="F214" s="18"/>
      <c r="G214" s="18"/>
      <c r="H214" s="18"/>
      <c r="I214" s="18"/>
    </row>
    <row r="215" spans="3:9" ht="13.5" customHeight="1">
      <c r="C215" s="18"/>
      <c r="D215" s="18"/>
      <c r="E215" s="18"/>
      <c r="F215" s="18"/>
      <c r="G215" s="18"/>
      <c r="H215" s="18"/>
      <c r="I215" s="18"/>
    </row>
    <row r="216" spans="3:9" ht="13.5" customHeight="1">
      <c r="C216" s="18"/>
      <c r="D216" s="18"/>
      <c r="E216" s="18"/>
      <c r="F216" s="18"/>
      <c r="G216" s="18"/>
      <c r="H216" s="18"/>
      <c r="I216" s="18"/>
    </row>
    <row r="217" spans="3:9" ht="13.5" customHeight="1">
      <c r="C217" s="18"/>
      <c r="D217" s="18"/>
      <c r="E217" s="18"/>
      <c r="F217" s="18"/>
      <c r="G217" s="18"/>
      <c r="H217" s="18"/>
      <c r="I217" s="18"/>
    </row>
    <row r="218" spans="3:9" ht="13.5" customHeight="1">
      <c r="C218" s="18"/>
      <c r="D218" s="18"/>
      <c r="E218" s="18"/>
      <c r="F218" s="18"/>
      <c r="G218" s="18"/>
      <c r="H218" s="18"/>
      <c r="I218" s="18"/>
    </row>
    <row r="219" spans="3:9" ht="13.5" customHeight="1">
      <c r="C219" s="18"/>
      <c r="D219" s="18"/>
      <c r="E219" s="18"/>
      <c r="F219" s="18"/>
      <c r="G219" s="18"/>
      <c r="H219" s="18"/>
      <c r="I219" s="18"/>
    </row>
    <row r="220" spans="3:9" ht="13.5" customHeight="1">
      <c r="C220" s="18"/>
      <c r="D220" s="18"/>
      <c r="E220" s="18"/>
      <c r="F220" s="18"/>
      <c r="G220" s="18"/>
      <c r="H220" s="18"/>
      <c r="I220" s="18"/>
    </row>
    <row r="221" spans="3:9" ht="13.5" customHeight="1">
      <c r="C221" s="18"/>
      <c r="D221" s="18"/>
      <c r="E221" s="18"/>
      <c r="F221" s="18"/>
      <c r="G221" s="18"/>
      <c r="H221" s="18"/>
      <c r="I221" s="18"/>
    </row>
    <row r="222" spans="3:9" ht="13.5" customHeight="1">
      <c r="C222" s="18"/>
      <c r="D222" s="18"/>
      <c r="E222" s="18"/>
      <c r="F222" s="18"/>
      <c r="G222" s="18"/>
      <c r="H222" s="18"/>
      <c r="I222" s="18"/>
    </row>
    <row r="223" spans="3:9" ht="13.5" customHeight="1">
      <c r="C223" s="18"/>
      <c r="D223" s="18"/>
      <c r="E223" s="18"/>
      <c r="F223" s="18"/>
      <c r="G223" s="18"/>
      <c r="H223" s="18"/>
      <c r="I223" s="18"/>
    </row>
    <row r="224" spans="3:9" ht="13.5" customHeight="1">
      <c r="C224" s="18"/>
      <c r="D224" s="18"/>
      <c r="E224" s="18"/>
      <c r="F224" s="18"/>
      <c r="G224" s="18"/>
      <c r="H224" s="18"/>
      <c r="I224" s="18"/>
    </row>
    <row r="225" spans="3:9" ht="13.5" customHeight="1">
      <c r="C225" s="18"/>
      <c r="D225" s="18"/>
      <c r="E225" s="18"/>
      <c r="F225" s="18"/>
      <c r="G225" s="18"/>
      <c r="H225" s="18"/>
      <c r="I225" s="18"/>
    </row>
    <row r="226" spans="3:9" ht="13.5" customHeight="1">
      <c r="C226" s="18"/>
      <c r="D226" s="18"/>
      <c r="E226" s="18"/>
      <c r="F226" s="18"/>
      <c r="G226" s="18"/>
      <c r="H226" s="18"/>
      <c r="I226" s="18"/>
    </row>
    <row r="227" spans="3:9" ht="13.5" customHeight="1">
      <c r="C227" s="18"/>
      <c r="D227" s="18"/>
      <c r="E227" s="18"/>
      <c r="F227" s="18"/>
      <c r="G227" s="18"/>
      <c r="H227" s="18"/>
      <c r="I227" s="18"/>
    </row>
    <row r="228" spans="3:9" ht="13.5" customHeight="1">
      <c r="C228" s="18"/>
      <c r="D228" s="18"/>
      <c r="E228" s="18"/>
      <c r="F228" s="18"/>
      <c r="G228" s="18"/>
      <c r="H228" s="18"/>
      <c r="I228" s="18"/>
    </row>
    <row r="229" spans="3:9" ht="13.5" customHeight="1">
      <c r="C229" s="18"/>
      <c r="D229" s="18"/>
      <c r="E229" s="18"/>
      <c r="F229" s="18"/>
      <c r="G229" s="18"/>
      <c r="H229" s="18"/>
      <c r="I229" s="18"/>
    </row>
    <row r="230" spans="3:9" ht="13.5" customHeight="1">
      <c r="C230" s="18"/>
      <c r="D230" s="18"/>
      <c r="E230" s="18"/>
      <c r="F230" s="18"/>
      <c r="G230" s="18"/>
      <c r="H230" s="18"/>
      <c r="I230" s="18"/>
    </row>
    <row r="231" spans="3:9" ht="13.5" customHeight="1">
      <c r="C231" s="18"/>
      <c r="D231" s="18"/>
      <c r="E231" s="18"/>
      <c r="F231" s="18"/>
      <c r="G231" s="18"/>
      <c r="H231" s="18"/>
      <c r="I231" s="18"/>
    </row>
    <row r="232" spans="3:9" ht="13.5" customHeight="1">
      <c r="C232" s="18"/>
      <c r="D232" s="18"/>
      <c r="E232" s="18"/>
      <c r="F232" s="18"/>
      <c r="G232" s="18"/>
      <c r="H232" s="18"/>
      <c r="I232" s="18"/>
    </row>
    <row r="233" spans="3:9" ht="13.5" customHeight="1">
      <c r="C233" s="18"/>
      <c r="D233" s="18"/>
      <c r="E233" s="18"/>
      <c r="F233" s="18"/>
      <c r="G233" s="18"/>
      <c r="H233" s="18"/>
      <c r="I233" s="18"/>
    </row>
    <row r="234" spans="3:9" ht="13.5" customHeight="1">
      <c r="C234" s="18"/>
      <c r="D234" s="18"/>
      <c r="E234" s="18"/>
      <c r="F234" s="18"/>
      <c r="G234" s="18"/>
      <c r="H234" s="18"/>
      <c r="I234" s="18"/>
    </row>
    <row r="235" spans="3:9" ht="13.5" customHeight="1">
      <c r="C235" s="18"/>
      <c r="D235" s="18"/>
      <c r="E235" s="18"/>
      <c r="F235" s="18"/>
      <c r="G235" s="18"/>
      <c r="H235" s="18"/>
      <c r="I235" s="18"/>
    </row>
    <row r="236" spans="3:9" ht="13.5" customHeight="1">
      <c r="C236" s="18"/>
      <c r="D236" s="18"/>
      <c r="E236" s="18"/>
      <c r="F236" s="18"/>
      <c r="G236" s="18"/>
      <c r="H236" s="18"/>
      <c r="I236" s="18"/>
    </row>
    <row r="237" spans="3:9" ht="13.5" customHeight="1">
      <c r="C237" s="18"/>
      <c r="D237" s="18"/>
      <c r="E237" s="18"/>
      <c r="F237" s="18"/>
      <c r="G237" s="18"/>
      <c r="H237" s="18"/>
      <c r="I237" s="18"/>
    </row>
    <row r="238" spans="3:9" ht="13.5" customHeight="1">
      <c r="C238" s="18"/>
      <c r="D238" s="18"/>
      <c r="E238" s="18"/>
      <c r="F238" s="18"/>
      <c r="G238" s="18"/>
      <c r="H238" s="18"/>
      <c r="I238" s="18"/>
    </row>
    <row r="239" spans="3:9" ht="13.5" customHeight="1">
      <c r="C239" s="18"/>
      <c r="D239" s="18"/>
      <c r="E239" s="18"/>
      <c r="F239" s="18"/>
      <c r="G239" s="18"/>
      <c r="H239" s="18"/>
      <c r="I239" s="18"/>
    </row>
    <row r="240" spans="3:9" ht="12.75">
      <c r="C240" s="18"/>
      <c r="D240" s="18"/>
      <c r="E240" s="18"/>
      <c r="F240" s="18"/>
      <c r="G240" s="18"/>
      <c r="H240" s="18"/>
      <c r="I240" s="18"/>
    </row>
    <row r="241" spans="3:9" ht="12.75">
      <c r="C241" s="18"/>
      <c r="D241" s="18"/>
      <c r="E241" s="18"/>
      <c r="F241" s="18"/>
      <c r="G241" s="18"/>
      <c r="H241" s="18"/>
      <c r="I241" s="18"/>
    </row>
    <row r="242" spans="3:9" ht="12.75">
      <c r="C242" s="18"/>
      <c r="D242" s="18"/>
      <c r="E242" s="18"/>
      <c r="F242" s="18"/>
      <c r="G242" s="18"/>
      <c r="H242" s="18"/>
      <c r="I242" s="18"/>
    </row>
    <row r="243" spans="3:9" ht="12.75">
      <c r="C243" s="18"/>
      <c r="D243" s="18"/>
      <c r="E243" s="18"/>
      <c r="F243" s="18"/>
      <c r="G243" s="18"/>
      <c r="H243" s="18"/>
      <c r="I243" s="18"/>
    </row>
    <row r="244" spans="3:9" ht="12.75">
      <c r="C244" s="18"/>
      <c r="D244" s="18"/>
      <c r="E244" s="18"/>
      <c r="F244" s="18"/>
      <c r="G244" s="18"/>
      <c r="H244" s="18"/>
      <c r="I244" s="18"/>
    </row>
    <row r="245" spans="3:9" ht="12.75">
      <c r="C245" s="18"/>
      <c r="D245" s="18"/>
      <c r="E245" s="18"/>
      <c r="F245" s="18"/>
      <c r="G245" s="18"/>
      <c r="H245" s="18"/>
      <c r="I245" s="18"/>
    </row>
    <row r="246" spans="3:9" ht="12.75">
      <c r="C246" s="18"/>
      <c r="D246" s="18"/>
      <c r="E246" s="18"/>
      <c r="F246" s="18"/>
      <c r="G246" s="18"/>
      <c r="H246" s="18"/>
      <c r="I246" s="18"/>
    </row>
    <row r="247" spans="3:9" ht="12.75">
      <c r="C247" s="18"/>
      <c r="D247" s="18"/>
      <c r="E247" s="18"/>
      <c r="F247" s="18"/>
      <c r="G247" s="18"/>
      <c r="H247" s="18"/>
      <c r="I247" s="18"/>
    </row>
    <row r="248" spans="3:9" ht="12.75">
      <c r="C248" s="18"/>
      <c r="D248" s="18"/>
      <c r="E248" s="18"/>
      <c r="F248" s="18"/>
      <c r="G248" s="18"/>
      <c r="H248" s="18"/>
      <c r="I248" s="18"/>
    </row>
    <row r="249" spans="3:9" ht="12.75">
      <c r="C249" s="18"/>
      <c r="D249" s="18"/>
      <c r="E249" s="18"/>
      <c r="F249" s="18"/>
      <c r="G249" s="18"/>
      <c r="H249" s="18"/>
      <c r="I249" s="18"/>
    </row>
    <row r="250" spans="3:9" ht="12.75">
      <c r="C250" s="18"/>
      <c r="D250" s="18"/>
      <c r="E250" s="18"/>
      <c r="F250" s="18"/>
      <c r="G250" s="18"/>
      <c r="H250" s="18"/>
      <c r="I250" s="18"/>
    </row>
    <row r="251" spans="3:9" ht="12.75">
      <c r="C251" s="18"/>
      <c r="D251" s="18"/>
      <c r="E251" s="18"/>
      <c r="F251" s="18"/>
      <c r="G251" s="18"/>
      <c r="H251" s="18"/>
      <c r="I251" s="18"/>
    </row>
    <row r="252" spans="3:9" ht="12.75">
      <c r="C252" s="18"/>
      <c r="D252" s="18"/>
      <c r="E252" s="18"/>
      <c r="F252" s="18"/>
      <c r="G252" s="18"/>
      <c r="H252" s="18"/>
      <c r="I252" s="18"/>
    </row>
    <row r="253" spans="3:9" ht="12.75">
      <c r="C253" s="18"/>
      <c r="D253" s="18"/>
      <c r="E253" s="18"/>
      <c r="F253" s="18"/>
      <c r="G253" s="18"/>
      <c r="H253" s="18"/>
      <c r="I253" s="18"/>
    </row>
    <row r="254" spans="3:9" ht="12.75">
      <c r="C254" s="18"/>
      <c r="D254" s="18"/>
      <c r="E254" s="18"/>
      <c r="F254" s="18"/>
      <c r="G254" s="18"/>
      <c r="H254" s="18"/>
      <c r="I254" s="18"/>
    </row>
    <row r="255" spans="3:9" ht="12.75">
      <c r="C255" s="18"/>
      <c r="D255" s="18"/>
      <c r="E255" s="18"/>
      <c r="F255" s="18"/>
      <c r="G255" s="18"/>
      <c r="H255" s="18"/>
      <c r="I255" s="18"/>
    </row>
    <row r="256" spans="3:9" ht="12.75">
      <c r="C256" s="18"/>
      <c r="D256" s="18"/>
      <c r="E256" s="18"/>
      <c r="F256" s="18"/>
      <c r="G256" s="18"/>
      <c r="H256" s="18"/>
      <c r="I256" s="18"/>
    </row>
    <row r="257" spans="3:9" ht="12.75">
      <c r="C257" s="18"/>
      <c r="D257" s="18"/>
      <c r="E257" s="18"/>
      <c r="F257" s="18"/>
      <c r="G257" s="18"/>
      <c r="H257" s="18"/>
      <c r="I257" s="18"/>
    </row>
    <row r="258" spans="3:9" ht="12.75">
      <c r="C258" s="18"/>
      <c r="D258" s="18"/>
      <c r="E258" s="18"/>
      <c r="F258" s="18"/>
      <c r="G258" s="18"/>
      <c r="H258" s="18"/>
      <c r="I258" s="18"/>
    </row>
    <row r="259" spans="3:9" ht="12.75">
      <c r="C259" s="18"/>
      <c r="D259" s="18"/>
      <c r="E259" s="18"/>
      <c r="F259" s="18"/>
      <c r="G259" s="18"/>
      <c r="H259" s="18"/>
      <c r="I259" s="18"/>
    </row>
    <row r="260" spans="3:9" ht="12.75">
      <c r="C260" s="18"/>
      <c r="D260" s="18"/>
      <c r="E260" s="18"/>
      <c r="F260" s="18"/>
      <c r="G260" s="18"/>
      <c r="H260" s="18"/>
      <c r="I260" s="18"/>
    </row>
    <row r="261" spans="3:9" ht="12.75">
      <c r="C261" s="18"/>
      <c r="D261" s="18"/>
      <c r="E261" s="18"/>
      <c r="F261" s="18"/>
      <c r="G261" s="18"/>
      <c r="H261" s="18"/>
      <c r="I261" s="18"/>
    </row>
    <row r="262" spans="3:9" ht="12.75">
      <c r="C262" s="18"/>
      <c r="D262" s="18"/>
      <c r="E262" s="18"/>
      <c r="F262" s="18"/>
      <c r="G262" s="18"/>
      <c r="H262" s="18"/>
      <c r="I262" s="18"/>
    </row>
    <row r="263" spans="3:9" ht="12.75">
      <c r="C263" s="18"/>
      <c r="D263" s="18"/>
      <c r="E263" s="18"/>
      <c r="F263" s="18"/>
      <c r="G263" s="18"/>
      <c r="H263" s="18"/>
      <c r="I263" s="18"/>
    </row>
    <row r="264" spans="3:9" ht="12.75">
      <c r="C264" s="18"/>
      <c r="D264" s="18"/>
      <c r="E264" s="18"/>
      <c r="F264" s="18"/>
      <c r="G264" s="18"/>
      <c r="H264" s="18"/>
      <c r="I264" s="18"/>
    </row>
    <row r="265" spans="3:9" ht="12.75">
      <c r="C265" s="18"/>
      <c r="D265" s="18"/>
      <c r="E265" s="18"/>
      <c r="F265" s="18"/>
      <c r="G265" s="18"/>
      <c r="H265" s="18"/>
      <c r="I265" s="18"/>
    </row>
    <row r="266" spans="3:9" ht="12.75">
      <c r="C266" s="18"/>
      <c r="D266" s="18"/>
      <c r="E266" s="18"/>
      <c r="F266" s="18"/>
      <c r="G266" s="18"/>
      <c r="H266" s="18"/>
      <c r="I266" s="18"/>
    </row>
    <row r="267" spans="3:9" ht="12.75">
      <c r="C267" s="18"/>
      <c r="D267" s="18"/>
      <c r="E267" s="18"/>
      <c r="F267" s="18"/>
      <c r="G267" s="18"/>
      <c r="H267" s="18"/>
      <c r="I267" s="18"/>
    </row>
    <row r="268" spans="3:9" ht="12.75">
      <c r="C268" s="18"/>
      <c r="D268" s="18"/>
      <c r="E268" s="18"/>
      <c r="F268" s="18"/>
      <c r="G268" s="18"/>
      <c r="H268" s="18"/>
      <c r="I268" s="18"/>
    </row>
    <row r="269" spans="3:9" ht="12.75">
      <c r="C269" s="18"/>
      <c r="D269" s="18"/>
      <c r="E269" s="18"/>
      <c r="F269" s="18"/>
      <c r="G269" s="18"/>
      <c r="H269" s="18"/>
      <c r="I269" s="18"/>
    </row>
    <row r="270" spans="3:9" ht="12.75">
      <c r="C270" s="18"/>
      <c r="D270" s="18"/>
      <c r="E270" s="18"/>
      <c r="F270" s="18"/>
      <c r="G270" s="18"/>
      <c r="H270" s="18"/>
      <c r="I270" s="18"/>
    </row>
    <row r="271" spans="3:9" ht="12.75">
      <c r="C271" s="18"/>
      <c r="D271" s="18"/>
      <c r="E271" s="18"/>
      <c r="F271" s="18"/>
      <c r="G271" s="18"/>
      <c r="H271" s="18"/>
      <c r="I271" s="18"/>
    </row>
    <row r="272" spans="3:9" ht="12.75">
      <c r="C272" s="18"/>
      <c r="D272" s="18"/>
      <c r="E272" s="18"/>
      <c r="F272" s="18"/>
      <c r="G272" s="18"/>
      <c r="H272" s="18"/>
      <c r="I272" s="18"/>
    </row>
    <row r="273" spans="3:9" ht="12.75">
      <c r="C273" s="18"/>
      <c r="D273" s="18"/>
      <c r="E273" s="18"/>
      <c r="F273" s="18"/>
      <c r="G273" s="18"/>
      <c r="H273" s="18"/>
      <c r="I273" s="18"/>
    </row>
    <row r="274" spans="3:9" ht="12.75">
      <c r="C274" s="18"/>
      <c r="D274" s="18"/>
      <c r="E274" s="18"/>
      <c r="F274" s="18"/>
      <c r="G274" s="18"/>
      <c r="H274" s="18"/>
      <c r="I274" s="18"/>
    </row>
    <row r="275" spans="3:9" ht="12.75">
      <c r="C275" s="18"/>
      <c r="D275" s="18"/>
      <c r="E275" s="18"/>
      <c r="F275" s="18"/>
      <c r="G275" s="18"/>
      <c r="H275" s="18"/>
      <c r="I275" s="18"/>
    </row>
    <row r="276" spans="3:9" ht="12.75">
      <c r="C276" s="18"/>
      <c r="D276" s="18"/>
      <c r="E276" s="18"/>
      <c r="F276" s="18"/>
      <c r="G276" s="18"/>
      <c r="H276" s="18"/>
      <c r="I276" s="18"/>
    </row>
    <row r="277" spans="3:9" ht="12.75">
      <c r="C277" s="18"/>
      <c r="D277" s="18"/>
      <c r="E277" s="18"/>
      <c r="F277" s="18"/>
      <c r="G277" s="18"/>
      <c r="H277" s="18"/>
      <c r="I277" s="18"/>
    </row>
    <row r="278" spans="3:9" ht="12.75">
      <c r="C278" s="18"/>
      <c r="D278" s="18"/>
      <c r="E278" s="18"/>
      <c r="F278" s="18"/>
      <c r="G278" s="18"/>
      <c r="H278" s="18"/>
      <c r="I278" s="18"/>
    </row>
    <row r="279" spans="3:9" ht="12.75">
      <c r="C279" s="18"/>
      <c r="D279" s="18"/>
      <c r="E279" s="18"/>
      <c r="F279" s="18"/>
      <c r="G279" s="18"/>
      <c r="H279" s="18"/>
      <c r="I279" s="18"/>
    </row>
    <row r="280" spans="3:9" ht="12.75">
      <c r="C280" s="18"/>
      <c r="D280" s="18"/>
      <c r="E280" s="18"/>
      <c r="F280" s="18"/>
      <c r="G280" s="18"/>
      <c r="H280" s="18"/>
      <c r="I280" s="18"/>
    </row>
    <row r="281" spans="3:9" ht="12.75">
      <c r="C281" s="18"/>
      <c r="D281" s="18"/>
      <c r="E281" s="18"/>
      <c r="F281" s="18"/>
      <c r="G281" s="18"/>
      <c r="H281" s="18"/>
      <c r="I281" s="18"/>
    </row>
    <row r="282" spans="3:9" ht="12.75">
      <c r="C282" s="18"/>
      <c r="D282" s="18"/>
      <c r="E282" s="18"/>
      <c r="F282" s="18"/>
      <c r="G282" s="18"/>
      <c r="H282" s="18"/>
      <c r="I282" s="18"/>
    </row>
    <row r="283" spans="3:9" ht="12.75">
      <c r="C283" s="18"/>
      <c r="D283" s="18"/>
      <c r="E283" s="18"/>
      <c r="F283" s="18"/>
      <c r="G283" s="18"/>
      <c r="H283" s="18"/>
      <c r="I283" s="18"/>
    </row>
    <row r="284" spans="3:9" ht="12.75">
      <c r="C284" s="18"/>
      <c r="D284" s="18"/>
      <c r="E284" s="18"/>
      <c r="F284" s="18"/>
      <c r="G284" s="18"/>
      <c r="H284" s="18"/>
      <c r="I284" s="18"/>
    </row>
    <row r="285" spans="3:9" ht="12.75">
      <c r="C285" s="18"/>
      <c r="D285" s="18"/>
      <c r="E285" s="18"/>
      <c r="F285" s="18"/>
      <c r="G285" s="18"/>
      <c r="H285" s="18"/>
      <c r="I285" s="18"/>
    </row>
    <row r="286" spans="3:9" ht="12.75">
      <c r="C286" s="18"/>
      <c r="D286" s="18"/>
      <c r="E286" s="18"/>
      <c r="F286" s="18"/>
      <c r="G286" s="18"/>
      <c r="H286" s="18"/>
      <c r="I286" s="18"/>
    </row>
    <row r="287" spans="3:9" ht="12.75">
      <c r="C287" s="18"/>
      <c r="D287" s="18"/>
      <c r="E287" s="18"/>
      <c r="F287" s="18"/>
      <c r="G287" s="18"/>
      <c r="H287" s="18"/>
      <c r="I287" s="18"/>
    </row>
    <row r="288" spans="3:9" ht="12.75">
      <c r="C288" s="18"/>
      <c r="D288" s="18"/>
      <c r="E288" s="18"/>
      <c r="F288" s="18"/>
      <c r="G288" s="18"/>
      <c r="H288" s="18"/>
      <c r="I288" s="18"/>
    </row>
    <row r="289" spans="3:9" ht="12.75">
      <c r="C289" s="18"/>
      <c r="D289" s="18"/>
      <c r="E289" s="18"/>
      <c r="F289" s="18"/>
      <c r="G289" s="18"/>
      <c r="H289" s="18"/>
      <c r="I289" s="18"/>
    </row>
    <row r="290" spans="3:9" ht="12.75">
      <c r="C290" s="18"/>
      <c r="D290" s="18"/>
      <c r="E290" s="18"/>
      <c r="F290" s="18"/>
      <c r="G290" s="18"/>
      <c r="H290" s="18"/>
      <c r="I290" s="18"/>
    </row>
    <row r="291" spans="3:9" ht="12.75">
      <c r="C291" s="18"/>
      <c r="D291" s="18"/>
      <c r="E291" s="18"/>
      <c r="F291" s="18"/>
      <c r="G291" s="18"/>
      <c r="H291" s="18"/>
      <c r="I291" s="18"/>
    </row>
    <row r="292" spans="3:9" ht="12.75">
      <c r="C292" s="18"/>
      <c r="D292" s="18"/>
      <c r="E292" s="18"/>
      <c r="F292" s="18"/>
      <c r="G292" s="18"/>
      <c r="H292" s="18"/>
      <c r="I292" s="18"/>
    </row>
    <row r="293" spans="3:9" ht="12.75">
      <c r="C293" s="18"/>
      <c r="D293" s="18"/>
      <c r="E293" s="18"/>
      <c r="F293" s="18"/>
      <c r="G293" s="18"/>
      <c r="H293" s="18"/>
      <c r="I293" s="18"/>
    </row>
    <row r="294" spans="3:9" ht="12.75">
      <c r="C294" s="18"/>
      <c r="D294" s="18"/>
      <c r="E294" s="18"/>
      <c r="F294" s="18"/>
      <c r="G294" s="18"/>
      <c r="H294" s="18"/>
      <c r="I294" s="18"/>
    </row>
    <row r="295" spans="3:9" ht="12.75">
      <c r="C295" s="18"/>
      <c r="D295" s="18"/>
      <c r="E295" s="18"/>
      <c r="F295" s="18"/>
      <c r="G295" s="18"/>
      <c r="H295" s="18"/>
      <c r="I295" s="18"/>
    </row>
    <row r="296" spans="3:9" ht="12.75">
      <c r="C296" s="18"/>
      <c r="D296" s="18"/>
      <c r="E296" s="18"/>
      <c r="F296" s="18"/>
      <c r="G296" s="18"/>
      <c r="H296" s="18"/>
      <c r="I296" s="18"/>
    </row>
    <row r="297" spans="3:9" ht="12.75">
      <c r="C297" s="18"/>
      <c r="D297" s="18"/>
      <c r="E297" s="18"/>
      <c r="F297" s="18"/>
      <c r="G297" s="18"/>
      <c r="H297" s="18"/>
      <c r="I297" s="18"/>
    </row>
    <row r="298" spans="3:9" ht="12.75">
      <c r="C298" s="29"/>
      <c r="D298" s="29"/>
      <c r="E298" s="29"/>
      <c r="F298" s="29"/>
      <c r="G298" s="29"/>
      <c r="H298" s="29"/>
      <c r="I298" s="29"/>
    </row>
    <row r="299" spans="3:9" ht="12.75">
      <c r="C299" s="29"/>
      <c r="D299" s="29"/>
      <c r="E299" s="29"/>
      <c r="F299" s="29"/>
      <c r="G299" s="29"/>
      <c r="H299" s="29"/>
      <c r="I299" s="29"/>
    </row>
    <row r="300" spans="3:9" ht="12.75">
      <c r="C300" s="29"/>
      <c r="D300" s="29"/>
      <c r="E300" s="29"/>
      <c r="F300" s="29"/>
      <c r="G300" s="29"/>
      <c r="H300" s="29"/>
      <c r="I300" s="29"/>
    </row>
    <row r="301" spans="3:9" ht="12.75">
      <c r="C301" s="29"/>
      <c r="D301" s="29"/>
      <c r="E301" s="29"/>
      <c r="F301" s="29"/>
      <c r="G301" s="29"/>
      <c r="H301" s="29"/>
      <c r="I301" s="29"/>
    </row>
    <row r="302" spans="3:9" ht="12.75">
      <c r="C302" s="29"/>
      <c r="D302" s="29"/>
      <c r="E302" s="29"/>
      <c r="F302" s="29"/>
      <c r="G302" s="29"/>
      <c r="H302" s="29"/>
      <c r="I302" s="29"/>
    </row>
    <row r="303" spans="3:9" ht="12.75">
      <c r="C303" s="29"/>
      <c r="D303" s="29"/>
      <c r="E303" s="29"/>
      <c r="F303" s="29"/>
      <c r="G303" s="29"/>
      <c r="H303" s="29"/>
      <c r="I303" s="29"/>
    </row>
    <row r="304" spans="3:9" ht="12.75">
      <c r="C304" s="29"/>
      <c r="D304" s="29"/>
      <c r="E304" s="29"/>
      <c r="F304" s="29"/>
      <c r="G304" s="29"/>
      <c r="H304" s="29"/>
      <c r="I304" s="29"/>
    </row>
    <row r="305" spans="3:9" ht="12.75">
      <c r="C305" s="29"/>
      <c r="D305" s="29"/>
      <c r="E305" s="29"/>
      <c r="F305" s="29"/>
      <c r="G305" s="29"/>
      <c r="H305" s="29"/>
      <c r="I305" s="29"/>
    </row>
    <row r="306" spans="3:9" ht="12.75">
      <c r="C306" s="29"/>
      <c r="D306" s="29"/>
      <c r="E306" s="29"/>
      <c r="F306" s="29"/>
      <c r="G306" s="29"/>
      <c r="H306" s="29"/>
      <c r="I306" s="29"/>
    </row>
    <row r="307" spans="3:9" ht="12.75">
      <c r="C307" s="29"/>
      <c r="D307" s="29"/>
      <c r="E307" s="29"/>
      <c r="F307" s="29"/>
      <c r="G307" s="29"/>
      <c r="H307" s="29"/>
      <c r="I307" s="29"/>
    </row>
    <row r="308" spans="3:9" ht="12.75">
      <c r="C308" s="29"/>
      <c r="D308" s="29"/>
      <c r="E308" s="29"/>
      <c r="F308" s="29"/>
      <c r="G308" s="29"/>
      <c r="H308" s="29"/>
      <c r="I308" s="29"/>
    </row>
    <row r="309" spans="3:9" ht="12.75">
      <c r="C309" s="29"/>
      <c r="D309" s="29"/>
      <c r="E309" s="29"/>
      <c r="F309" s="29"/>
      <c r="G309" s="29"/>
      <c r="H309" s="29"/>
      <c r="I309" s="29"/>
    </row>
    <row r="310" spans="3:9" ht="12.75">
      <c r="C310" s="29"/>
      <c r="D310" s="29"/>
      <c r="E310" s="29"/>
      <c r="F310" s="29"/>
      <c r="G310" s="29"/>
      <c r="H310" s="29"/>
      <c r="I310" s="29"/>
    </row>
    <row r="311" spans="3:9" ht="12.75">
      <c r="C311" s="29"/>
      <c r="D311" s="29"/>
      <c r="E311" s="29"/>
      <c r="F311" s="29"/>
      <c r="G311" s="29"/>
      <c r="H311" s="29"/>
      <c r="I311" s="29"/>
    </row>
    <row r="312" spans="3:9" ht="12.75">
      <c r="C312" s="29"/>
      <c r="D312" s="29"/>
      <c r="E312" s="29"/>
      <c r="F312" s="29"/>
      <c r="G312" s="29"/>
      <c r="H312" s="29"/>
      <c r="I312" s="29"/>
    </row>
    <row r="313" spans="3:9" ht="12.75">
      <c r="C313" s="29"/>
      <c r="D313" s="29"/>
      <c r="E313" s="29"/>
      <c r="F313" s="29"/>
      <c r="G313" s="29"/>
      <c r="H313" s="29"/>
      <c r="I313" s="29"/>
    </row>
    <row r="314" spans="3:9" ht="12.75">
      <c r="C314" s="29"/>
      <c r="D314" s="29"/>
      <c r="E314" s="29"/>
      <c r="F314" s="29"/>
      <c r="G314" s="29"/>
      <c r="H314" s="29"/>
      <c r="I314" s="29"/>
    </row>
    <row r="315" spans="3:9" ht="12.75">
      <c r="C315" s="29"/>
      <c r="D315" s="29"/>
      <c r="E315" s="29"/>
      <c r="F315" s="29"/>
      <c r="G315" s="29"/>
      <c r="H315" s="29"/>
      <c r="I315" s="29"/>
    </row>
    <row r="316" spans="3:9" ht="12.75">
      <c r="C316" s="29"/>
      <c r="D316" s="29"/>
      <c r="E316" s="29"/>
      <c r="F316" s="29"/>
      <c r="G316" s="29"/>
      <c r="H316" s="29"/>
      <c r="I316" s="29"/>
    </row>
    <row r="317" spans="3:9" ht="12.75">
      <c r="C317" s="29"/>
      <c r="D317" s="29"/>
      <c r="E317" s="29"/>
      <c r="F317" s="29"/>
      <c r="G317" s="29"/>
      <c r="H317" s="29"/>
      <c r="I317" s="29"/>
    </row>
    <row r="318" spans="3:9" ht="12.75">
      <c r="C318" s="29"/>
      <c r="D318" s="29"/>
      <c r="E318" s="29"/>
      <c r="F318" s="29"/>
      <c r="G318" s="29"/>
      <c r="H318" s="29"/>
      <c r="I318" s="29"/>
    </row>
    <row r="319" spans="3:9" ht="12.75">
      <c r="C319" s="29"/>
      <c r="D319" s="29"/>
      <c r="E319" s="29"/>
      <c r="F319" s="29"/>
      <c r="G319" s="29"/>
      <c r="H319" s="29"/>
      <c r="I319" s="29"/>
    </row>
    <row r="320" spans="3:9" ht="12.75">
      <c r="C320" s="29"/>
      <c r="D320" s="29"/>
      <c r="E320" s="29"/>
      <c r="F320" s="29"/>
      <c r="G320" s="29"/>
      <c r="H320" s="29"/>
      <c r="I320" s="29"/>
    </row>
    <row r="321" spans="3:9" ht="12.75">
      <c r="C321" s="29"/>
      <c r="D321" s="29"/>
      <c r="E321" s="29"/>
      <c r="F321" s="29"/>
      <c r="G321" s="29"/>
      <c r="H321" s="29"/>
      <c r="I321" s="29"/>
    </row>
    <row r="322" spans="3:9" ht="12.75">
      <c r="C322" s="29"/>
      <c r="D322" s="29"/>
      <c r="E322" s="29"/>
      <c r="F322" s="29"/>
      <c r="G322" s="29"/>
      <c r="H322" s="29"/>
      <c r="I322" s="29"/>
    </row>
    <row r="323" spans="3:9" ht="12.75">
      <c r="C323" s="29"/>
      <c r="D323" s="29"/>
      <c r="E323" s="29"/>
      <c r="F323" s="29"/>
      <c r="G323" s="29"/>
      <c r="H323" s="29"/>
      <c r="I323" s="29"/>
    </row>
    <row r="324" spans="3:9" ht="12.75">
      <c r="C324" s="29"/>
      <c r="D324" s="29"/>
      <c r="E324" s="29"/>
      <c r="F324" s="29"/>
      <c r="G324" s="29"/>
      <c r="H324" s="29"/>
      <c r="I324" s="29"/>
    </row>
    <row r="325" spans="3:9" ht="12.75">
      <c r="C325" s="29"/>
      <c r="D325" s="29"/>
      <c r="E325" s="29"/>
      <c r="F325" s="29"/>
      <c r="G325" s="29"/>
      <c r="H325" s="29"/>
      <c r="I325" s="29"/>
    </row>
    <row r="326" spans="3:9" ht="12.75">
      <c r="C326" s="29"/>
      <c r="D326" s="29"/>
      <c r="E326" s="29"/>
      <c r="F326" s="29"/>
      <c r="G326" s="29"/>
      <c r="H326" s="29"/>
      <c r="I326" s="29"/>
    </row>
    <row r="327" spans="3:9" ht="12.75">
      <c r="C327" s="29"/>
      <c r="D327" s="29"/>
      <c r="E327" s="29"/>
      <c r="F327" s="29"/>
      <c r="G327" s="29"/>
      <c r="H327" s="29"/>
      <c r="I327" s="29"/>
    </row>
    <row r="328" spans="3:9" ht="12.75">
      <c r="C328" s="29"/>
      <c r="D328" s="29"/>
      <c r="E328" s="29"/>
      <c r="F328" s="29"/>
      <c r="G328" s="29"/>
      <c r="H328" s="29"/>
      <c r="I328" s="29"/>
    </row>
    <row r="329" spans="3:9" ht="12.75">
      <c r="C329" s="29"/>
      <c r="D329" s="29"/>
      <c r="E329" s="29"/>
      <c r="F329" s="29"/>
      <c r="G329" s="29"/>
      <c r="H329" s="29"/>
      <c r="I329" s="29"/>
    </row>
    <row r="330" spans="3:9" ht="12.75">
      <c r="C330" s="29"/>
      <c r="D330" s="29"/>
      <c r="E330" s="29"/>
      <c r="F330" s="29"/>
      <c r="G330" s="29"/>
      <c r="H330" s="29"/>
      <c r="I330" s="29"/>
    </row>
    <row r="331" spans="3:9" ht="12.75">
      <c r="C331" s="29"/>
      <c r="D331" s="29"/>
      <c r="E331" s="29"/>
      <c r="F331" s="29"/>
      <c r="G331" s="29"/>
      <c r="H331" s="29"/>
      <c r="I331" s="29"/>
    </row>
    <row r="332" spans="3:9" ht="12.75">
      <c r="C332" s="29"/>
      <c r="D332" s="29"/>
      <c r="E332" s="29"/>
      <c r="F332" s="29"/>
      <c r="G332" s="29"/>
      <c r="H332" s="29"/>
      <c r="I332" s="29"/>
    </row>
    <row r="333" spans="3:9" ht="12.75">
      <c r="C333" s="29"/>
      <c r="D333" s="29"/>
      <c r="E333" s="29"/>
      <c r="F333" s="29"/>
      <c r="G333" s="29"/>
      <c r="H333" s="29"/>
      <c r="I333" s="29"/>
    </row>
    <row r="334" spans="3:9" ht="12.75">
      <c r="C334" s="29"/>
      <c r="D334" s="29"/>
      <c r="E334" s="29"/>
      <c r="F334" s="29"/>
      <c r="G334" s="29"/>
      <c r="H334" s="29"/>
      <c r="I334" s="29"/>
    </row>
    <row r="335" spans="3:9" ht="12.75">
      <c r="C335" s="29"/>
      <c r="D335" s="29"/>
      <c r="E335" s="29"/>
      <c r="F335" s="29"/>
      <c r="G335" s="29"/>
      <c r="H335" s="29"/>
      <c r="I335" s="29"/>
    </row>
    <row r="336" spans="3:9" ht="12.75">
      <c r="C336" s="29"/>
      <c r="D336" s="29"/>
      <c r="E336" s="29"/>
      <c r="F336" s="29"/>
      <c r="G336" s="29"/>
      <c r="H336" s="29"/>
      <c r="I336" s="29"/>
    </row>
    <row r="337" spans="3:9" ht="12.75">
      <c r="C337" s="29"/>
      <c r="D337" s="29"/>
      <c r="E337" s="29"/>
      <c r="F337" s="29"/>
      <c r="G337" s="29"/>
      <c r="H337" s="29"/>
      <c r="I337" s="29"/>
    </row>
    <row r="338" spans="3:9" ht="12.75">
      <c r="C338" s="29"/>
      <c r="D338" s="29"/>
      <c r="E338" s="29"/>
      <c r="F338" s="29"/>
      <c r="G338" s="29"/>
      <c r="H338" s="29"/>
      <c r="I338" s="29"/>
    </row>
    <row r="339" spans="3:9" ht="12.75">
      <c r="C339" s="29"/>
      <c r="D339" s="29"/>
      <c r="E339" s="29"/>
      <c r="F339" s="29"/>
      <c r="G339" s="29"/>
      <c r="H339" s="29"/>
      <c r="I339" s="29"/>
    </row>
    <row r="340" spans="3:9" ht="12.75">
      <c r="C340" s="29"/>
      <c r="D340" s="29"/>
      <c r="E340" s="29"/>
      <c r="F340" s="29"/>
      <c r="G340" s="29"/>
      <c r="H340" s="29"/>
      <c r="I340" s="29"/>
    </row>
    <row r="341" spans="3:9" ht="12.75">
      <c r="C341" s="29"/>
      <c r="D341" s="29"/>
      <c r="E341" s="29"/>
      <c r="F341" s="29"/>
      <c r="G341" s="29"/>
      <c r="H341" s="29"/>
      <c r="I341" s="29"/>
    </row>
    <row r="342" spans="3:9" ht="12.75">
      <c r="C342" s="29"/>
      <c r="D342" s="29"/>
      <c r="E342" s="29"/>
      <c r="F342" s="29"/>
      <c r="G342" s="29"/>
      <c r="H342" s="29"/>
      <c r="I342" s="29"/>
    </row>
    <row r="343" spans="3:9" ht="12.75">
      <c r="C343" s="29"/>
      <c r="D343" s="29"/>
      <c r="E343" s="29"/>
      <c r="F343" s="29"/>
      <c r="G343" s="29"/>
      <c r="H343" s="29"/>
      <c r="I343" s="29"/>
    </row>
    <row r="344" spans="3:9" ht="12.75">
      <c r="C344" s="29"/>
      <c r="D344" s="29"/>
      <c r="E344" s="29"/>
      <c r="F344" s="29"/>
      <c r="G344" s="29"/>
      <c r="H344" s="29"/>
      <c r="I344" s="29"/>
    </row>
    <row r="345" spans="3:9" ht="12.75">
      <c r="C345" s="29"/>
      <c r="D345" s="29"/>
      <c r="E345" s="29"/>
      <c r="F345" s="29"/>
      <c r="G345" s="29"/>
      <c r="H345" s="29"/>
      <c r="I345" s="29"/>
    </row>
    <row r="346" spans="3:9" ht="12.75">
      <c r="C346" s="29"/>
      <c r="D346" s="29"/>
      <c r="E346" s="29"/>
      <c r="F346" s="29"/>
      <c r="G346" s="29"/>
      <c r="H346" s="29"/>
      <c r="I346" s="29"/>
    </row>
    <row r="347" spans="3:9" ht="12.75">
      <c r="C347" s="29"/>
      <c r="D347" s="29"/>
      <c r="E347" s="29"/>
      <c r="F347" s="29"/>
      <c r="G347" s="29"/>
      <c r="H347" s="29"/>
      <c r="I347" s="29"/>
    </row>
    <row r="348" spans="3:9" ht="12.75">
      <c r="C348" s="29"/>
      <c r="D348" s="29"/>
      <c r="E348" s="29"/>
      <c r="F348" s="29"/>
      <c r="G348" s="29"/>
      <c r="H348" s="29"/>
      <c r="I348" s="29"/>
    </row>
    <row r="349" spans="3:9" ht="12.75">
      <c r="C349" s="29"/>
      <c r="D349" s="29"/>
      <c r="E349" s="29"/>
      <c r="F349" s="29"/>
      <c r="G349" s="29"/>
      <c r="H349" s="29"/>
      <c r="I349" s="29"/>
    </row>
    <row r="350" spans="3:9" ht="12.75">
      <c r="C350" s="29"/>
      <c r="D350" s="29"/>
      <c r="E350" s="29"/>
      <c r="F350" s="29"/>
      <c r="G350" s="29"/>
      <c r="H350" s="29"/>
      <c r="I350" s="29"/>
    </row>
    <row r="351" spans="3:9" ht="12.75">
      <c r="C351" s="29"/>
      <c r="D351" s="29"/>
      <c r="E351" s="29"/>
      <c r="F351" s="29"/>
      <c r="G351" s="29"/>
      <c r="H351" s="29"/>
      <c r="I351" s="29"/>
    </row>
    <row r="352" spans="3:9" ht="12.75">
      <c r="C352" s="29"/>
      <c r="D352" s="29"/>
      <c r="E352" s="29"/>
      <c r="F352" s="29"/>
      <c r="G352" s="29"/>
      <c r="H352" s="29"/>
      <c r="I352" s="29"/>
    </row>
    <row r="353" spans="3:9" ht="12.75">
      <c r="C353" s="29"/>
      <c r="D353" s="29"/>
      <c r="E353" s="29"/>
      <c r="F353" s="29"/>
      <c r="G353" s="29"/>
      <c r="H353" s="29"/>
      <c r="I353" s="29"/>
    </row>
    <row r="354" spans="3:9" ht="12.75">
      <c r="C354" s="29"/>
      <c r="D354" s="29"/>
      <c r="E354" s="29"/>
      <c r="F354" s="29"/>
      <c r="G354" s="29"/>
      <c r="H354" s="29"/>
      <c r="I354" s="29"/>
    </row>
    <row r="355" spans="3:9" ht="12.75">
      <c r="C355" s="29"/>
      <c r="D355" s="29"/>
      <c r="E355" s="29"/>
      <c r="F355" s="29"/>
      <c r="G355" s="29"/>
      <c r="H355" s="29"/>
      <c r="I355" s="29"/>
    </row>
    <row r="356" spans="3:9" ht="12.75">
      <c r="C356" s="29"/>
      <c r="D356" s="29"/>
      <c r="E356" s="29"/>
      <c r="F356" s="29"/>
      <c r="G356" s="29"/>
      <c r="H356" s="29"/>
      <c r="I356" s="29"/>
    </row>
    <row r="357" spans="3:9" ht="12.75">
      <c r="C357" s="29"/>
      <c r="D357" s="29"/>
      <c r="E357" s="29"/>
      <c r="F357" s="29"/>
      <c r="G357" s="29"/>
      <c r="H357" s="29"/>
      <c r="I357" s="29"/>
    </row>
    <row r="358" spans="3:9" ht="12.75">
      <c r="C358" s="29"/>
      <c r="D358" s="29"/>
      <c r="E358" s="29"/>
      <c r="F358" s="29"/>
      <c r="G358" s="29"/>
      <c r="H358" s="29"/>
      <c r="I358" s="29"/>
    </row>
    <row r="359" spans="3:9" ht="12.75">
      <c r="C359" s="29"/>
      <c r="D359" s="29"/>
      <c r="E359" s="29"/>
      <c r="F359" s="29"/>
      <c r="G359" s="29"/>
      <c r="H359" s="29"/>
      <c r="I359" s="29"/>
    </row>
    <row r="360" spans="3:9" ht="12.75">
      <c r="C360" s="29"/>
      <c r="D360" s="29"/>
      <c r="E360" s="29"/>
      <c r="F360" s="29"/>
      <c r="G360" s="29"/>
      <c r="H360" s="29"/>
      <c r="I360" s="29"/>
    </row>
    <row r="361" spans="3:9" ht="12.75">
      <c r="C361" s="29"/>
      <c r="D361" s="29"/>
      <c r="E361" s="29"/>
      <c r="F361" s="29"/>
      <c r="G361" s="29"/>
      <c r="H361" s="29"/>
      <c r="I361" s="29"/>
    </row>
    <row r="362" spans="3:9" ht="12.75">
      <c r="C362" s="29"/>
      <c r="D362" s="29"/>
      <c r="E362" s="29"/>
      <c r="F362" s="29"/>
      <c r="G362" s="29"/>
      <c r="H362" s="29"/>
      <c r="I362" s="29"/>
    </row>
    <row r="363" spans="3:9" ht="12.75">
      <c r="C363" s="29"/>
      <c r="D363" s="29"/>
      <c r="E363" s="29"/>
      <c r="F363" s="29"/>
      <c r="G363" s="29"/>
      <c r="H363" s="29"/>
      <c r="I363" s="29"/>
    </row>
    <row r="364" spans="3:9" ht="12.75">
      <c r="C364" s="29"/>
      <c r="D364" s="29"/>
      <c r="E364" s="29"/>
      <c r="F364" s="29"/>
      <c r="G364" s="29"/>
      <c r="H364" s="29"/>
      <c r="I364" s="29"/>
    </row>
    <row r="365" spans="3:9" ht="12.75">
      <c r="C365" s="29"/>
      <c r="D365" s="29"/>
      <c r="E365" s="29"/>
      <c r="F365" s="29"/>
      <c r="G365" s="29"/>
      <c r="H365" s="29"/>
      <c r="I365" s="29"/>
    </row>
    <row r="366" spans="3:9" ht="12.75">
      <c r="C366" s="29"/>
      <c r="D366" s="29"/>
      <c r="E366" s="29"/>
      <c r="F366" s="29"/>
      <c r="G366" s="29"/>
      <c r="H366" s="29"/>
      <c r="I366" s="29"/>
    </row>
    <row r="367" spans="3:9" ht="12.75">
      <c r="C367" s="29"/>
      <c r="D367" s="29"/>
      <c r="E367" s="29"/>
      <c r="F367" s="29"/>
      <c r="G367" s="29"/>
      <c r="H367" s="29"/>
      <c r="I367" s="29"/>
    </row>
    <row r="368" spans="3:9" ht="12.75">
      <c r="C368" s="29"/>
      <c r="D368" s="29"/>
      <c r="E368" s="29"/>
      <c r="F368" s="29"/>
      <c r="G368" s="29"/>
      <c r="H368" s="29"/>
      <c r="I368" s="29"/>
    </row>
    <row r="369" spans="3:9" ht="12.75">
      <c r="C369" s="29"/>
      <c r="D369" s="29"/>
      <c r="E369" s="29"/>
      <c r="F369" s="29"/>
      <c r="G369" s="29"/>
      <c r="H369" s="29"/>
      <c r="I369" s="29"/>
    </row>
    <row r="370" spans="3:9" ht="12.75">
      <c r="C370" s="29"/>
      <c r="D370" s="29"/>
      <c r="E370" s="29"/>
      <c r="F370" s="29"/>
      <c r="G370" s="29"/>
      <c r="H370" s="29"/>
      <c r="I370" s="29"/>
    </row>
    <row r="371" spans="3:9" ht="12.75">
      <c r="C371" s="29"/>
      <c r="D371" s="29"/>
      <c r="E371" s="29"/>
      <c r="F371" s="29"/>
      <c r="G371" s="29"/>
      <c r="H371" s="29"/>
      <c r="I371" s="29"/>
    </row>
    <row r="372" spans="3:9" ht="12.75">
      <c r="C372" s="29"/>
      <c r="D372" s="29"/>
      <c r="E372" s="29"/>
      <c r="F372" s="29"/>
      <c r="G372" s="29"/>
      <c r="H372" s="29"/>
      <c r="I372" s="29"/>
    </row>
    <row r="373" spans="3:9" ht="12.75">
      <c r="C373" s="29"/>
      <c r="D373" s="29"/>
      <c r="E373" s="29"/>
      <c r="F373" s="29"/>
      <c r="G373" s="29"/>
      <c r="H373" s="29"/>
      <c r="I373" s="29"/>
    </row>
    <row r="374" spans="3:9" ht="12.75">
      <c r="C374" s="29"/>
      <c r="D374" s="29"/>
      <c r="E374" s="29"/>
      <c r="F374" s="29"/>
      <c r="G374" s="29"/>
      <c r="H374" s="29"/>
      <c r="I374" s="29"/>
    </row>
    <row r="375" spans="3:9" ht="12.75">
      <c r="C375" s="29"/>
      <c r="D375" s="29"/>
      <c r="E375" s="29"/>
      <c r="F375" s="29"/>
      <c r="G375" s="29"/>
      <c r="H375" s="29"/>
      <c r="I375" s="29"/>
    </row>
    <row r="376" spans="3:9" ht="12.75">
      <c r="C376" s="29"/>
      <c r="D376" s="29"/>
      <c r="E376" s="29"/>
      <c r="F376" s="29"/>
      <c r="G376" s="29"/>
      <c r="H376" s="29"/>
      <c r="I376" s="29"/>
    </row>
    <row r="377" spans="3:9" ht="12.75">
      <c r="C377" s="29"/>
      <c r="D377" s="29"/>
      <c r="E377" s="29"/>
      <c r="F377" s="29"/>
      <c r="G377" s="29"/>
      <c r="H377" s="29"/>
      <c r="I377" s="29"/>
    </row>
    <row r="378" spans="3:9" ht="12.75">
      <c r="C378" s="29"/>
      <c r="D378" s="29"/>
      <c r="E378" s="29"/>
      <c r="F378" s="29"/>
      <c r="G378" s="29"/>
      <c r="H378" s="29"/>
      <c r="I378" s="29"/>
    </row>
    <row r="379" spans="3:9" ht="12.75">
      <c r="C379" s="29"/>
      <c r="D379" s="29"/>
      <c r="E379" s="29"/>
      <c r="F379" s="29"/>
      <c r="G379" s="29"/>
      <c r="H379" s="29"/>
      <c r="I379" s="29"/>
    </row>
    <row r="380" spans="3:9" ht="12.75">
      <c r="C380" s="29"/>
      <c r="D380" s="29"/>
      <c r="E380" s="29"/>
      <c r="F380" s="29"/>
      <c r="G380" s="29"/>
      <c r="H380" s="29"/>
      <c r="I380" s="29"/>
    </row>
    <row r="381" spans="3:9" ht="12.75">
      <c r="C381" s="29"/>
      <c r="D381" s="29"/>
      <c r="E381" s="29"/>
      <c r="F381" s="29"/>
      <c r="G381" s="29"/>
      <c r="H381" s="29"/>
      <c r="I381" s="29"/>
    </row>
    <row r="382" spans="3:9" ht="12.75">
      <c r="C382" s="29"/>
      <c r="D382" s="29"/>
      <c r="E382" s="29"/>
      <c r="F382" s="29"/>
      <c r="G382" s="29"/>
      <c r="H382" s="29"/>
      <c r="I382" s="29"/>
    </row>
    <row r="383" spans="3:9" ht="12.75">
      <c r="C383" s="29"/>
      <c r="D383" s="29"/>
      <c r="E383" s="29"/>
      <c r="F383" s="29"/>
      <c r="G383" s="29"/>
      <c r="H383" s="29"/>
      <c r="I383" s="29"/>
    </row>
    <row r="384" spans="3:9" ht="12.75">
      <c r="C384" s="29"/>
      <c r="D384" s="29"/>
      <c r="E384" s="29"/>
      <c r="F384" s="29"/>
      <c r="G384" s="29"/>
      <c r="H384" s="29"/>
      <c r="I384" s="29"/>
    </row>
    <row r="385" spans="3:9" ht="12.75">
      <c r="C385" s="29"/>
      <c r="D385" s="29"/>
      <c r="E385" s="29"/>
      <c r="F385" s="29"/>
      <c r="G385" s="29"/>
      <c r="H385" s="29"/>
      <c r="I385" s="29"/>
    </row>
    <row r="386" spans="3:9" ht="12.75">
      <c r="C386" s="29"/>
      <c r="D386" s="29"/>
      <c r="E386" s="29"/>
      <c r="F386" s="29"/>
      <c r="G386" s="29"/>
      <c r="H386" s="29"/>
      <c r="I386" s="29"/>
    </row>
    <row r="387" spans="3:9" ht="12.75">
      <c r="C387" s="29"/>
      <c r="D387" s="29"/>
      <c r="E387" s="29"/>
      <c r="F387" s="29"/>
      <c r="G387" s="29"/>
      <c r="H387" s="29"/>
      <c r="I387" s="29"/>
    </row>
    <row r="388" spans="3:9" ht="12.75">
      <c r="C388" s="29"/>
      <c r="D388" s="29"/>
      <c r="E388" s="29"/>
      <c r="F388" s="29"/>
      <c r="G388" s="29"/>
      <c r="H388" s="29"/>
      <c r="I388" s="29"/>
    </row>
    <row r="389" spans="3:9" ht="12.75">
      <c r="C389" s="29"/>
      <c r="D389" s="29"/>
      <c r="E389" s="29"/>
      <c r="F389" s="29"/>
      <c r="G389" s="29"/>
      <c r="H389" s="29"/>
      <c r="I389" s="29"/>
    </row>
    <row r="390" spans="3:9" ht="12.75">
      <c r="C390" s="29"/>
      <c r="D390" s="29"/>
      <c r="E390" s="29"/>
      <c r="F390" s="29"/>
      <c r="G390" s="29"/>
      <c r="H390" s="29"/>
      <c r="I390" s="29"/>
    </row>
    <row r="391" spans="3:9" ht="12.75">
      <c r="C391" s="29"/>
      <c r="D391" s="29"/>
      <c r="E391" s="29"/>
      <c r="F391" s="29"/>
      <c r="G391" s="29"/>
      <c r="H391" s="29"/>
      <c r="I391" s="29"/>
    </row>
    <row r="392" spans="3:9" ht="12.75">
      <c r="C392" s="29"/>
      <c r="D392" s="29"/>
      <c r="E392" s="29"/>
      <c r="F392" s="29"/>
      <c r="G392" s="29"/>
      <c r="H392" s="29"/>
      <c r="I392" s="29"/>
    </row>
    <row r="393" spans="3:9" ht="12.75">
      <c r="C393" s="29"/>
      <c r="D393" s="29"/>
      <c r="E393" s="29"/>
      <c r="F393" s="29"/>
      <c r="G393" s="29"/>
      <c r="H393" s="29"/>
      <c r="I393" s="29"/>
    </row>
    <row r="394" spans="3:9" ht="12.75">
      <c r="C394" s="29"/>
      <c r="D394" s="29"/>
      <c r="E394" s="29"/>
      <c r="F394" s="29"/>
      <c r="G394" s="29"/>
      <c r="H394" s="29"/>
      <c r="I394" s="29"/>
    </row>
    <row r="395" spans="3:9" ht="12.75">
      <c r="C395" s="29"/>
      <c r="D395" s="29"/>
      <c r="E395" s="29"/>
      <c r="F395" s="29"/>
      <c r="G395" s="29"/>
      <c r="H395" s="29"/>
      <c r="I395" s="29"/>
    </row>
  </sheetData>
  <mergeCells count="13">
    <mergeCell ref="K87:N87"/>
    <mergeCell ref="C32:D32"/>
    <mergeCell ref="C33:D33"/>
    <mergeCell ref="C34:D34"/>
    <mergeCell ref="E87:H87"/>
    <mergeCell ref="C8:D8"/>
    <mergeCell ref="C9:D9"/>
    <mergeCell ref="C18:D18"/>
    <mergeCell ref="C20:D20"/>
    <mergeCell ref="E4:H4"/>
    <mergeCell ref="K4:N4"/>
    <mergeCell ref="C6:D6"/>
    <mergeCell ref="C7:D7"/>
  </mergeCells>
  <printOptions/>
  <pageMargins left="0.36" right="0.38" top="0.42" bottom="0.52" header="0.23" footer="0.28"/>
  <pageSetup horizontalDpi="600" verticalDpi="600" orientation="landscape" scale="80" r:id="rId1"/>
  <rowBreaks count="3" manualBreakCount="3">
    <brk id="35" max="255" man="1"/>
    <brk id="83" max="255" man="1"/>
    <brk id="1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workbookViewId="0" topLeftCell="A1">
      <selection activeCell="C25" sqref="C25"/>
    </sheetView>
  </sheetViews>
  <sheetFormatPr defaultColWidth="9.140625" defaultRowHeight="12.75"/>
  <sheetData>
    <row r="18" spans="3:15" ht="12.75" customHeight="1">
      <c r="C18" s="375" t="str">
        <f>+'Historical Analysis'!C1</f>
        <v>Starwood Hotels &amp; Resorts Worldwide Inc. (HOT)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</row>
    <row r="19" spans="3:15" ht="12.75" customHeight="1"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</row>
    <row r="20" spans="3:15" ht="38.25" customHeight="1"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</row>
    <row r="27" spans="6:12" ht="15.75">
      <c r="F27" s="377" t="s">
        <v>274</v>
      </c>
      <c r="G27" s="378"/>
      <c r="H27" s="378"/>
      <c r="I27" s="378"/>
      <c r="J27" s="378"/>
      <c r="K27" s="378"/>
      <c r="L27" s="378"/>
    </row>
  </sheetData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6"/>
  <sheetViews>
    <sheetView workbookViewId="0" topLeftCell="A1">
      <selection activeCell="F5" sqref="F5"/>
    </sheetView>
  </sheetViews>
  <sheetFormatPr defaultColWidth="9.140625" defaultRowHeight="12.75"/>
  <cols>
    <col min="1" max="1" width="36.140625" style="0" customWidth="1"/>
    <col min="2" max="2" width="12.421875" style="0" customWidth="1"/>
    <col min="3" max="5" width="12.57421875" style="0" customWidth="1"/>
    <col min="6" max="6" width="14.00390625" style="0" customWidth="1"/>
    <col min="7" max="7" width="4.140625" style="0" customWidth="1"/>
    <col min="8" max="8" width="8.7109375" style="0" customWidth="1"/>
    <col min="9" max="9" width="11.28125" style="0" customWidth="1"/>
    <col min="10" max="10" width="3.7109375" style="0" customWidth="1"/>
    <col min="11" max="15" width="12.7109375" style="0" customWidth="1"/>
    <col min="16" max="16" width="13.421875" style="0" customWidth="1"/>
    <col min="17" max="17" width="12.8515625" style="0" bestFit="1" customWidth="1"/>
  </cols>
  <sheetData>
    <row r="1" spans="1:5" ht="20.25">
      <c r="A1" s="92" t="str">
        <f>+'Historical Analysis'!C1</f>
        <v>Starwood Hotels &amp; Resorts Worldwide Inc. (HOT)</v>
      </c>
      <c r="B1" s="92"/>
      <c r="C1" s="92"/>
      <c r="D1" s="92"/>
      <c r="E1" s="92"/>
    </row>
    <row r="2" ht="15" customHeight="1"/>
    <row r="3" spans="1:16" ht="16.5" thickBot="1">
      <c r="A3" s="2" t="s">
        <v>1</v>
      </c>
      <c r="B3" s="2"/>
      <c r="C3" s="385"/>
      <c r="D3" s="385"/>
      <c r="E3" s="385"/>
      <c r="F3" s="385"/>
      <c r="G3" s="93"/>
      <c r="K3" s="385" t="s">
        <v>124</v>
      </c>
      <c r="L3" s="385"/>
      <c r="M3" s="385"/>
      <c r="N3" s="385"/>
      <c r="O3" s="385"/>
      <c r="P3" s="386"/>
    </row>
    <row r="4" spans="1:7" ht="15" customHeight="1" thickBot="1">
      <c r="A4" s="2"/>
      <c r="B4" s="2"/>
      <c r="C4" s="2"/>
      <c r="D4" s="2"/>
      <c r="E4" s="2"/>
      <c r="F4" s="176" t="s">
        <v>123</v>
      </c>
      <c r="G4" s="93"/>
    </row>
    <row r="5" spans="1:17" ht="47.25" customHeight="1" thickBot="1">
      <c r="A5" s="94" t="s">
        <v>4</v>
      </c>
      <c r="B5" s="97">
        <f>+'Historical Analysis'!I6</f>
        <v>39447</v>
      </c>
      <c r="C5" s="97">
        <f>+'Historical Analysis'!H6</f>
        <v>39813</v>
      </c>
      <c r="D5" s="97">
        <f>+'Historical Analysis'!G6</f>
        <v>40178</v>
      </c>
      <c r="E5" s="97">
        <f>+'Historical Analysis'!F6</f>
        <v>40543</v>
      </c>
      <c r="F5" s="173">
        <f>+'Historical Analysis'!E6</f>
        <v>40724</v>
      </c>
      <c r="G5" s="98"/>
      <c r="H5" s="346" t="s">
        <v>309</v>
      </c>
      <c r="I5" s="99" t="s">
        <v>126</v>
      </c>
      <c r="J5" s="98"/>
      <c r="K5" s="306">
        <f>+E5+365</f>
        <v>40908</v>
      </c>
      <c r="L5" s="97">
        <f>+K5+365</f>
        <v>41273</v>
      </c>
      <c r="M5" s="97">
        <f>+L5+365</f>
        <v>41638</v>
      </c>
      <c r="N5" s="97">
        <f>+M5+365</f>
        <v>42003</v>
      </c>
      <c r="O5" s="97">
        <f>+N5+366</f>
        <v>42369</v>
      </c>
      <c r="P5" s="97">
        <f>+O5+365</f>
        <v>42734</v>
      </c>
      <c r="Q5" s="69"/>
    </row>
    <row r="6" spans="1:16" ht="12.75" customHeight="1">
      <c r="A6" s="94"/>
      <c r="B6" s="94"/>
      <c r="C6" s="94"/>
      <c r="D6" s="94"/>
      <c r="E6" s="94"/>
      <c r="F6" s="100"/>
      <c r="G6" s="93"/>
      <c r="H6" s="101"/>
      <c r="I6" s="102"/>
      <c r="J6" s="103"/>
      <c r="K6" s="104"/>
      <c r="L6" s="104"/>
      <c r="M6" s="104"/>
      <c r="N6" s="104"/>
      <c r="O6" s="104"/>
      <c r="P6" s="104"/>
    </row>
    <row r="7" spans="1:16" ht="12.75" customHeight="1">
      <c r="A7" s="105" t="s">
        <v>5</v>
      </c>
      <c r="B7" s="106">
        <f>+'Historical Analysis'!I7</f>
        <v>6153000</v>
      </c>
      <c r="C7" s="106">
        <f>+'Historical Analysis'!H7</f>
        <v>5907000</v>
      </c>
      <c r="D7" s="106">
        <f>+'Historical Analysis'!G7</f>
        <v>4696000</v>
      </c>
      <c r="E7" s="106">
        <f>+'Historical Analysis'!F7</f>
        <v>5071000</v>
      </c>
      <c r="F7" s="107">
        <f>+'Historical Analysis'!E7</f>
        <v>5316000</v>
      </c>
      <c r="G7" s="93"/>
      <c r="H7" s="108"/>
      <c r="I7" s="109"/>
      <c r="J7" s="110"/>
      <c r="K7" s="111">
        <f>+E7*(1+K19)</f>
        <v>5547674</v>
      </c>
      <c r="L7" s="111">
        <f>+K7*(1+L19)</f>
        <v>5825057.7</v>
      </c>
      <c r="M7" s="111">
        <f>+L7*(1+M19)</f>
        <v>6116310.585000001</v>
      </c>
      <c r="N7" s="111">
        <f>+M7*(1+N19)</f>
        <v>6422126.1142500015</v>
      </c>
      <c r="O7" s="111">
        <f>+N7*(1+O19)</f>
        <v>6743232.419962502</v>
      </c>
      <c r="P7" s="111">
        <f>+O7*(1+P19)</f>
        <v>7080394.040960628</v>
      </c>
    </row>
    <row r="8" spans="1:16" ht="12.75" customHeight="1">
      <c r="A8" s="112" t="s">
        <v>6</v>
      </c>
      <c r="B8" s="113">
        <f>+'Historical Analysis'!I8</f>
        <v>2235664.099646571</v>
      </c>
      <c r="C8" s="113">
        <f>+'Historical Analysis'!H8</f>
        <v>2184935.9028960816</v>
      </c>
      <c r="D8" s="113">
        <f>+'Historical Analysis'!G8</f>
        <v>1737000</v>
      </c>
      <c r="E8" s="113">
        <f>+'Historical Analysis'!F8</f>
        <v>1800000</v>
      </c>
      <c r="F8" s="114">
        <f>+'Historical Analysis'!E8</f>
        <v>1885000</v>
      </c>
      <c r="G8" s="93"/>
      <c r="H8" s="108"/>
      <c r="I8" s="115"/>
      <c r="J8" s="116"/>
      <c r="K8" s="117">
        <f aca="true" t="shared" si="0" ref="K8:P8">+K7-K9</f>
        <v>1997162.6400000001</v>
      </c>
      <c r="L8" s="117">
        <f t="shared" si="0"/>
        <v>2097020.7719999999</v>
      </c>
      <c r="M8" s="117">
        <f t="shared" si="0"/>
        <v>2201871.8106000004</v>
      </c>
      <c r="N8" s="117">
        <f t="shared" si="0"/>
        <v>2311965.4011300006</v>
      </c>
      <c r="O8" s="117">
        <f t="shared" si="0"/>
        <v>2427563.6711865</v>
      </c>
      <c r="P8" s="117">
        <f t="shared" si="0"/>
        <v>2548941.8547458258</v>
      </c>
    </row>
    <row r="9" spans="1:16" ht="12.75" customHeight="1">
      <c r="A9" s="105" t="s">
        <v>7</v>
      </c>
      <c r="B9" s="111">
        <f>+B7-B8</f>
        <v>3917335.900353429</v>
      </c>
      <c r="C9" s="111">
        <f>+C7-C8</f>
        <v>3722064.0971039184</v>
      </c>
      <c r="D9" s="111">
        <f>+D7-D8</f>
        <v>2959000</v>
      </c>
      <c r="E9" s="111">
        <f>+E7-E8</f>
        <v>3271000</v>
      </c>
      <c r="F9" s="107">
        <f>+F7-F8</f>
        <v>3431000</v>
      </c>
      <c r="G9" s="93"/>
      <c r="H9" s="108"/>
      <c r="I9" s="109"/>
      <c r="J9" s="110"/>
      <c r="K9" s="111">
        <f aca="true" t="shared" si="1" ref="K9:P9">+K7*K20</f>
        <v>3550511.36</v>
      </c>
      <c r="L9" s="111">
        <f t="shared" si="1"/>
        <v>3728036.9280000003</v>
      </c>
      <c r="M9" s="111">
        <f t="shared" si="1"/>
        <v>3914438.7744000005</v>
      </c>
      <c r="N9" s="111">
        <f t="shared" si="1"/>
        <v>4110160.713120001</v>
      </c>
      <c r="O9" s="111">
        <f t="shared" si="1"/>
        <v>4315668.748776002</v>
      </c>
      <c r="P9" s="111">
        <f t="shared" si="1"/>
        <v>4531452.186214802</v>
      </c>
    </row>
    <row r="10" spans="1:16" ht="12.75" customHeight="1">
      <c r="A10" s="112" t="s">
        <v>13</v>
      </c>
      <c r="B10" s="113">
        <f>+'Historical Analysis'!I16</f>
        <v>3059335.900353429</v>
      </c>
      <c r="C10" s="113">
        <f>+'Historical Analysis'!H16</f>
        <v>3103064.0971039184</v>
      </c>
      <c r="D10" s="113">
        <f>+'Historical Analysis'!G16</f>
        <v>2933000</v>
      </c>
      <c r="E10" s="113">
        <f>+'Historical Analysis'!F16</f>
        <v>2671000</v>
      </c>
      <c r="F10" s="114">
        <f>+'Historical Analysis'!E16</f>
        <v>2756000</v>
      </c>
      <c r="G10" s="93"/>
      <c r="H10" s="108"/>
      <c r="I10" s="115"/>
      <c r="J10" s="116"/>
      <c r="K10" s="117">
        <f aca="true" t="shared" si="2" ref="K10:P10">+K21*K7</f>
        <v>2884790.48</v>
      </c>
      <c r="L10" s="117">
        <f t="shared" si="2"/>
        <v>3029030.004</v>
      </c>
      <c r="M10" s="117">
        <f t="shared" si="2"/>
        <v>3180481.504200001</v>
      </c>
      <c r="N10" s="117">
        <f t="shared" si="2"/>
        <v>3339505.5794100007</v>
      </c>
      <c r="O10" s="117">
        <f t="shared" si="2"/>
        <v>3506480.858380501</v>
      </c>
      <c r="P10" s="117">
        <f t="shared" si="2"/>
        <v>3681804.9012995264</v>
      </c>
    </row>
    <row r="11" spans="1:16" ht="12.75" customHeight="1">
      <c r="A11" s="112"/>
      <c r="B11" s="118"/>
      <c r="C11" s="118"/>
      <c r="D11" s="118"/>
      <c r="E11" s="118"/>
      <c r="F11" s="119"/>
      <c r="G11" s="93"/>
      <c r="H11" s="108"/>
      <c r="I11" s="120"/>
      <c r="J11" s="112"/>
      <c r="K11" s="118"/>
      <c r="L11" s="118"/>
      <c r="M11" s="118"/>
      <c r="N11" s="118"/>
      <c r="O11" s="118"/>
      <c r="P11" s="118"/>
    </row>
    <row r="12" spans="1:16" ht="12.75" customHeight="1">
      <c r="A12" s="112" t="s">
        <v>127</v>
      </c>
      <c r="B12" s="121">
        <f>+B9-B10</f>
        <v>858000</v>
      </c>
      <c r="C12" s="121">
        <f>+C9-C10</f>
        <v>619000</v>
      </c>
      <c r="D12" s="121">
        <f>+D9-D10</f>
        <v>26000</v>
      </c>
      <c r="E12" s="121">
        <f>+E9-E10</f>
        <v>600000</v>
      </c>
      <c r="F12" s="122">
        <f>+F9-F10</f>
        <v>675000</v>
      </c>
      <c r="G12" s="93"/>
      <c r="H12" s="123"/>
      <c r="I12" s="115"/>
      <c r="J12" s="124"/>
      <c r="K12" s="121">
        <f aca="true" t="shared" si="3" ref="K12:P12">+K9-K10</f>
        <v>665720.8799999999</v>
      </c>
      <c r="L12" s="121">
        <f t="shared" si="3"/>
        <v>699006.9240000001</v>
      </c>
      <c r="M12" s="121">
        <f t="shared" si="3"/>
        <v>733957.2701999997</v>
      </c>
      <c r="N12" s="121">
        <f t="shared" si="3"/>
        <v>770655.1337100002</v>
      </c>
      <c r="O12" s="121">
        <f t="shared" si="3"/>
        <v>809187.8903955007</v>
      </c>
      <c r="P12" s="121">
        <f t="shared" si="3"/>
        <v>849647.2849152754</v>
      </c>
    </row>
    <row r="13" spans="1:16" ht="14.25" customHeight="1">
      <c r="A13" s="112" t="s">
        <v>17</v>
      </c>
      <c r="B13" s="113">
        <f>+'Historical Analysis'!I21</f>
        <v>168000</v>
      </c>
      <c r="C13" s="113">
        <f>+'Historical Analysis'!H21</f>
        <v>210000</v>
      </c>
      <c r="D13" s="113">
        <f>+'Historical Analysis'!G21</f>
        <v>227000</v>
      </c>
      <c r="E13" s="113">
        <f>+'Historical Analysis'!F21</f>
        <v>236000</v>
      </c>
      <c r="F13" s="114">
        <f>+'Historical Analysis'!E21</f>
        <v>221000</v>
      </c>
      <c r="G13" s="93"/>
      <c r="H13" s="125"/>
      <c r="I13" s="115"/>
      <c r="J13" s="116"/>
      <c r="K13" s="117">
        <f aca="true" t="shared" si="4" ref="K13:P13">+K36</f>
        <v>226999.99999999997</v>
      </c>
      <c r="L13" s="117">
        <f t="shared" si="4"/>
        <v>215649.99999999997</v>
      </c>
      <c r="M13" s="117">
        <f t="shared" si="4"/>
        <v>204300</v>
      </c>
      <c r="N13" s="117">
        <f t="shared" si="4"/>
        <v>192950</v>
      </c>
      <c r="O13" s="117">
        <f t="shared" si="4"/>
        <v>181600</v>
      </c>
      <c r="P13" s="117">
        <f t="shared" si="4"/>
        <v>170250</v>
      </c>
    </row>
    <row r="14" spans="1:16" ht="14.25" customHeight="1">
      <c r="A14" s="112" t="s">
        <v>128</v>
      </c>
      <c r="B14" s="118">
        <f>+B12-B13</f>
        <v>690000</v>
      </c>
      <c r="C14" s="118">
        <f>+C12-C13</f>
        <v>409000</v>
      </c>
      <c r="D14" s="118">
        <f>+D12-D13</f>
        <v>-201000</v>
      </c>
      <c r="E14" s="118">
        <f>+E12-E13</f>
        <v>364000</v>
      </c>
      <c r="F14" s="122">
        <f>+F12-F13</f>
        <v>454000</v>
      </c>
      <c r="G14" s="93"/>
      <c r="H14" s="123"/>
      <c r="I14" s="115"/>
      <c r="J14" s="124"/>
      <c r="K14" s="121">
        <f aca="true" t="shared" si="5" ref="K14:P14">+K12-K13</f>
        <v>438720.8799999999</v>
      </c>
      <c r="L14" s="121">
        <f t="shared" si="5"/>
        <v>483356.9240000001</v>
      </c>
      <c r="M14" s="121">
        <f t="shared" si="5"/>
        <v>529657.2701999997</v>
      </c>
      <c r="N14" s="121">
        <f t="shared" si="5"/>
        <v>577705.1337100002</v>
      </c>
      <c r="O14" s="121">
        <f t="shared" si="5"/>
        <v>627587.8903955007</v>
      </c>
      <c r="P14" s="121">
        <f t="shared" si="5"/>
        <v>679397.2849152754</v>
      </c>
    </row>
    <row r="15" spans="1:16" ht="12.75" customHeight="1">
      <c r="A15" s="112" t="s">
        <v>19</v>
      </c>
      <c r="B15" s="113">
        <f>+'Historical Analysis'!I23</f>
        <v>189000</v>
      </c>
      <c r="C15" s="113">
        <f>+'Historical Analysis'!H23</f>
        <v>76000</v>
      </c>
      <c r="D15" s="113">
        <f>+'Historical Analysis'!G23</f>
        <v>-293000</v>
      </c>
      <c r="E15" s="113">
        <f>+'Historical Analysis'!F23</f>
        <v>27000</v>
      </c>
      <c r="F15" s="114">
        <f>+'Historical Analysis'!E23</f>
        <v>0</v>
      </c>
      <c r="G15" s="93"/>
      <c r="H15" s="125"/>
      <c r="I15" s="115"/>
      <c r="J15" s="124"/>
      <c r="K15" s="117">
        <f aca="true" t="shared" si="6" ref="K15:P15">+K14*K22</f>
        <v>175488.35199999996</v>
      </c>
      <c r="L15" s="117">
        <f t="shared" si="6"/>
        <v>193342.76960000006</v>
      </c>
      <c r="M15" s="117">
        <f t="shared" si="6"/>
        <v>211862.90807999988</v>
      </c>
      <c r="N15" s="117">
        <f t="shared" si="6"/>
        <v>231082.0534840001</v>
      </c>
      <c r="O15" s="117">
        <f t="shared" si="6"/>
        <v>251035.1561582003</v>
      </c>
      <c r="P15" s="117">
        <f t="shared" si="6"/>
        <v>271758.91396611015</v>
      </c>
    </row>
    <row r="16" spans="1:16" ht="14.25" customHeight="1">
      <c r="A16" s="105" t="s">
        <v>27</v>
      </c>
      <c r="B16" s="106">
        <f>+B14-B15</f>
        <v>501000</v>
      </c>
      <c r="C16" s="106">
        <f>+C14-C15</f>
        <v>333000</v>
      </c>
      <c r="D16" s="106">
        <f>+D14-D15</f>
        <v>92000</v>
      </c>
      <c r="E16" s="106">
        <f>+E14-E15</f>
        <v>337000</v>
      </c>
      <c r="F16" s="107">
        <f>+F14-F15</f>
        <v>454000</v>
      </c>
      <c r="G16" s="93"/>
      <c r="H16" s="123"/>
      <c r="I16" s="115"/>
      <c r="J16" s="124"/>
      <c r="K16" s="121">
        <f aca="true" t="shared" si="7" ref="K16:P16">+K14-K15</f>
        <v>263232.52799999993</v>
      </c>
      <c r="L16" s="121">
        <f t="shared" si="7"/>
        <v>290014.15440000006</v>
      </c>
      <c r="M16" s="121">
        <f t="shared" si="7"/>
        <v>317794.36211999983</v>
      </c>
      <c r="N16" s="121">
        <f t="shared" si="7"/>
        <v>346623.0802260001</v>
      </c>
      <c r="O16" s="121">
        <f t="shared" si="7"/>
        <v>376552.7342373004</v>
      </c>
      <c r="P16" s="121">
        <f t="shared" si="7"/>
        <v>407638.37094916526</v>
      </c>
    </row>
    <row r="17" spans="1:16" ht="12.75" customHeight="1">
      <c r="A17" s="112"/>
      <c r="B17" s="118"/>
      <c r="C17" s="118"/>
      <c r="D17" s="118"/>
      <c r="E17" s="118"/>
      <c r="F17" s="119"/>
      <c r="G17" s="93"/>
      <c r="H17" s="126"/>
      <c r="I17" s="120"/>
      <c r="J17" s="112"/>
      <c r="K17" s="118"/>
      <c r="L17" s="118"/>
      <c r="M17" s="118"/>
      <c r="N17" s="118"/>
      <c r="O17" s="118"/>
      <c r="P17" s="118"/>
    </row>
    <row r="18" spans="1:16" ht="12.75" customHeight="1">
      <c r="A18" s="127" t="s">
        <v>129</v>
      </c>
      <c r="B18" s="128"/>
      <c r="C18" s="128"/>
      <c r="D18" s="128"/>
      <c r="E18" s="128"/>
      <c r="F18" s="129"/>
      <c r="G18" s="93"/>
      <c r="H18" s="130"/>
      <c r="I18" s="131"/>
      <c r="J18" s="132"/>
      <c r="K18" s="133"/>
      <c r="L18" s="133"/>
      <c r="M18" s="133"/>
      <c r="N18" s="133"/>
      <c r="O18" s="133"/>
      <c r="P18" s="133"/>
    </row>
    <row r="19" spans="1:16" ht="12.75" customHeight="1">
      <c r="A19" s="112" t="s">
        <v>112</v>
      </c>
      <c r="B19" s="133"/>
      <c r="C19" s="133">
        <f>+C7/B7-1</f>
        <v>-0.03998049731838127</v>
      </c>
      <c r="D19" s="133">
        <f>+D7/C7-1</f>
        <v>-0.20501100389368543</v>
      </c>
      <c r="E19" s="133">
        <f>+E7/D7-1</f>
        <v>0.07985519591141399</v>
      </c>
      <c r="F19" s="134">
        <f>+F7/E7-1</f>
        <v>0.04831394202326966</v>
      </c>
      <c r="G19" s="93"/>
      <c r="H19" s="135">
        <f>AVERAGE(C19:F19)</f>
        <v>-0.02920559081934576</v>
      </c>
      <c r="I19" s="330"/>
      <c r="J19" s="132"/>
      <c r="K19" s="144">
        <v>0.094</v>
      </c>
      <c r="L19" s="144">
        <v>0.05</v>
      </c>
      <c r="M19" s="144">
        <v>0.05</v>
      </c>
      <c r="N19" s="144">
        <v>0.05</v>
      </c>
      <c r="O19" s="144">
        <v>0.05</v>
      </c>
      <c r="P19" s="144">
        <v>0.05</v>
      </c>
    </row>
    <row r="20" spans="1:16" ht="12.75" customHeight="1">
      <c r="A20" s="112" t="s">
        <v>105</v>
      </c>
      <c r="B20" s="137">
        <f>+B9/B7</f>
        <v>0.6366546238182073</v>
      </c>
      <c r="C20" s="137">
        <f>+C9/C7</f>
        <v>0.6301107325383305</v>
      </c>
      <c r="D20" s="137">
        <f>+D9/D7</f>
        <v>0.6301107325383305</v>
      </c>
      <c r="E20" s="137">
        <f>+E9/E7</f>
        <v>0.6450404259514888</v>
      </c>
      <c r="F20" s="134">
        <f>+F9/F7</f>
        <v>0.6454100827689992</v>
      </c>
      <c r="G20" s="93"/>
      <c r="H20" s="135">
        <f>AVERAGE(C20:F20)</f>
        <v>0.6376679934492873</v>
      </c>
      <c r="I20" s="136">
        <v>0.64</v>
      </c>
      <c r="J20" s="132"/>
      <c r="K20" s="137">
        <f>+I20</f>
        <v>0.64</v>
      </c>
      <c r="L20" s="137">
        <f>+K20</f>
        <v>0.64</v>
      </c>
      <c r="M20" s="137">
        <f aca="true" t="shared" si="8" ref="M20:O21">+L20</f>
        <v>0.64</v>
      </c>
      <c r="N20" s="137">
        <f t="shared" si="8"/>
        <v>0.64</v>
      </c>
      <c r="O20" s="137">
        <f t="shared" si="8"/>
        <v>0.64</v>
      </c>
      <c r="P20" s="137">
        <f>+O20</f>
        <v>0.64</v>
      </c>
    </row>
    <row r="21" spans="1:16" ht="12.75" customHeight="1">
      <c r="A21" s="112" t="s">
        <v>130</v>
      </c>
      <c r="B21" s="137"/>
      <c r="C21" s="137">
        <f>+C10/C7</f>
        <v>0.5253198065183542</v>
      </c>
      <c r="D21" s="137">
        <f>+D10/D7</f>
        <v>0.6245741056218058</v>
      </c>
      <c r="E21" s="137">
        <f>+E10/E7</f>
        <v>0.5267205679353185</v>
      </c>
      <c r="F21" s="134">
        <f>+F10/F7</f>
        <v>0.5184349134687735</v>
      </c>
      <c r="G21" s="93"/>
      <c r="H21" s="135">
        <f>AVERAGE(C21:F21)</f>
        <v>0.548762348386063</v>
      </c>
      <c r="I21" s="136">
        <v>0.52</v>
      </c>
      <c r="J21" s="132"/>
      <c r="K21" s="137">
        <f>+I21</f>
        <v>0.52</v>
      </c>
      <c r="L21" s="137">
        <f>+K21</f>
        <v>0.52</v>
      </c>
      <c r="M21" s="137">
        <f t="shared" si="8"/>
        <v>0.52</v>
      </c>
      <c r="N21" s="137">
        <f t="shared" si="8"/>
        <v>0.52</v>
      </c>
      <c r="O21" s="137">
        <f t="shared" si="8"/>
        <v>0.52</v>
      </c>
      <c r="P21" s="137">
        <f>+O21</f>
        <v>0.52</v>
      </c>
    </row>
    <row r="22" spans="1:16" ht="12.75" customHeight="1">
      <c r="A22" s="112" t="s">
        <v>131</v>
      </c>
      <c r="B22" s="138">
        <f>+B15/B14</f>
        <v>0.27391304347826084</v>
      </c>
      <c r="C22" s="138">
        <f>+C15/C14</f>
        <v>0.18581907090464547</v>
      </c>
      <c r="D22" s="138">
        <f>+D15/D14</f>
        <v>1.4577114427860696</v>
      </c>
      <c r="E22" s="138">
        <f>+E15/E14</f>
        <v>0.07417582417582418</v>
      </c>
      <c r="F22" s="134">
        <f>+F15/F14</f>
        <v>0</v>
      </c>
      <c r="G22" s="93"/>
      <c r="H22" s="135">
        <f>AVERAGE(C22:F22)</f>
        <v>0.4294265844666348</v>
      </c>
      <c r="I22" s="139">
        <v>0.4</v>
      </c>
      <c r="J22" s="140"/>
      <c r="K22" s="137">
        <f>+I22</f>
        <v>0.4</v>
      </c>
      <c r="L22" s="137">
        <f>+K22</f>
        <v>0.4</v>
      </c>
      <c r="M22" s="137">
        <f>+L22</f>
        <v>0.4</v>
      </c>
      <c r="N22" s="137">
        <f>+M22</f>
        <v>0.4</v>
      </c>
      <c r="O22" s="137">
        <f>+N22</f>
        <v>0.4</v>
      </c>
      <c r="P22" s="137">
        <f>+O22</f>
        <v>0.4</v>
      </c>
    </row>
    <row r="23" spans="1:16" ht="12.75" customHeight="1">
      <c r="A23" s="112"/>
      <c r="B23" s="118"/>
      <c r="C23" s="118"/>
      <c r="D23" s="118"/>
      <c r="E23" s="118"/>
      <c r="F23" s="141"/>
      <c r="G23" s="93"/>
      <c r="H23" s="142"/>
      <c r="I23" s="143"/>
      <c r="J23" s="140"/>
      <c r="K23" s="144"/>
      <c r="L23" s="144"/>
      <c r="M23" s="144"/>
      <c r="N23" s="144"/>
      <c r="O23" s="144"/>
      <c r="P23" s="144"/>
    </row>
    <row r="24" spans="1:16" ht="12.75" customHeight="1">
      <c r="A24" s="145" t="s">
        <v>132</v>
      </c>
      <c r="B24" s="146"/>
      <c r="C24" s="146"/>
      <c r="D24" s="146"/>
      <c r="E24" s="146"/>
      <c r="F24" s="122"/>
      <c r="G24" s="93"/>
      <c r="H24" s="123"/>
      <c r="I24" s="115"/>
      <c r="J24" s="124"/>
      <c r="K24" s="147"/>
      <c r="L24" s="147"/>
      <c r="M24" s="147"/>
      <c r="N24" s="147"/>
      <c r="O24" s="147"/>
      <c r="P24" s="147"/>
    </row>
    <row r="25" spans="1:16" ht="12.75" customHeight="1">
      <c r="A25" s="112" t="s">
        <v>70</v>
      </c>
      <c r="B25" s="148">
        <f>+'Historical Analysis'!I92</f>
        <v>229000</v>
      </c>
      <c r="C25" s="148">
        <f>+'Historical Analysis'!H92</f>
        <v>245000</v>
      </c>
      <c r="D25" s="148">
        <f>+'Historical Analysis'!G92</f>
        <v>245000</v>
      </c>
      <c r="E25" s="148">
        <f>+'Historical Analysis'!F92</f>
        <v>217000</v>
      </c>
      <c r="F25" s="122">
        <f>+'Historical Analysis'!E92</f>
        <v>201000</v>
      </c>
      <c r="G25" s="93"/>
      <c r="H25" s="123"/>
      <c r="I25" s="115"/>
      <c r="J25" s="124"/>
      <c r="K25" s="118">
        <f aca="true" t="shared" si="9" ref="K25:P25">+K28*K$7</f>
        <v>221906.96</v>
      </c>
      <c r="L25" s="118">
        <f t="shared" si="9"/>
        <v>233002.30800000002</v>
      </c>
      <c r="M25" s="118">
        <f t="shared" si="9"/>
        <v>244652.42340000003</v>
      </c>
      <c r="N25" s="118">
        <f t="shared" si="9"/>
        <v>256885.04457000006</v>
      </c>
      <c r="O25" s="118">
        <f t="shared" si="9"/>
        <v>269729.2967985001</v>
      </c>
      <c r="P25" s="118">
        <f t="shared" si="9"/>
        <v>283215.7616384251</v>
      </c>
    </row>
    <row r="26" spans="1:16" ht="12.75" customHeight="1">
      <c r="A26" s="112" t="s">
        <v>133</v>
      </c>
      <c r="B26" s="148">
        <f>-'Historical Analysis'!I101</f>
        <v>384000</v>
      </c>
      <c r="C26" s="148">
        <f>-'Historical Analysis'!H101</f>
        <v>476000</v>
      </c>
      <c r="D26" s="148">
        <f>-'Historical Analysis'!G101</f>
        <v>196000</v>
      </c>
      <c r="E26" s="148">
        <f>-'Historical Analysis'!F101</f>
        <v>227000</v>
      </c>
      <c r="F26" s="122">
        <f>-'Historical Analysis'!E101</f>
        <v>298000</v>
      </c>
      <c r="G26" s="93"/>
      <c r="H26" s="123"/>
      <c r="I26" s="115"/>
      <c r="J26" s="124"/>
      <c r="K26" s="118">
        <f aca="true" t="shared" si="10" ref="K26:P26">+K29*K7</f>
        <v>332860.44</v>
      </c>
      <c r="L26" s="118">
        <f t="shared" si="10"/>
        <v>349503.462</v>
      </c>
      <c r="M26" s="118">
        <f t="shared" si="10"/>
        <v>366978.6351</v>
      </c>
      <c r="N26" s="118">
        <f t="shared" si="10"/>
        <v>385327.5668550001</v>
      </c>
      <c r="O26" s="118">
        <f t="shared" si="10"/>
        <v>404593.9451977501</v>
      </c>
      <c r="P26" s="118">
        <f t="shared" si="10"/>
        <v>424823.64245763764</v>
      </c>
    </row>
    <row r="27" spans="2:16" ht="15.75">
      <c r="B27" s="147"/>
      <c r="C27" s="147"/>
      <c r="D27" s="147"/>
      <c r="E27" s="147"/>
      <c r="F27" s="149"/>
      <c r="G27" s="93"/>
      <c r="H27" s="108"/>
      <c r="I27" s="150"/>
      <c r="K27" s="147"/>
      <c r="L27" s="147"/>
      <c r="M27" s="147"/>
      <c r="N27" s="147"/>
      <c r="O27" s="147"/>
      <c r="P27" s="147"/>
    </row>
    <row r="28" spans="1:16" ht="12.75" customHeight="1">
      <c r="A28" s="112" t="s">
        <v>70</v>
      </c>
      <c r="B28" s="137">
        <f>+B25/B7</f>
        <v>0.03721761742239558</v>
      </c>
      <c r="C28" s="137">
        <f>+C25/C7</f>
        <v>0.041476214660572205</v>
      </c>
      <c r="D28" s="137">
        <f>+D25/$F$7</f>
        <v>0.046087283671933786</v>
      </c>
      <c r="E28" s="137">
        <f>+E25/$F$7</f>
        <v>0.0408201655379985</v>
      </c>
      <c r="F28" s="134">
        <f>+F25/$F$7</f>
        <v>0.03781038374717833</v>
      </c>
      <c r="G28" s="93"/>
      <c r="H28" s="135">
        <f>AVERAGE(C28:F28)</f>
        <v>0.0415485119044207</v>
      </c>
      <c r="I28" s="139">
        <v>0.04</v>
      </c>
      <c r="J28" s="124"/>
      <c r="K28" s="137">
        <f>+I28</f>
        <v>0.04</v>
      </c>
      <c r="L28" s="137">
        <f aca="true" t="shared" si="11" ref="L28:P29">+K28</f>
        <v>0.04</v>
      </c>
      <c r="M28" s="137">
        <f t="shared" si="11"/>
        <v>0.04</v>
      </c>
      <c r="N28" s="137">
        <f t="shared" si="11"/>
        <v>0.04</v>
      </c>
      <c r="O28" s="137">
        <f t="shared" si="11"/>
        <v>0.04</v>
      </c>
      <c r="P28" s="137">
        <f t="shared" si="11"/>
        <v>0.04</v>
      </c>
    </row>
    <row r="29" spans="1:16" ht="12.75" customHeight="1">
      <c r="A29" s="112" t="s">
        <v>78</v>
      </c>
      <c r="B29" s="137">
        <f>+B26/B7</f>
        <v>0.062408581179912236</v>
      </c>
      <c r="C29" s="137">
        <f>+C26/C7</f>
        <v>0.08058235991196885</v>
      </c>
      <c r="D29" s="137">
        <f>+D26/D7</f>
        <v>0.041737649063032366</v>
      </c>
      <c r="E29" s="137">
        <f>+E26/E7</f>
        <v>0.04476434628278446</v>
      </c>
      <c r="F29" s="134">
        <f>+F26/F7</f>
        <v>0.05605718585402558</v>
      </c>
      <c r="G29" s="93"/>
      <c r="H29" s="135">
        <f>AVERAGE(C29:F29)</f>
        <v>0.05578538527795282</v>
      </c>
      <c r="I29" s="139">
        <v>0.06</v>
      </c>
      <c r="J29" s="124"/>
      <c r="K29" s="137">
        <f>+I29</f>
        <v>0.06</v>
      </c>
      <c r="L29" s="137">
        <f t="shared" si="11"/>
        <v>0.06</v>
      </c>
      <c r="M29" s="137">
        <f t="shared" si="11"/>
        <v>0.06</v>
      </c>
      <c r="N29" s="137">
        <f t="shared" si="11"/>
        <v>0.06</v>
      </c>
      <c r="O29" s="137">
        <f t="shared" si="11"/>
        <v>0.06</v>
      </c>
      <c r="P29" s="137">
        <f t="shared" si="11"/>
        <v>0.06</v>
      </c>
    </row>
    <row r="30" spans="1:16" ht="12.75" customHeight="1">
      <c r="A30" s="104"/>
      <c r="B30" s="147"/>
      <c r="C30" s="147"/>
      <c r="D30" s="147"/>
      <c r="E30" s="147"/>
      <c r="F30" s="122"/>
      <c r="G30" s="93"/>
      <c r="H30" s="123"/>
      <c r="I30" s="115"/>
      <c r="J30" s="124"/>
      <c r="K30" s="147"/>
      <c r="L30" s="147"/>
      <c r="M30" s="147"/>
      <c r="N30" s="147"/>
      <c r="O30" s="147"/>
      <c r="P30" s="147"/>
    </row>
    <row r="31" spans="1:16" ht="12.75" customHeight="1">
      <c r="A31" s="145" t="s">
        <v>134</v>
      </c>
      <c r="B31" s="146"/>
      <c r="C31" s="146"/>
      <c r="D31" s="332"/>
      <c r="E31" s="332"/>
      <c r="F31" s="149"/>
      <c r="G31" s="93"/>
      <c r="H31" s="108"/>
      <c r="I31" s="150"/>
      <c r="J31" s="104"/>
      <c r="K31" s="147"/>
      <c r="L31" s="147"/>
      <c r="M31" s="147"/>
      <c r="N31" s="147"/>
      <c r="O31" s="147"/>
      <c r="P31" s="147"/>
    </row>
    <row r="32" spans="1:16" ht="12.75" customHeight="1">
      <c r="A32" s="112" t="s">
        <v>135</v>
      </c>
      <c r="B32" s="118"/>
      <c r="C32" s="118"/>
      <c r="D32" s="148"/>
      <c r="F32" s="122">
        <f>+'Historical Analysis'!E62</f>
        <v>733000</v>
      </c>
      <c r="G32" s="93"/>
      <c r="H32" s="151"/>
      <c r="I32" s="150"/>
      <c r="J32" s="104"/>
      <c r="K32" s="147"/>
      <c r="L32" s="147"/>
      <c r="M32" s="147"/>
      <c r="N32" s="147"/>
      <c r="O32" s="147"/>
      <c r="P32" s="147"/>
    </row>
    <row r="33" spans="1:16" ht="12.75" customHeight="1">
      <c r="A33" s="112" t="s">
        <v>53</v>
      </c>
      <c r="B33" s="118"/>
      <c r="C33" s="118"/>
      <c r="D33" s="148"/>
      <c r="F33" s="122">
        <f>+'Historical Analysis'!E65</f>
        <v>2489000</v>
      </c>
      <c r="G33" s="93"/>
      <c r="H33" s="151"/>
      <c r="I33" s="150"/>
      <c r="J33" s="104"/>
      <c r="K33" s="147"/>
      <c r="L33" s="147"/>
      <c r="M33" s="147"/>
      <c r="N33" s="147"/>
      <c r="O33" s="147"/>
      <c r="P33" s="147"/>
    </row>
    <row r="34" spans="1:16" ht="18" customHeight="1" thickBot="1">
      <c r="A34" s="112" t="s">
        <v>136</v>
      </c>
      <c r="B34" s="118"/>
      <c r="C34" s="118"/>
      <c r="D34" s="148"/>
      <c r="F34" s="357">
        <f>+F33+F32</f>
        <v>3222000</v>
      </c>
      <c r="G34" s="93"/>
      <c r="H34" s="123"/>
      <c r="I34" s="115"/>
      <c r="J34" s="124"/>
      <c r="K34" s="121">
        <f>+F34+K35</f>
        <v>3060900</v>
      </c>
      <c r="L34" s="121">
        <f>+K34+L35</f>
        <v>2899800</v>
      </c>
      <c r="M34" s="121">
        <f>+L34+M35</f>
        <v>2738700</v>
      </c>
      <c r="N34" s="121">
        <f>+M34+N35</f>
        <v>2577600</v>
      </c>
      <c r="O34" s="121">
        <f>+N34+O35</f>
        <v>2416500</v>
      </c>
      <c r="P34" s="121">
        <f>+O34+P35</f>
        <v>2255400</v>
      </c>
    </row>
    <row r="35" spans="1:16" ht="12.75" customHeight="1" thickTop="1">
      <c r="A35" s="112" t="s">
        <v>137</v>
      </c>
      <c r="B35" s="118"/>
      <c r="C35" s="118"/>
      <c r="D35" s="148"/>
      <c r="E35" s="171"/>
      <c r="F35" s="122"/>
      <c r="G35" s="93"/>
      <c r="H35" s="123"/>
      <c r="I35" s="139">
        <v>0.05</v>
      </c>
      <c r="J35" s="124"/>
      <c r="K35" s="121">
        <f>-I35*F34</f>
        <v>-161100</v>
      </c>
      <c r="L35" s="121">
        <f>+K35</f>
        <v>-161100</v>
      </c>
      <c r="M35" s="121">
        <f>+L35</f>
        <v>-161100</v>
      </c>
      <c r="N35" s="121">
        <f>+M35</f>
        <v>-161100</v>
      </c>
      <c r="O35" s="121">
        <f>+N35</f>
        <v>-161100</v>
      </c>
      <c r="P35" s="121">
        <f>+O35</f>
        <v>-161100</v>
      </c>
    </row>
    <row r="36" spans="1:16" ht="12.75" customHeight="1">
      <c r="A36" s="112" t="s">
        <v>138</v>
      </c>
      <c r="B36" s="118"/>
      <c r="C36" s="118"/>
      <c r="D36" s="148"/>
      <c r="F36" s="134">
        <f>+D13/F34</f>
        <v>0.07045313469894475</v>
      </c>
      <c r="G36" s="93"/>
      <c r="H36" s="152"/>
      <c r="I36" s="139">
        <f>+F36</f>
        <v>0.07045313469894475</v>
      </c>
      <c r="J36" s="124"/>
      <c r="K36" s="121">
        <f>+$I$36*F34</f>
        <v>226999.99999999997</v>
      </c>
      <c r="L36" s="121">
        <f>+K34*$I$36</f>
        <v>215649.99999999997</v>
      </c>
      <c r="M36" s="121">
        <f>+L34*$I$36</f>
        <v>204300</v>
      </c>
      <c r="N36" s="121">
        <f>+M34*$I$36</f>
        <v>192950</v>
      </c>
      <c r="O36" s="121">
        <f>+N34*$I$36</f>
        <v>181600</v>
      </c>
      <c r="P36" s="121">
        <f>+O34*$I$36</f>
        <v>170250</v>
      </c>
    </row>
    <row r="37" spans="1:16" ht="12.75" customHeight="1">
      <c r="A37" s="153"/>
      <c r="B37" s="154"/>
      <c r="C37" s="154"/>
      <c r="D37" s="333"/>
      <c r="E37" s="333"/>
      <c r="F37" s="155"/>
      <c r="G37" s="93"/>
      <c r="H37" s="156"/>
      <c r="I37" s="157"/>
      <c r="J37" s="153"/>
      <c r="K37" s="154"/>
      <c r="L37" s="147"/>
      <c r="M37" s="147"/>
      <c r="N37" s="147"/>
      <c r="O37" s="147"/>
      <c r="P37" s="147"/>
    </row>
    <row r="38" spans="1:16" ht="13.5" customHeight="1" thickBot="1">
      <c r="A38" s="158" t="s">
        <v>139</v>
      </c>
      <c r="B38" s="159"/>
      <c r="C38" s="159"/>
      <c r="D38" s="159"/>
      <c r="E38" s="159"/>
      <c r="F38" s="155"/>
      <c r="G38" s="93"/>
      <c r="H38" s="156"/>
      <c r="I38" s="157"/>
      <c r="J38" s="153"/>
      <c r="K38" s="154"/>
      <c r="L38" s="147"/>
      <c r="M38" s="147"/>
      <c r="N38" s="147"/>
      <c r="O38" s="147"/>
      <c r="P38" s="147"/>
    </row>
    <row r="39" spans="1:16" ht="18" customHeight="1" thickBot="1">
      <c r="A39" s="104"/>
      <c r="B39" s="160">
        <f>+B5</f>
        <v>39447</v>
      </c>
      <c r="C39" s="160">
        <f>+C5</f>
        <v>39813</v>
      </c>
      <c r="D39" s="160">
        <f>+D5</f>
        <v>40178</v>
      </c>
      <c r="E39" s="160">
        <f>+E5</f>
        <v>40543</v>
      </c>
      <c r="F39" s="331">
        <f>+'Historical Analysis'!E40</f>
        <v>40724</v>
      </c>
      <c r="G39" s="93"/>
      <c r="H39" s="156"/>
      <c r="I39" s="157"/>
      <c r="J39" s="103"/>
      <c r="K39" s="160">
        <f>+K5</f>
        <v>40908</v>
      </c>
      <c r="L39" s="160">
        <f>+K39+365</f>
        <v>41273</v>
      </c>
      <c r="M39" s="160">
        <f>+L39+365</f>
        <v>41638</v>
      </c>
      <c r="N39" s="160">
        <f>+M39+365</f>
        <v>42003</v>
      </c>
      <c r="O39" s="160">
        <f>+N39+365</f>
        <v>42368</v>
      </c>
      <c r="P39" s="160">
        <f>+O39+365</f>
        <v>42733</v>
      </c>
    </row>
    <row r="40" spans="1:16" ht="16.5" customHeight="1">
      <c r="A40" s="105" t="s">
        <v>91</v>
      </c>
      <c r="B40" s="121">
        <f>+B25+B12</f>
        <v>1087000</v>
      </c>
      <c r="C40" s="121">
        <f>+C25+C12</f>
        <v>864000</v>
      </c>
      <c r="D40" s="121">
        <f>+D25+D12</f>
        <v>271000</v>
      </c>
      <c r="E40" s="121">
        <f>26000+379000+309000+68000</f>
        <v>782000</v>
      </c>
      <c r="F40" s="122">
        <f>+F25+F12</f>
        <v>876000</v>
      </c>
      <c r="G40" s="93"/>
      <c r="H40" s="156"/>
      <c r="I40" s="157"/>
      <c r="J40" s="124"/>
      <c r="K40" s="121">
        <f aca="true" t="shared" si="12" ref="K40:P40">+K25+K12</f>
        <v>887627.8399999999</v>
      </c>
      <c r="L40" s="121">
        <f t="shared" si="12"/>
        <v>932009.2320000001</v>
      </c>
      <c r="M40" s="121">
        <f t="shared" si="12"/>
        <v>978609.6935999996</v>
      </c>
      <c r="N40" s="121">
        <f t="shared" si="12"/>
        <v>1027540.1782800002</v>
      </c>
      <c r="O40" s="121">
        <f t="shared" si="12"/>
        <v>1078917.187194001</v>
      </c>
      <c r="P40" s="121">
        <f t="shared" si="12"/>
        <v>1132863.0465537005</v>
      </c>
    </row>
    <row r="41" spans="1:16" ht="12.75" customHeight="1">
      <c r="A41" s="112"/>
      <c r="B41" s="118"/>
      <c r="C41" s="118"/>
      <c r="D41" s="118"/>
      <c r="E41" s="118"/>
      <c r="F41" s="122"/>
      <c r="G41" s="93"/>
      <c r="H41" s="156"/>
      <c r="I41" s="157"/>
      <c r="J41" s="124"/>
      <c r="K41" s="154"/>
      <c r="L41" s="154"/>
      <c r="M41" s="154"/>
      <c r="N41" s="154"/>
      <c r="O41" s="154"/>
      <c r="P41" s="207"/>
    </row>
    <row r="42" spans="1:16" ht="12.75" customHeight="1">
      <c r="A42" s="145" t="s">
        <v>140</v>
      </c>
      <c r="B42" s="146"/>
      <c r="C42" s="146"/>
      <c r="D42" s="146"/>
      <c r="E42" s="146"/>
      <c r="F42" s="122"/>
      <c r="G42" s="93"/>
      <c r="H42" s="123"/>
      <c r="I42" s="115"/>
      <c r="J42" s="124"/>
      <c r="K42" s="147"/>
      <c r="L42" s="147"/>
      <c r="M42" s="147"/>
      <c r="N42" s="147"/>
      <c r="O42" s="147"/>
      <c r="P42" s="147"/>
    </row>
    <row r="43" spans="1:16" ht="12.75" customHeight="1">
      <c r="A43" s="112" t="s">
        <v>112</v>
      </c>
      <c r="B43" s="161"/>
      <c r="C43" s="161"/>
      <c r="D43" s="133">
        <f>+D7/C7-1</f>
        <v>-0.20501100389368543</v>
      </c>
      <c r="E43" s="133">
        <f>+E7/D7-1</f>
        <v>0.07985519591141399</v>
      </c>
      <c r="F43" s="134">
        <f>+F7/E7-1</f>
        <v>0.04831394202326966</v>
      </c>
      <c r="G43" s="93"/>
      <c r="H43" s="135"/>
      <c r="I43" s="143"/>
      <c r="J43" s="140"/>
      <c r="K43" s="133">
        <f>+K7/E7-1</f>
        <v>0.09400000000000008</v>
      </c>
      <c r="L43" s="133">
        <f>+L7/K7-1</f>
        <v>0.050000000000000044</v>
      </c>
      <c r="M43" s="133">
        <f>+M7/L7-1</f>
        <v>0.050000000000000044</v>
      </c>
      <c r="N43" s="133">
        <f>+N7/M7-1</f>
        <v>0.050000000000000044</v>
      </c>
      <c r="O43" s="133">
        <f>+O7/N7-1</f>
        <v>0.050000000000000044</v>
      </c>
      <c r="P43" s="133">
        <f>+P7/O7-1</f>
        <v>0.050000000000000044</v>
      </c>
    </row>
    <row r="44" spans="1:16" ht="13.5" customHeight="1">
      <c r="A44" s="112"/>
      <c r="B44" s="118"/>
      <c r="C44" s="118"/>
      <c r="D44" s="118"/>
      <c r="E44" s="118"/>
      <c r="F44" s="134"/>
      <c r="G44" s="93"/>
      <c r="H44" s="135"/>
      <c r="I44" s="143"/>
      <c r="J44" s="140"/>
      <c r="K44" s="118"/>
      <c r="L44" s="147"/>
      <c r="M44" s="147"/>
      <c r="N44" s="147"/>
      <c r="O44" s="147"/>
      <c r="P44" s="147"/>
    </row>
    <row r="45" spans="1:16" ht="12.75" customHeight="1">
      <c r="A45" s="145" t="s">
        <v>141</v>
      </c>
      <c r="B45" s="146"/>
      <c r="C45" s="146"/>
      <c r="D45" s="146"/>
      <c r="E45" s="146"/>
      <c r="F45" s="122"/>
      <c r="G45" s="93"/>
      <c r="H45" s="123"/>
      <c r="I45" s="115"/>
      <c r="J45" s="124"/>
      <c r="K45" s="118"/>
      <c r="L45" s="147"/>
      <c r="M45" s="147"/>
      <c r="N45" s="147"/>
      <c r="O45" s="147"/>
      <c r="P45" s="147"/>
    </row>
    <row r="46" spans="1:16" ht="12.75" customHeight="1">
      <c r="A46" s="112" t="s">
        <v>142</v>
      </c>
      <c r="B46" s="118"/>
      <c r="C46" s="118"/>
      <c r="D46" s="118"/>
      <c r="E46" s="118"/>
      <c r="F46" s="162">
        <f>+F34/F40</f>
        <v>3.6780821917808217</v>
      </c>
      <c r="G46" s="93"/>
      <c r="H46" s="163"/>
      <c r="I46" s="164"/>
      <c r="J46" s="165"/>
      <c r="K46" s="166">
        <f aca="true" t="shared" si="13" ref="K46:P46">+K34/K40</f>
        <v>3.448404682755332</v>
      </c>
      <c r="L46" s="166">
        <f t="shared" si="13"/>
        <v>3.1113425709070657</v>
      </c>
      <c r="M46" s="166">
        <f t="shared" si="13"/>
        <v>2.7985621008158805</v>
      </c>
      <c r="N46" s="166">
        <f t="shared" si="13"/>
        <v>2.5085150483503673</v>
      </c>
      <c r="O46" s="166">
        <f t="shared" si="13"/>
        <v>2.2397455788842553</v>
      </c>
      <c r="P46" s="166">
        <f t="shared" si="13"/>
        <v>1.9908849590082278</v>
      </c>
    </row>
    <row r="47" spans="1:16" ht="12.75" customHeight="1">
      <c r="A47" s="112" t="s">
        <v>143</v>
      </c>
      <c r="B47" s="118"/>
      <c r="C47" s="118"/>
      <c r="D47" s="118"/>
      <c r="E47" s="118"/>
      <c r="F47" s="162"/>
      <c r="G47" s="93"/>
      <c r="H47" s="163"/>
      <c r="I47" s="164"/>
      <c r="J47" s="165"/>
      <c r="K47" s="166"/>
      <c r="L47" s="166"/>
      <c r="M47" s="166"/>
      <c r="N47" s="166"/>
      <c r="O47" s="166"/>
      <c r="P47" s="166"/>
    </row>
    <row r="48" spans="1:16" ht="12.75" customHeight="1">
      <c r="A48" s="112" t="s">
        <v>144</v>
      </c>
      <c r="B48" s="118"/>
      <c r="C48" s="118"/>
      <c r="D48" s="118"/>
      <c r="E48" s="118"/>
      <c r="F48" s="162"/>
      <c r="G48" s="93"/>
      <c r="H48" s="163"/>
      <c r="I48" s="164"/>
      <c r="J48" s="165"/>
      <c r="K48" s="166"/>
      <c r="L48" s="166"/>
      <c r="M48" s="166"/>
      <c r="N48" s="166"/>
      <c r="O48" s="166"/>
      <c r="P48" s="166"/>
    </row>
    <row r="49" spans="1:16" ht="12.75" customHeight="1">
      <c r="A49" s="112"/>
      <c r="B49" s="118"/>
      <c r="C49" s="118"/>
      <c r="D49" s="118"/>
      <c r="E49" s="118"/>
      <c r="F49" s="122"/>
      <c r="G49" s="93"/>
      <c r="H49" s="123"/>
      <c r="I49" s="115"/>
      <c r="J49" s="124"/>
      <c r="K49" s="118"/>
      <c r="L49" s="147"/>
      <c r="M49" s="147"/>
      <c r="N49" s="147"/>
      <c r="O49" s="147"/>
      <c r="P49" s="147"/>
    </row>
    <row r="50" spans="1:16" ht="12.75" customHeight="1">
      <c r="A50" s="145" t="s">
        <v>104</v>
      </c>
      <c r="B50" s="146"/>
      <c r="C50" s="146"/>
      <c r="D50" s="146"/>
      <c r="E50" s="146"/>
      <c r="F50" s="122"/>
      <c r="G50" s="93"/>
      <c r="H50" s="123"/>
      <c r="I50" s="115"/>
      <c r="J50" s="124"/>
      <c r="K50" s="118"/>
      <c r="L50" s="147"/>
      <c r="M50" s="147"/>
      <c r="N50" s="147"/>
      <c r="O50" s="147"/>
      <c r="P50" s="147"/>
    </row>
    <row r="51" spans="1:16" ht="12.75" customHeight="1">
      <c r="A51" s="112" t="s">
        <v>145</v>
      </c>
      <c r="B51" s="137">
        <f>+B9/B7</f>
        <v>0.6366546238182073</v>
      </c>
      <c r="C51" s="137">
        <f>+C9/C7</f>
        <v>0.6301107325383305</v>
      </c>
      <c r="D51" s="137">
        <f>+D9/D7</f>
        <v>0.6301107325383305</v>
      </c>
      <c r="E51" s="137">
        <f>+E9/E7</f>
        <v>0.6450404259514888</v>
      </c>
      <c r="F51" s="134">
        <f>+F9/F7</f>
        <v>0.6454100827689992</v>
      </c>
      <c r="G51" s="93"/>
      <c r="H51" s="135"/>
      <c r="I51" s="143"/>
      <c r="J51" s="140"/>
      <c r="K51" s="137">
        <f aca="true" t="shared" si="14" ref="K51:P51">+K9/K7</f>
        <v>0.64</v>
      </c>
      <c r="L51" s="137">
        <f t="shared" si="14"/>
        <v>0.64</v>
      </c>
      <c r="M51" s="137">
        <f t="shared" si="14"/>
        <v>0.64</v>
      </c>
      <c r="N51" s="137">
        <f t="shared" si="14"/>
        <v>0.64</v>
      </c>
      <c r="O51" s="137">
        <f t="shared" si="14"/>
        <v>0.6400000000000001</v>
      </c>
      <c r="P51" s="137">
        <f t="shared" si="14"/>
        <v>0.64</v>
      </c>
    </row>
    <row r="52" spans="1:16" ht="12.75" customHeight="1">
      <c r="A52" s="112" t="s">
        <v>146</v>
      </c>
      <c r="B52" s="137">
        <f>+B40/B7</f>
        <v>0.17666179099626197</v>
      </c>
      <c r="C52" s="137">
        <f>+C40/C7</f>
        <v>0.1462671406805485</v>
      </c>
      <c r="D52" s="137">
        <f>+D40/D7</f>
        <v>0.057708688245315165</v>
      </c>
      <c r="E52" s="137">
        <f>+E40/E7</f>
        <v>0.15421021494774206</v>
      </c>
      <c r="F52" s="134">
        <f>+F40/F7</f>
        <v>0.16478555304740405</v>
      </c>
      <c r="G52" s="93"/>
      <c r="H52" s="135"/>
      <c r="I52" s="143"/>
      <c r="J52" s="140"/>
      <c r="K52" s="137">
        <f aca="true" t="shared" si="15" ref="K52:P52">+K40/K7</f>
        <v>0.15999999999999998</v>
      </c>
      <c r="L52" s="137">
        <f t="shared" si="15"/>
        <v>0.16</v>
      </c>
      <c r="M52" s="137">
        <f t="shared" si="15"/>
        <v>0.15999999999999992</v>
      </c>
      <c r="N52" s="137">
        <f t="shared" si="15"/>
        <v>0.16</v>
      </c>
      <c r="O52" s="137">
        <f t="shared" si="15"/>
        <v>0.1600000000000001</v>
      </c>
      <c r="P52" s="137">
        <f t="shared" si="15"/>
        <v>0.16</v>
      </c>
    </row>
    <row r="53" spans="1:16" ht="12.75" customHeight="1">
      <c r="A53" s="112" t="s">
        <v>147</v>
      </c>
      <c r="B53" s="137">
        <f>+B12/B7</f>
        <v>0.1394441735738664</v>
      </c>
      <c r="C53" s="137">
        <f>+C12/C7</f>
        <v>0.1047909260199763</v>
      </c>
      <c r="D53" s="137">
        <f>+D12/D7</f>
        <v>0.005536626916524702</v>
      </c>
      <c r="E53" s="137">
        <f>+E12/E7</f>
        <v>0.11831985801617038</v>
      </c>
      <c r="F53" s="134">
        <f>+F12/F7</f>
        <v>0.12697516930022573</v>
      </c>
      <c r="G53" s="93"/>
      <c r="H53" s="135"/>
      <c r="I53" s="143"/>
      <c r="J53" s="140"/>
      <c r="K53" s="137">
        <f aca="true" t="shared" si="16" ref="K53:P53">+K12/K7</f>
        <v>0.11999999999999998</v>
      </c>
      <c r="L53" s="137">
        <f t="shared" si="16"/>
        <v>0.12000000000000001</v>
      </c>
      <c r="M53" s="137">
        <f t="shared" si="16"/>
        <v>0.11999999999999993</v>
      </c>
      <c r="N53" s="137">
        <f t="shared" si="16"/>
        <v>0.12000000000000001</v>
      </c>
      <c r="O53" s="137">
        <f t="shared" si="16"/>
        <v>0.12000000000000006</v>
      </c>
      <c r="P53" s="137">
        <f t="shared" si="16"/>
        <v>0.12000000000000001</v>
      </c>
    </row>
    <row r="54" spans="1:16" ht="12.75" customHeight="1" thickBot="1">
      <c r="A54" s="112"/>
      <c r="B54" s="112"/>
      <c r="C54" s="118"/>
      <c r="D54" s="118"/>
      <c r="E54" s="118"/>
      <c r="F54" s="167"/>
      <c r="G54" s="93"/>
      <c r="H54" s="168"/>
      <c r="I54" s="169"/>
      <c r="J54" s="124"/>
      <c r="K54" s="147"/>
      <c r="L54" s="147"/>
      <c r="M54" s="147"/>
      <c r="N54" s="147"/>
      <c r="O54" s="147"/>
      <c r="P54" s="147"/>
    </row>
    <row r="55" spans="1:16" ht="12.75" customHeight="1">
      <c r="A55" s="170"/>
      <c r="B55" s="170"/>
      <c r="C55" s="170"/>
      <c r="D55" s="170"/>
      <c r="E55" s="170"/>
      <c r="F55" s="124"/>
      <c r="G55" s="93"/>
      <c r="H55" s="171"/>
      <c r="I55" s="124"/>
      <c r="J55" s="124"/>
      <c r="K55" s="147"/>
      <c r="L55" s="147"/>
      <c r="M55" s="147"/>
      <c r="N55" s="147"/>
      <c r="O55" s="147"/>
      <c r="P55" s="147"/>
    </row>
    <row r="56" spans="6:16" ht="12.75" customHeight="1">
      <c r="F56" s="172"/>
      <c r="G56" s="93"/>
      <c r="H56" s="171"/>
      <c r="I56" s="172"/>
      <c r="J56" s="172"/>
      <c r="K56" s="121"/>
      <c r="L56" s="121"/>
      <c r="M56" s="121"/>
      <c r="N56" s="121"/>
      <c r="O56" s="121"/>
      <c r="P56" s="121"/>
    </row>
    <row r="57" spans="6:16" ht="12.75" customHeight="1">
      <c r="F57" s="172"/>
      <c r="G57" s="93"/>
      <c r="H57" s="171"/>
      <c r="I57" s="172"/>
      <c r="J57" s="172"/>
      <c r="K57" s="172"/>
      <c r="L57" s="172"/>
      <c r="M57" s="172"/>
      <c r="N57" s="172"/>
      <c r="O57" s="172"/>
      <c r="P57" s="172"/>
    </row>
    <row r="58" spans="6:16" ht="12.75" customHeight="1">
      <c r="F58" s="172"/>
      <c r="G58" s="93"/>
      <c r="H58" s="171"/>
      <c r="I58" s="172"/>
      <c r="J58" s="172"/>
      <c r="K58" s="172"/>
      <c r="L58" s="172"/>
      <c r="M58" s="172"/>
      <c r="N58" s="172"/>
      <c r="O58" s="172"/>
      <c r="P58" s="172"/>
    </row>
    <row r="59" spans="6:16" ht="12.75" customHeight="1">
      <c r="F59" s="172"/>
      <c r="G59" s="93"/>
      <c r="H59" s="171"/>
      <c r="I59" s="172"/>
      <c r="J59" s="172"/>
      <c r="K59" s="172"/>
      <c r="L59" s="172"/>
      <c r="M59" s="172"/>
      <c r="N59" s="172"/>
      <c r="O59" s="172"/>
      <c r="P59" s="172"/>
    </row>
    <row r="60" spans="6:16" ht="12.75" customHeight="1">
      <c r="F60" s="172"/>
      <c r="G60" s="93"/>
      <c r="H60" s="171"/>
      <c r="I60" s="172"/>
      <c r="J60" s="172"/>
      <c r="K60" s="172"/>
      <c r="L60" s="172"/>
      <c r="M60" s="172"/>
      <c r="N60" s="172"/>
      <c r="O60" s="172"/>
      <c r="P60" s="172"/>
    </row>
    <row r="61" spans="6:16" ht="12.75" customHeight="1">
      <c r="F61" s="172"/>
      <c r="G61" s="93"/>
      <c r="H61" s="171"/>
      <c r="I61" s="172"/>
      <c r="J61" s="172"/>
      <c r="K61" s="172"/>
      <c r="L61" s="172"/>
      <c r="M61" s="172"/>
      <c r="N61" s="172"/>
      <c r="O61" s="172"/>
      <c r="P61" s="172"/>
    </row>
    <row r="62" spans="6:10" ht="12.75" customHeight="1">
      <c r="F62" s="172"/>
      <c r="G62" s="93"/>
      <c r="H62" s="171"/>
      <c r="I62" s="172"/>
      <c r="J62" s="172"/>
    </row>
    <row r="63" spans="6:10" ht="12.75" customHeight="1">
      <c r="F63" s="172"/>
      <c r="G63" s="93"/>
      <c r="H63" s="171"/>
      <c r="I63" s="172"/>
      <c r="J63" s="172"/>
    </row>
    <row r="64" spans="6:10" ht="12.75" customHeight="1">
      <c r="F64" s="172"/>
      <c r="G64" s="93"/>
      <c r="H64" s="171"/>
      <c r="I64" s="172"/>
      <c r="J64" s="172"/>
    </row>
    <row r="65" spans="6:10" ht="12.75" customHeight="1">
      <c r="F65" s="172"/>
      <c r="G65" s="93"/>
      <c r="H65" s="171"/>
      <c r="I65" s="172"/>
      <c r="J65" s="172"/>
    </row>
    <row r="66" spans="6:10" ht="12.75" customHeight="1">
      <c r="F66" s="172"/>
      <c r="G66" s="93"/>
      <c r="H66" s="171"/>
      <c r="I66" s="172"/>
      <c r="J66" s="172"/>
    </row>
    <row r="67" spans="6:10" ht="12.75" customHeight="1">
      <c r="F67" s="172"/>
      <c r="G67" s="93"/>
      <c r="H67" s="171"/>
      <c r="I67" s="172"/>
      <c r="J67" s="172"/>
    </row>
    <row r="68" spans="6:10" ht="12.75" customHeight="1">
      <c r="F68" s="172"/>
      <c r="G68" s="93"/>
      <c r="H68" s="171"/>
      <c r="I68" s="172"/>
      <c r="J68" s="172"/>
    </row>
    <row r="69" spans="6:10" ht="12.75" customHeight="1">
      <c r="F69" s="172"/>
      <c r="G69" s="93"/>
      <c r="H69" s="171"/>
      <c r="I69" s="172"/>
      <c r="J69" s="172"/>
    </row>
    <row r="70" spans="6:10" ht="12.75" customHeight="1">
      <c r="F70" s="172"/>
      <c r="G70" s="93"/>
      <c r="H70" s="171"/>
      <c r="I70" s="172"/>
      <c r="J70" s="172"/>
    </row>
    <row r="71" spans="6:10" ht="12.75" customHeight="1">
      <c r="F71" s="172"/>
      <c r="G71" s="93"/>
      <c r="H71" s="171"/>
      <c r="I71" s="172"/>
      <c r="J71" s="172"/>
    </row>
    <row r="72" spans="6:10" ht="12.75" customHeight="1">
      <c r="F72" s="172"/>
      <c r="G72" s="93"/>
      <c r="H72" s="171"/>
      <c r="I72" s="172"/>
      <c r="J72" s="172"/>
    </row>
    <row r="73" spans="6:10" ht="12.75" customHeight="1">
      <c r="F73" s="172"/>
      <c r="G73" s="93"/>
      <c r="H73" s="171"/>
      <c r="I73" s="172"/>
      <c r="J73" s="172"/>
    </row>
    <row r="74" spans="6:10" ht="12.75" customHeight="1">
      <c r="F74" s="172"/>
      <c r="G74" s="93"/>
      <c r="H74" s="171"/>
      <c r="I74" s="172"/>
      <c r="J74" s="172"/>
    </row>
    <row r="75" spans="6:10" ht="12.75" customHeight="1">
      <c r="F75" s="172"/>
      <c r="G75" s="93"/>
      <c r="H75" s="171"/>
      <c r="I75" s="172"/>
      <c r="J75" s="172"/>
    </row>
    <row r="76" spans="6:10" ht="12.75" customHeight="1">
      <c r="F76" s="172"/>
      <c r="G76" s="93"/>
      <c r="H76" s="171"/>
      <c r="I76" s="172"/>
      <c r="J76" s="172"/>
    </row>
    <row r="77" spans="6:10" ht="12.75" customHeight="1">
      <c r="F77" s="172"/>
      <c r="G77" s="93"/>
      <c r="H77" s="172"/>
      <c r="I77" s="172"/>
      <c r="J77" s="172"/>
    </row>
    <row r="78" spans="6:10" ht="12.75" customHeight="1">
      <c r="F78" s="172"/>
      <c r="G78" s="93"/>
      <c r="H78" s="172"/>
      <c r="I78" s="172"/>
      <c r="J78" s="172"/>
    </row>
    <row r="79" spans="6:10" ht="12.75" customHeight="1">
      <c r="F79" s="172"/>
      <c r="G79" s="93"/>
      <c r="H79" s="172"/>
      <c r="I79" s="172"/>
      <c r="J79" s="172"/>
    </row>
    <row r="80" spans="6:10" ht="12.75" customHeight="1">
      <c r="F80" s="172"/>
      <c r="G80" s="93"/>
      <c r="H80" s="172"/>
      <c r="I80" s="172"/>
      <c r="J80" s="172"/>
    </row>
    <row r="81" spans="6:10" ht="12.75" customHeight="1">
      <c r="F81" s="172"/>
      <c r="G81" s="93"/>
      <c r="H81" s="172"/>
      <c r="I81" s="172"/>
      <c r="J81" s="172"/>
    </row>
    <row r="82" spans="6:10" ht="12.75" customHeight="1">
      <c r="F82" s="172"/>
      <c r="G82" s="93"/>
      <c r="H82" s="172"/>
      <c r="I82" s="172"/>
      <c r="J82" s="172"/>
    </row>
    <row r="83" spans="6:10" ht="12.75" customHeight="1">
      <c r="F83" s="172"/>
      <c r="G83" s="93"/>
      <c r="H83" s="172"/>
      <c r="I83" s="172"/>
      <c r="J83" s="172"/>
    </row>
    <row r="84" spans="6:10" ht="12.75" customHeight="1">
      <c r="F84" s="172"/>
      <c r="G84" s="93"/>
      <c r="H84" s="172"/>
      <c r="I84" s="172"/>
      <c r="J84" s="172"/>
    </row>
    <row r="85" spans="6:10" ht="12.75" customHeight="1">
      <c r="F85" s="172"/>
      <c r="G85" s="93"/>
      <c r="H85" s="172"/>
      <c r="I85" s="172"/>
      <c r="J85" s="172"/>
    </row>
    <row r="86" spans="6:10" ht="12.75" customHeight="1">
      <c r="F86" s="172"/>
      <c r="G86" s="93"/>
      <c r="H86" s="172"/>
      <c r="I86" s="172"/>
      <c r="J86" s="172"/>
    </row>
    <row r="87" spans="6:10" ht="12.75" customHeight="1">
      <c r="F87" s="172"/>
      <c r="G87" s="93"/>
      <c r="H87" s="172"/>
      <c r="I87" s="172"/>
      <c r="J87" s="172"/>
    </row>
    <row r="88" spans="6:10" ht="12.75" customHeight="1">
      <c r="F88" s="172"/>
      <c r="G88" s="93"/>
      <c r="H88" s="172"/>
      <c r="I88" s="172"/>
      <c r="J88" s="172"/>
    </row>
    <row r="89" spans="6:10" ht="12.75" customHeight="1">
      <c r="F89" s="172"/>
      <c r="G89" s="93"/>
      <c r="H89" s="172"/>
      <c r="I89" s="172"/>
      <c r="J89" s="172"/>
    </row>
    <row r="90" spans="6:10" ht="12.75" customHeight="1">
      <c r="F90" s="172"/>
      <c r="G90" s="93"/>
      <c r="H90" s="172"/>
      <c r="I90" s="172"/>
      <c r="J90" s="172"/>
    </row>
    <row r="91" spans="6:10" ht="12.75" customHeight="1">
      <c r="F91" s="172"/>
      <c r="G91" s="93"/>
      <c r="H91" s="172"/>
      <c r="I91" s="172"/>
      <c r="J91" s="172"/>
    </row>
    <row r="92" spans="6:10" ht="12.75" customHeight="1">
      <c r="F92" s="172"/>
      <c r="G92" s="93"/>
      <c r="H92" s="172"/>
      <c r="I92" s="172"/>
      <c r="J92" s="172"/>
    </row>
    <row r="93" spans="6:10" ht="12.75" customHeight="1">
      <c r="F93" s="172"/>
      <c r="G93" s="93"/>
      <c r="H93" s="172"/>
      <c r="I93" s="172"/>
      <c r="J93" s="172"/>
    </row>
    <row r="94" spans="6:10" ht="12.75" customHeight="1">
      <c r="F94" s="172"/>
      <c r="G94" s="93"/>
      <c r="H94" s="172"/>
      <c r="I94" s="172"/>
      <c r="J94" s="172"/>
    </row>
    <row r="95" spans="6:10" ht="12.75" customHeight="1">
      <c r="F95" s="172"/>
      <c r="G95" s="93"/>
      <c r="H95" s="172"/>
      <c r="I95" s="172"/>
      <c r="J95" s="172"/>
    </row>
    <row r="96" spans="6:10" ht="12.75" customHeight="1">
      <c r="F96" s="172"/>
      <c r="G96" s="93"/>
      <c r="H96" s="172"/>
      <c r="I96" s="172"/>
      <c r="J96" s="172"/>
    </row>
    <row r="97" spans="6:10" ht="12.75" customHeight="1">
      <c r="F97" s="172"/>
      <c r="G97" s="93"/>
      <c r="H97" s="172"/>
      <c r="I97" s="172"/>
      <c r="J97" s="172"/>
    </row>
    <row r="98" spans="6:10" ht="12.75" customHeight="1">
      <c r="F98" s="172"/>
      <c r="G98" s="93"/>
      <c r="H98" s="172"/>
      <c r="I98" s="172"/>
      <c r="J98" s="172"/>
    </row>
    <row r="99" spans="6:10" ht="12.75" customHeight="1">
      <c r="F99" s="172"/>
      <c r="G99" s="93"/>
      <c r="H99" s="172"/>
      <c r="I99" s="172"/>
      <c r="J99" s="172"/>
    </row>
    <row r="100" spans="6:10" ht="12.75" customHeight="1">
      <c r="F100" s="172"/>
      <c r="G100" s="93"/>
      <c r="H100" s="172"/>
      <c r="I100" s="172"/>
      <c r="J100" s="172"/>
    </row>
    <row r="101" spans="6:10" ht="12.75" customHeight="1">
      <c r="F101" s="172"/>
      <c r="G101" s="93"/>
      <c r="H101" s="172"/>
      <c r="I101" s="172"/>
      <c r="J101" s="172"/>
    </row>
    <row r="102" spans="6:10" ht="12.75" customHeight="1">
      <c r="F102" s="172"/>
      <c r="G102" s="93"/>
      <c r="H102" s="172"/>
      <c r="I102" s="172"/>
      <c r="J102" s="172"/>
    </row>
    <row r="103" spans="6:10" ht="12.75" customHeight="1">
      <c r="F103" s="172"/>
      <c r="G103" s="93"/>
      <c r="H103" s="172"/>
      <c r="I103" s="172"/>
      <c r="J103" s="172"/>
    </row>
    <row r="104" spans="6:10" ht="12.75" customHeight="1">
      <c r="F104" s="172"/>
      <c r="G104" s="93"/>
      <c r="H104" s="172"/>
      <c r="I104" s="172"/>
      <c r="J104" s="172"/>
    </row>
    <row r="105" spans="6:10" ht="12.75" customHeight="1">
      <c r="F105" s="172"/>
      <c r="G105" s="93"/>
      <c r="H105" s="172"/>
      <c r="I105" s="172"/>
      <c r="J105" s="172"/>
    </row>
    <row r="106" spans="6:10" ht="12.75" customHeight="1">
      <c r="F106" s="172"/>
      <c r="G106" s="93"/>
      <c r="H106" s="172"/>
      <c r="I106" s="172"/>
      <c r="J106" s="172"/>
    </row>
    <row r="107" spans="6:10" ht="12.75" customHeight="1">
      <c r="F107" s="172"/>
      <c r="G107" s="93"/>
      <c r="H107" s="172"/>
      <c r="I107" s="172"/>
      <c r="J107" s="172"/>
    </row>
    <row r="108" spans="6:10" ht="12.75" customHeight="1">
      <c r="F108" s="172"/>
      <c r="G108" s="93"/>
      <c r="H108" s="172"/>
      <c r="I108" s="172"/>
      <c r="J108" s="172"/>
    </row>
    <row r="109" spans="6:10" ht="12.75" customHeight="1">
      <c r="F109" s="172"/>
      <c r="G109" s="93"/>
      <c r="H109" s="172"/>
      <c r="I109" s="172"/>
      <c r="J109" s="172"/>
    </row>
    <row r="110" spans="6:10" ht="12.75" customHeight="1">
      <c r="F110" s="172"/>
      <c r="G110" s="93"/>
      <c r="H110" s="172"/>
      <c r="I110" s="172"/>
      <c r="J110" s="172"/>
    </row>
    <row r="111" spans="6:10" ht="12.75" customHeight="1">
      <c r="F111" s="172"/>
      <c r="G111" s="172"/>
      <c r="H111" s="172"/>
      <c r="I111" s="172"/>
      <c r="J111" s="172"/>
    </row>
    <row r="112" spans="6:10" ht="12.75" customHeight="1">
      <c r="F112" s="172"/>
      <c r="G112" s="172"/>
      <c r="H112" s="172"/>
      <c r="I112" s="172"/>
      <c r="J112" s="172"/>
    </row>
    <row r="113" spans="6:10" ht="12.75" customHeight="1">
      <c r="F113" s="172"/>
      <c r="G113" s="172"/>
      <c r="H113" s="172"/>
      <c r="I113" s="172"/>
      <c r="J113" s="172"/>
    </row>
    <row r="114" spans="6:10" ht="12.75" customHeight="1">
      <c r="F114" s="172"/>
      <c r="G114" s="172"/>
      <c r="H114" s="172"/>
      <c r="I114" s="172"/>
      <c r="J114" s="172"/>
    </row>
    <row r="115" spans="6:10" ht="12.75" customHeight="1">
      <c r="F115" s="172"/>
      <c r="G115" s="172"/>
      <c r="H115" s="172"/>
      <c r="I115" s="172"/>
      <c r="J115" s="172"/>
    </row>
    <row r="116" spans="6:10" ht="12.75" customHeight="1">
      <c r="F116" s="172"/>
      <c r="G116" s="172"/>
      <c r="H116" s="172"/>
      <c r="I116" s="172"/>
      <c r="J116" s="172"/>
    </row>
    <row r="117" spans="6:10" ht="12.75" customHeight="1">
      <c r="F117" s="172"/>
      <c r="G117" s="172"/>
      <c r="H117" s="172"/>
      <c r="I117" s="172"/>
      <c r="J117" s="172"/>
    </row>
    <row r="118" spans="6:10" ht="12.75" customHeight="1">
      <c r="F118" s="172"/>
      <c r="G118" s="172"/>
      <c r="H118" s="172"/>
      <c r="I118" s="172"/>
      <c r="J118" s="172"/>
    </row>
    <row r="119" spans="6:10" ht="12.75" customHeight="1">
      <c r="F119" s="172"/>
      <c r="G119" s="172"/>
      <c r="H119" s="172"/>
      <c r="I119" s="172"/>
      <c r="J119" s="172"/>
    </row>
    <row r="120" spans="6:10" ht="12.75" customHeight="1">
      <c r="F120" s="172"/>
      <c r="G120" s="172"/>
      <c r="H120" s="172"/>
      <c r="I120" s="172"/>
      <c r="J120" s="172"/>
    </row>
    <row r="121" spans="6:10" ht="12.75" customHeight="1">
      <c r="F121" s="172"/>
      <c r="G121" s="172"/>
      <c r="H121" s="172"/>
      <c r="I121" s="172"/>
      <c r="J121" s="172"/>
    </row>
    <row r="122" spans="6:10" ht="12.75" customHeight="1">
      <c r="F122" s="172"/>
      <c r="G122" s="172"/>
      <c r="H122" s="172"/>
      <c r="I122" s="172"/>
      <c r="J122" s="172"/>
    </row>
    <row r="123" spans="6:10" ht="12.75" customHeight="1">
      <c r="F123" s="172"/>
      <c r="G123" s="172"/>
      <c r="H123" s="172"/>
      <c r="I123" s="172"/>
      <c r="J123" s="172"/>
    </row>
    <row r="124" spans="6:10" ht="12.75" customHeight="1">
      <c r="F124" s="172"/>
      <c r="G124" s="172"/>
      <c r="H124" s="172"/>
      <c r="I124" s="172"/>
      <c r="J124" s="172"/>
    </row>
    <row r="125" spans="6:10" ht="12.75" customHeight="1">
      <c r="F125" s="172"/>
      <c r="G125" s="172"/>
      <c r="H125" s="172"/>
      <c r="I125" s="172"/>
      <c r="J125" s="172"/>
    </row>
    <row r="126" spans="6:10" ht="12.75" customHeight="1">
      <c r="F126" s="172"/>
      <c r="G126" s="172"/>
      <c r="H126" s="172"/>
      <c r="I126" s="172"/>
      <c r="J126" s="172"/>
    </row>
    <row r="127" spans="6:10" ht="12.75" customHeight="1">
      <c r="F127" s="172"/>
      <c r="G127" s="172"/>
      <c r="H127" s="172"/>
      <c r="I127" s="172"/>
      <c r="J127" s="172"/>
    </row>
    <row r="128" spans="6:10" ht="12.75" customHeight="1">
      <c r="F128" s="172"/>
      <c r="G128" s="172"/>
      <c r="H128" s="172"/>
      <c r="I128" s="172"/>
      <c r="J128" s="172"/>
    </row>
    <row r="129" spans="6:10" ht="12.75" customHeight="1">
      <c r="F129" s="172"/>
      <c r="G129" s="172"/>
      <c r="H129" s="172"/>
      <c r="I129" s="172"/>
      <c r="J129" s="172"/>
    </row>
    <row r="130" spans="6:10" ht="12.75" customHeight="1">
      <c r="F130" s="172"/>
      <c r="G130" s="172"/>
      <c r="H130" s="172"/>
      <c r="I130" s="172"/>
      <c r="J130" s="172"/>
    </row>
    <row r="131" spans="6:10" ht="12.75" customHeight="1">
      <c r="F131" s="172"/>
      <c r="G131" s="172"/>
      <c r="H131" s="172"/>
      <c r="I131" s="172"/>
      <c r="J131" s="172"/>
    </row>
    <row r="132" spans="6:10" ht="12.75" customHeight="1">
      <c r="F132" s="172"/>
      <c r="G132" s="172"/>
      <c r="H132" s="172"/>
      <c r="I132" s="172"/>
      <c r="J132" s="172"/>
    </row>
    <row r="133" spans="6:10" ht="12.75" customHeight="1">
      <c r="F133" s="172"/>
      <c r="G133" s="172"/>
      <c r="H133" s="172"/>
      <c r="I133" s="172"/>
      <c r="J133" s="172"/>
    </row>
    <row r="134" spans="6:10" ht="12.75" customHeight="1">
      <c r="F134" s="172"/>
      <c r="G134" s="172"/>
      <c r="H134" s="172"/>
      <c r="I134" s="172"/>
      <c r="J134" s="172"/>
    </row>
    <row r="135" spans="6:10" ht="12.75" customHeight="1">
      <c r="F135" s="172"/>
      <c r="G135" s="172"/>
      <c r="H135" s="172"/>
      <c r="I135" s="172"/>
      <c r="J135" s="172"/>
    </row>
    <row r="136" spans="6:10" ht="12.75" customHeight="1">
      <c r="F136" s="172"/>
      <c r="G136" s="172"/>
      <c r="H136" s="172"/>
      <c r="I136" s="172"/>
      <c r="J136" s="172"/>
    </row>
    <row r="137" spans="6:10" ht="12.75" customHeight="1">
      <c r="F137" s="172"/>
      <c r="G137" s="172"/>
      <c r="H137" s="172"/>
      <c r="I137" s="172"/>
      <c r="J137" s="172"/>
    </row>
    <row r="138" spans="6:10" ht="12.75" customHeight="1">
      <c r="F138" s="172"/>
      <c r="G138" s="172"/>
      <c r="H138" s="172"/>
      <c r="I138" s="172"/>
      <c r="J138" s="172"/>
    </row>
    <row r="139" spans="6:10" ht="12.75" customHeight="1">
      <c r="F139" s="172"/>
      <c r="G139" s="172"/>
      <c r="H139" s="172"/>
      <c r="I139" s="172"/>
      <c r="J139" s="172"/>
    </row>
    <row r="140" spans="6:10" ht="12.75" customHeight="1">
      <c r="F140" s="172"/>
      <c r="G140" s="172"/>
      <c r="H140" s="172"/>
      <c r="I140" s="172"/>
      <c r="J140" s="172"/>
    </row>
    <row r="141" spans="6:10" ht="12.75" customHeight="1">
      <c r="F141" s="172"/>
      <c r="G141" s="172"/>
      <c r="H141" s="172"/>
      <c r="I141" s="172"/>
      <c r="J141" s="172"/>
    </row>
    <row r="142" spans="6:10" ht="12.75" customHeight="1">
      <c r="F142" s="172"/>
      <c r="G142" s="172"/>
      <c r="H142" s="172"/>
      <c r="I142" s="172"/>
      <c r="J142" s="172"/>
    </row>
    <row r="143" spans="6:10" ht="12.75" customHeight="1">
      <c r="F143" s="172"/>
      <c r="G143" s="172"/>
      <c r="H143" s="172"/>
      <c r="I143" s="172"/>
      <c r="J143" s="172"/>
    </row>
    <row r="144" spans="6:10" ht="12.75" customHeight="1">
      <c r="F144" s="172"/>
      <c r="G144" s="172"/>
      <c r="H144" s="172"/>
      <c r="I144" s="172"/>
      <c r="J144" s="172"/>
    </row>
    <row r="145" spans="6:10" ht="12.75" customHeight="1">
      <c r="F145" s="172"/>
      <c r="G145" s="172"/>
      <c r="H145" s="172"/>
      <c r="I145" s="172"/>
      <c r="J145" s="172"/>
    </row>
    <row r="146" spans="6:10" ht="12.75" customHeight="1">
      <c r="F146" s="172"/>
      <c r="G146" s="172"/>
      <c r="H146" s="172"/>
      <c r="I146" s="172"/>
      <c r="J146" s="172"/>
    </row>
    <row r="147" spans="6:10" ht="12.75" customHeight="1">
      <c r="F147" s="172"/>
      <c r="G147" s="172"/>
      <c r="H147" s="172"/>
      <c r="I147" s="172"/>
      <c r="J147" s="172"/>
    </row>
    <row r="148" spans="6:10" ht="12.75" customHeight="1">
      <c r="F148" s="172"/>
      <c r="G148" s="172"/>
      <c r="H148" s="172"/>
      <c r="I148" s="172"/>
      <c r="J148" s="172"/>
    </row>
    <row r="149" spans="6:10" ht="12.75" customHeight="1">
      <c r="F149" s="172"/>
      <c r="G149" s="172"/>
      <c r="H149" s="172"/>
      <c r="I149" s="172"/>
      <c r="J149" s="172"/>
    </row>
    <row r="150" spans="6:10" ht="12.75" customHeight="1">
      <c r="F150" s="172"/>
      <c r="G150" s="172"/>
      <c r="H150" s="172"/>
      <c r="I150" s="172"/>
      <c r="J150" s="172"/>
    </row>
    <row r="151" spans="6:10" ht="12.75" customHeight="1">
      <c r="F151" s="172"/>
      <c r="G151" s="172"/>
      <c r="H151" s="172"/>
      <c r="I151" s="172"/>
      <c r="J151" s="172"/>
    </row>
    <row r="152" spans="6:10" ht="12.75" customHeight="1">
      <c r="F152" s="172"/>
      <c r="G152" s="172"/>
      <c r="H152" s="172"/>
      <c r="I152" s="172"/>
      <c r="J152" s="172"/>
    </row>
    <row r="153" spans="6:10" ht="12.75" customHeight="1">
      <c r="F153" s="172"/>
      <c r="G153" s="172"/>
      <c r="H153" s="172"/>
      <c r="I153" s="172"/>
      <c r="J153" s="172"/>
    </row>
    <row r="154" spans="6:10" ht="12.75" customHeight="1">
      <c r="F154" s="172"/>
      <c r="G154" s="172"/>
      <c r="H154" s="172"/>
      <c r="I154" s="172"/>
      <c r="J154" s="172"/>
    </row>
    <row r="155" spans="6:10" ht="12.75" customHeight="1">
      <c r="F155" s="172"/>
      <c r="G155" s="172"/>
      <c r="H155" s="172"/>
      <c r="I155" s="172"/>
      <c r="J155" s="172"/>
    </row>
    <row r="156" spans="6:10" ht="12.75" customHeight="1">
      <c r="F156" s="172"/>
      <c r="G156" s="172"/>
      <c r="H156" s="172"/>
      <c r="I156" s="172"/>
      <c r="J156" s="172"/>
    </row>
    <row r="157" spans="6:10" ht="12.75" customHeight="1">
      <c r="F157" s="172"/>
      <c r="G157" s="172"/>
      <c r="H157" s="172"/>
      <c r="I157" s="172"/>
      <c r="J157" s="172"/>
    </row>
    <row r="158" spans="6:10" ht="12.75" customHeight="1">
      <c r="F158" s="172"/>
      <c r="G158" s="172"/>
      <c r="H158" s="172"/>
      <c r="I158" s="172"/>
      <c r="J158" s="172"/>
    </row>
    <row r="159" spans="6:10" ht="12.75" customHeight="1">
      <c r="F159" s="172"/>
      <c r="G159" s="172"/>
      <c r="H159" s="172"/>
      <c r="I159" s="172"/>
      <c r="J159" s="172"/>
    </row>
    <row r="160" spans="6:10" ht="12.75" customHeight="1">
      <c r="F160" s="172"/>
      <c r="G160" s="172"/>
      <c r="H160" s="172"/>
      <c r="I160" s="172"/>
      <c r="J160" s="172"/>
    </row>
    <row r="161" spans="6:10" ht="12.75" customHeight="1">
      <c r="F161" s="172"/>
      <c r="G161" s="172"/>
      <c r="H161" s="172"/>
      <c r="I161" s="172"/>
      <c r="J161" s="172"/>
    </row>
    <row r="162" spans="6:10" ht="12.75" customHeight="1">
      <c r="F162" s="172"/>
      <c r="G162" s="172"/>
      <c r="H162" s="172"/>
      <c r="I162" s="172"/>
      <c r="J162" s="172"/>
    </row>
    <row r="163" spans="6:10" ht="12.75" customHeight="1">
      <c r="F163" s="172"/>
      <c r="G163" s="172"/>
      <c r="H163" s="172"/>
      <c r="I163" s="172"/>
      <c r="J163" s="172"/>
    </row>
    <row r="164" spans="6:10" ht="12.75" customHeight="1">
      <c r="F164" s="172"/>
      <c r="G164" s="172"/>
      <c r="H164" s="172"/>
      <c r="I164" s="172"/>
      <c r="J164" s="172"/>
    </row>
    <row r="165" spans="6:10" ht="12.75" customHeight="1">
      <c r="F165" s="172"/>
      <c r="G165" s="172"/>
      <c r="H165" s="172"/>
      <c r="I165" s="172"/>
      <c r="J165" s="172"/>
    </row>
    <row r="166" spans="6:10" ht="12.75" customHeight="1">
      <c r="F166" s="172"/>
      <c r="G166" s="172"/>
      <c r="H166" s="172"/>
      <c r="I166" s="172"/>
      <c r="J166" s="172"/>
    </row>
    <row r="167" spans="6:10" ht="12.75" customHeight="1">
      <c r="F167" s="172"/>
      <c r="G167" s="172"/>
      <c r="H167" s="172"/>
      <c r="I167" s="172"/>
      <c r="J167" s="172"/>
    </row>
    <row r="168" spans="6:10" ht="12.75" customHeight="1">
      <c r="F168" s="172"/>
      <c r="G168" s="172"/>
      <c r="H168" s="172"/>
      <c r="I168" s="172"/>
      <c r="J168" s="172"/>
    </row>
    <row r="169" spans="6:10" ht="12.75" customHeight="1">
      <c r="F169" s="172"/>
      <c r="G169" s="172"/>
      <c r="H169" s="172"/>
      <c r="I169" s="172"/>
      <c r="J169" s="172"/>
    </row>
    <row r="170" spans="6:10" ht="12.75" customHeight="1">
      <c r="F170" s="172"/>
      <c r="G170" s="172"/>
      <c r="H170" s="172"/>
      <c r="I170" s="172"/>
      <c r="J170" s="172"/>
    </row>
    <row r="171" spans="6:10" ht="12.75" customHeight="1">
      <c r="F171" s="172"/>
      <c r="G171" s="172"/>
      <c r="H171" s="172"/>
      <c r="I171" s="172"/>
      <c r="J171" s="172"/>
    </row>
    <row r="172" spans="6:10" ht="12.75" customHeight="1">
      <c r="F172" s="172"/>
      <c r="G172" s="172"/>
      <c r="H172" s="172"/>
      <c r="I172" s="172"/>
      <c r="J172" s="172"/>
    </row>
    <row r="173" spans="6:10" ht="12.75" customHeight="1">
      <c r="F173" s="172"/>
      <c r="G173" s="172"/>
      <c r="H173" s="172"/>
      <c r="I173" s="172"/>
      <c r="J173" s="172"/>
    </row>
    <row r="174" spans="6:10" ht="12.75" customHeight="1">
      <c r="F174" s="172"/>
      <c r="G174" s="172"/>
      <c r="H174" s="172"/>
      <c r="I174" s="172"/>
      <c r="J174" s="172"/>
    </row>
    <row r="175" spans="6:10" ht="12.75" customHeight="1">
      <c r="F175" s="172"/>
      <c r="G175" s="172"/>
      <c r="H175" s="172"/>
      <c r="I175" s="172"/>
      <c r="J175" s="172"/>
    </row>
    <row r="176" spans="6:10" ht="12.75" customHeight="1">
      <c r="F176" s="172"/>
      <c r="G176" s="172"/>
      <c r="H176" s="172"/>
      <c r="I176" s="172"/>
      <c r="J176" s="172"/>
    </row>
    <row r="177" spans="6:10" ht="12.75" customHeight="1">
      <c r="F177" s="172"/>
      <c r="G177" s="172"/>
      <c r="H177" s="172"/>
      <c r="I177" s="172"/>
      <c r="J177" s="172"/>
    </row>
    <row r="178" spans="6:10" ht="12.75" customHeight="1">
      <c r="F178" s="172"/>
      <c r="G178" s="172"/>
      <c r="H178" s="172"/>
      <c r="I178" s="172"/>
      <c r="J178" s="172"/>
    </row>
    <row r="179" spans="6:10" ht="12.75" customHeight="1">
      <c r="F179" s="172"/>
      <c r="G179" s="172"/>
      <c r="H179" s="172"/>
      <c r="I179" s="172"/>
      <c r="J179" s="172"/>
    </row>
    <row r="180" spans="6:10" ht="12.75" customHeight="1">
      <c r="F180" s="172"/>
      <c r="G180" s="172"/>
      <c r="H180" s="172"/>
      <c r="I180" s="172"/>
      <c r="J180" s="172"/>
    </row>
    <row r="181" spans="6:10" ht="12.75" customHeight="1">
      <c r="F181" s="172"/>
      <c r="G181" s="172"/>
      <c r="H181" s="172"/>
      <c r="I181" s="172"/>
      <c r="J181" s="172"/>
    </row>
    <row r="182" spans="6:10" ht="12.75" customHeight="1">
      <c r="F182" s="172"/>
      <c r="G182" s="172"/>
      <c r="H182" s="172"/>
      <c r="I182" s="172"/>
      <c r="J182" s="172"/>
    </row>
    <row r="183" spans="6:10" ht="12.75" customHeight="1">
      <c r="F183" s="172"/>
      <c r="G183" s="172"/>
      <c r="H183" s="172"/>
      <c r="I183" s="172"/>
      <c r="J183" s="172"/>
    </row>
    <row r="184" spans="6:10" ht="12.75" customHeight="1">
      <c r="F184" s="172"/>
      <c r="G184" s="172"/>
      <c r="H184" s="172"/>
      <c r="I184" s="172"/>
      <c r="J184" s="172"/>
    </row>
    <row r="185" spans="6:10" ht="12.75" customHeight="1">
      <c r="F185" s="172"/>
      <c r="G185" s="172"/>
      <c r="H185" s="172"/>
      <c r="I185" s="172"/>
      <c r="J185" s="172"/>
    </row>
    <row r="186" spans="6:10" ht="12.75" customHeight="1">
      <c r="F186" s="172"/>
      <c r="G186" s="172"/>
      <c r="H186" s="172"/>
      <c r="I186" s="172"/>
      <c r="J186" s="172"/>
    </row>
    <row r="187" spans="6:10" ht="12.75" customHeight="1">
      <c r="F187" s="172"/>
      <c r="G187" s="172"/>
      <c r="H187" s="172"/>
      <c r="I187" s="172"/>
      <c r="J187" s="172"/>
    </row>
    <row r="188" spans="6:10" ht="12.75" customHeight="1">
      <c r="F188" s="172"/>
      <c r="G188" s="172"/>
      <c r="H188" s="172"/>
      <c r="I188" s="172"/>
      <c r="J188" s="172"/>
    </row>
    <row r="189" spans="6:10" ht="12.75" customHeight="1">
      <c r="F189" s="172"/>
      <c r="G189" s="172"/>
      <c r="H189" s="172"/>
      <c r="I189" s="172"/>
      <c r="J189" s="172"/>
    </row>
    <row r="190" spans="6:10" ht="12.75" customHeight="1">
      <c r="F190" s="172"/>
      <c r="G190" s="172"/>
      <c r="H190" s="172"/>
      <c r="I190" s="172"/>
      <c r="J190" s="172"/>
    </row>
    <row r="191" spans="6:10" ht="12.75" customHeight="1">
      <c r="F191" s="172"/>
      <c r="G191" s="172"/>
      <c r="H191" s="172"/>
      <c r="I191" s="172"/>
      <c r="J191" s="172"/>
    </row>
    <row r="192" spans="6:10" ht="12.75" customHeight="1">
      <c r="F192" s="172"/>
      <c r="G192" s="172"/>
      <c r="H192" s="172"/>
      <c r="I192" s="172"/>
      <c r="J192" s="172"/>
    </row>
    <row r="193" spans="6:10" ht="12.75" customHeight="1">
      <c r="F193" s="172"/>
      <c r="G193" s="172"/>
      <c r="H193" s="172"/>
      <c r="I193" s="172"/>
      <c r="J193" s="172"/>
    </row>
    <row r="194" spans="6:10" ht="12.75" customHeight="1">
      <c r="F194" s="172"/>
      <c r="G194" s="172"/>
      <c r="H194" s="172"/>
      <c r="I194" s="172"/>
      <c r="J194" s="172"/>
    </row>
    <row r="195" spans="6:10" ht="12.75" customHeight="1">
      <c r="F195" s="172"/>
      <c r="G195" s="172"/>
      <c r="H195" s="172"/>
      <c r="I195" s="172"/>
      <c r="J195" s="172"/>
    </row>
    <row r="196" spans="6:10" ht="12.75" customHeight="1">
      <c r="F196" s="172"/>
      <c r="G196" s="172"/>
      <c r="H196" s="172"/>
      <c r="I196" s="172"/>
      <c r="J196" s="172"/>
    </row>
    <row r="197" spans="6:10" ht="12.75" customHeight="1">
      <c r="F197" s="172"/>
      <c r="G197" s="172"/>
      <c r="H197" s="172"/>
      <c r="I197" s="172"/>
      <c r="J197" s="172"/>
    </row>
    <row r="198" spans="6:10" ht="12.75" customHeight="1">
      <c r="F198" s="172"/>
      <c r="G198" s="172"/>
      <c r="H198" s="172"/>
      <c r="I198" s="172"/>
      <c r="J198" s="172"/>
    </row>
    <row r="199" spans="6:10" ht="12.75" customHeight="1">
      <c r="F199" s="172"/>
      <c r="G199" s="172"/>
      <c r="H199" s="172"/>
      <c r="I199" s="172"/>
      <c r="J199" s="172"/>
    </row>
    <row r="200" spans="6:10" ht="12.75" customHeight="1">
      <c r="F200" s="172"/>
      <c r="G200" s="172"/>
      <c r="H200" s="172"/>
      <c r="I200" s="172"/>
      <c r="J200" s="172"/>
    </row>
    <row r="201" spans="6:10" ht="12.75" customHeight="1">
      <c r="F201" s="172"/>
      <c r="G201" s="172"/>
      <c r="H201" s="172"/>
      <c r="I201" s="172"/>
      <c r="J201" s="172"/>
    </row>
    <row r="202" spans="6:10" ht="12.75" customHeight="1">
      <c r="F202" s="172"/>
      <c r="G202" s="172"/>
      <c r="H202" s="172"/>
      <c r="I202" s="172"/>
      <c r="J202" s="172"/>
    </row>
    <row r="203" spans="6:10" ht="12.75" customHeight="1">
      <c r="F203" s="172"/>
      <c r="G203" s="172"/>
      <c r="H203" s="172"/>
      <c r="I203" s="172"/>
      <c r="J203" s="172"/>
    </row>
    <row r="204" spans="6:10" ht="12.75" customHeight="1">
      <c r="F204" s="172"/>
      <c r="G204" s="172"/>
      <c r="H204" s="172"/>
      <c r="I204" s="172"/>
      <c r="J204" s="172"/>
    </row>
    <row r="205" spans="6:10" ht="12.75" customHeight="1">
      <c r="F205" s="172"/>
      <c r="G205" s="172"/>
      <c r="H205" s="172"/>
      <c r="I205" s="172"/>
      <c r="J205" s="172"/>
    </row>
    <row r="206" spans="6:10" ht="12.75" customHeight="1">
      <c r="F206" s="172"/>
      <c r="G206" s="172"/>
      <c r="H206" s="172"/>
      <c r="I206" s="172"/>
      <c r="J206" s="172"/>
    </row>
    <row r="207" spans="6:10" ht="12.75" customHeight="1">
      <c r="F207" s="172"/>
      <c r="G207" s="172"/>
      <c r="H207" s="172"/>
      <c r="I207" s="172"/>
      <c r="J207" s="172"/>
    </row>
    <row r="208" spans="6:10" ht="12.75" customHeight="1">
      <c r="F208" s="172"/>
      <c r="G208" s="172"/>
      <c r="H208" s="172"/>
      <c r="I208" s="172"/>
      <c r="J208" s="172"/>
    </row>
    <row r="209" spans="6:10" ht="12.75" customHeight="1">
      <c r="F209" s="172"/>
      <c r="G209" s="172"/>
      <c r="H209" s="172"/>
      <c r="I209" s="172"/>
      <c r="J209" s="172"/>
    </row>
    <row r="210" spans="6:10" ht="12.75" customHeight="1">
      <c r="F210" s="172"/>
      <c r="G210" s="172"/>
      <c r="H210" s="172"/>
      <c r="I210" s="172"/>
      <c r="J210" s="172"/>
    </row>
    <row r="211" spans="6:10" ht="12.75" customHeight="1">
      <c r="F211" s="172"/>
      <c r="G211" s="172"/>
      <c r="H211" s="172"/>
      <c r="I211" s="172"/>
      <c r="J211" s="172"/>
    </row>
    <row r="212" spans="6:10" ht="12.75" customHeight="1">
      <c r="F212" s="172"/>
      <c r="G212" s="172"/>
      <c r="H212" s="172"/>
      <c r="I212" s="172"/>
      <c r="J212" s="172"/>
    </row>
    <row r="213" spans="6:10" ht="12.75" customHeight="1">
      <c r="F213" s="172"/>
      <c r="G213" s="172"/>
      <c r="H213" s="172"/>
      <c r="I213" s="172"/>
      <c r="J213" s="172"/>
    </row>
    <row r="214" spans="6:10" ht="12.75" customHeight="1">
      <c r="F214" s="172"/>
      <c r="G214" s="172"/>
      <c r="H214" s="172"/>
      <c r="I214" s="172"/>
      <c r="J214" s="172"/>
    </row>
    <row r="215" spans="6:10" ht="12.75" customHeight="1">
      <c r="F215" s="172"/>
      <c r="G215" s="172"/>
      <c r="H215" s="172"/>
      <c r="I215" s="172"/>
      <c r="J215" s="172"/>
    </row>
    <row r="216" spans="6:10" ht="12.75" customHeight="1">
      <c r="F216" s="172"/>
      <c r="G216" s="172"/>
      <c r="H216" s="172"/>
      <c r="I216" s="172"/>
      <c r="J216" s="172"/>
    </row>
    <row r="217" spans="6:10" ht="12.75" customHeight="1">
      <c r="F217" s="172"/>
      <c r="G217" s="172"/>
      <c r="H217" s="172"/>
      <c r="I217" s="172"/>
      <c r="J217" s="172"/>
    </row>
    <row r="218" spans="6:10" ht="12.75" customHeight="1">
      <c r="F218" s="172"/>
      <c r="G218" s="172"/>
      <c r="H218" s="172"/>
      <c r="I218" s="172"/>
      <c r="J218" s="172"/>
    </row>
    <row r="219" spans="6:10" ht="12.75" customHeight="1">
      <c r="F219" s="172"/>
      <c r="G219" s="172"/>
      <c r="H219" s="172"/>
      <c r="I219" s="172"/>
      <c r="J219" s="172"/>
    </row>
    <row r="220" spans="6:10" ht="12.75" customHeight="1">
      <c r="F220" s="172"/>
      <c r="G220" s="172"/>
      <c r="H220" s="172"/>
      <c r="I220" s="172"/>
      <c r="J220" s="172"/>
    </row>
    <row r="221" spans="6:10" ht="12.75" customHeight="1">
      <c r="F221" s="172"/>
      <c r="G221" s="172"/>
      <c r="H221" s="172"/>
      <c r="I221" s="172"/>
      <c r="J221" s="172"/>
    </row>
    <row r="222" spans="6:10" ht="12.75" customHeight="1">
      <c r="F222" s="172"/>
      <c r="G222" s="172"/>
      <c r="H222" s="172"/>
      <c r="I222" s="172"/>
      <c r="J222" s="172"/>
    </row>
    <row r="223" spans="6:10" ht="12.75" customHeight="1">
      <c r="F223" s="172"/>
      <c r="G223" s="172"/>
      <c r="H223" s="172"/>
      <c r="I223" s="172"/>
      <c r="J223" s="172"/>
    </row>
    <row r="224" spans="6:10" ht="12.75" customHeight="1">
      <c r="F224" s="172"/>
      <c r="G224" s="172"/>
      <c r="H224" s="172"/>
      <c r="I224" s="172"/>
      <c r="J224" s="172"/>
    </row>
    <row r="225" spans="6:10" ht="12.75" customHeight="1">
      <c r="F225" s="172"/>
      <c r="G225" s="172"/>
      <c r="H225" s="172"/>
      <c r="I225" s="172"/>
      <c r="J225" s="172"/>
    </row>
    <row r="226" spans="6:10" ht="12.75" customHeight="1">
      <c r="F226" s="172"/>
      <c r="G226" s="172"/>
      <c r="H226" s="172"/>
      <c r="I226" s="172"/>
      <c r="J226" s="172"/>
    </row>
    <row r="227" spans="6:10" ht="12.75" customHeight="1">
      <c r="F227" s="172"/>
      <c r="G227" s="172"/>
      <c r="H227" s="172"/>
      <c r="I227" s="172"/>
      <c r="J227" s="172"/>
    </row>
    <row r="228" spans="6:10" ht="12.75" customHeight="1">
      <c r="F228" s="172"/>
      <c r="G228" s="172"/>
      <c r="H228" s="172"/>
      <c r="I228" s="172"/>
      <c r="J228" s="172"/>
    </row>
    <row r="229" spans="6:10" ht="12.75" customHeight="1">
      <c r="F229" s="172"/>
      <c r="G229" s="172"/>
      <c r="H229" s="172"/>
      <c r="I229" s="172"/>
      <c r="J229" s="172"/>
    </row>
    <row r="230" spans="6:10" ht="12.75" customHeight="1">
      <c r="F230" s="172"/>
      <c r="G230" s="172"/>
      <c r="H230" s="172"/>
      <c r="I230" s="172"/>
      <c r="J230" s="172"/>
    </row>
    <row r="231" spans="6:10" ht="12.75" customHeight="1">
      <c r="F231" s="172"/>
      <c r="G231" s="172"/>
      <c r="H231" s="172"/>
      <c r="I231" s="172"/>
      <c r="J231" s="172"/>
    </row>
    <row r="232" spans="6:10" ht="12.75" customHeight="1">
      <c r="F232" s="172"/>
      <c r="G232" s="172"/>
      <c r="H232" s="172"/>
      <c r="I232" s="172"/>
      <c r="J232" s="172"/>
    </row>
    <row r="233" spans="6:10" ht="12.75" customHeight="1">
      <c r="F233" s="172"/>
      <c r="G233" s="172"/>
      <c r="H233" s="172"/>
      <c r="I233" s="172"/>
      <c r="J233" s="172"/>
    </row>
    <row r="234" spans="6:10" ht="12.75" customHeight="1">
      <c r="F234" s="172"/>
      <c r="G234" s="172"/>
      <c r="H234" s="172"/>
      <c r="I234" s="172"/>
      <c r="J234" s="172"/>
    </row>
    <row r="235" spans="6:10" ht="12.75" customHeight="1">
      <c r="F235" s="172"/>
      <c r="G235" s="172"/>
      <c r="H235" s="172"/>
      <c r="I235" s="172"/>
      <c r="J235" s="172"/>
    </row>
    <row r="236" spans="6:10" ht="12.75" customHeight="1">
      <c r="F236" s="172"/>
      <c r="G236" s="172"/>
      <c r="H236" s="172"/>
      <c r="I236" s="172"/>
      <c r="J236" s="172"/>
    </row>
    <row r="237" spans="6:10" ht="12.75" customHeight="1">
      <c r="F237" s="172"/>
      <c r="G237" s="172"/>
      <c r="H237" s="172"/>
      <c r="I237" s="172"/>
      <c r="J237" s="172"/>
    </row>
    <row r="238" spans="6:10" ht="12.75" customHeight="1">
      <c r="F238" s="172"/>
      <c r="G238" s="172"/>
      <c r="H238" s="172"/>
      <c r="I238" s="172"/>
      <c r="J238" s="172"/>
    </row>
    <row r="239" spans="6:10" ht="12.75" customHeight="1">
      <c r="F239" s="172"/>
      <c r="G239" s="172"/>
      <c r="H239" s="172"/>
      <c r="I239" s="172"/>
      <c r="J239" s="172"/>
    </row>
    <row r="240" spans="6:10" ht="12.75" customHeight="1">
      <c r="F240" s="172"/>
      <c r="G240" s="172"/>
      <c r="H240" s="172"/>
      <c r="I240" s="172"/>
      <c r="J240" s="172"/>
    </row>
    <row r="241" spans="6:10" ht="12.75" customHeight="1">
      <c r="F241" s="172"/>
      <c r="G241" s="172"/>
      <c r="H241" s="172"/>
      <c r="I241" s="172"/>
      <c r="J241" s="172"/>
    </row>
    <row r="242" spans="6:10" ht="12.75" customHeight="1">
      <c r="F242" s="172"/>
      <c r="G242" s="172"/>
      <c r="H242" s="172"/>
      <c r="I242" s="172"/>
      <c r="J242" s="172"/>
    </row>
    <row r="243" spans="6:10" ht="12.75" customHeight="1">
      <c r="F243" s="172"/>
      <c r="G243" s="172"/>
      <c r="H243" s="172"/>
      <c r="I243" s="172"/>
      <c r="J243" s="172"/>
    </row>
    <row r="244" spans="6:10" ht="12.75" customHeight="1">
      <c r="F244" s="172"/>
      <c r="G244" s="172"/>
      <c r="H244" s="172"/>
      <c r="I244" s="172"/>
      <c r="J244" s="172"/>
    </row>
    <row r="245" spans="6:10" ht="12.75" customHeight="1">
      <c r="F245" s="172"/>
      <c r="G245" s="172"/>
      <c r="H245" s="172"/>
      <c r="I245" s="172"/>
      <c r="J245" s="172"/>
    </row>
    <row r="246" spans="6:10" ht="12.75" customHeight="1">
      <c r="F246" s="172"/>
      <c r="G246" s="172"/>
      <c r="H246" s="172"/>
      <c r="I246" s="172"/>
      <c r="J246" s="172"/>
    </row>
    <row r="247" spans="6:10" ht="12.75" customHeight="1">
      <c r="F247" s="172"/>
      <c r="G247" s="172"/>
      <c r="H247" s="172"/>
      <c r="I247" s="172"/>
      <c r="J247" s="172"/>
    </row>
    <row r="248" spans="6:10" ht="12.75" customHeight="1">
      <c r="F248" s="172"/>
      <c r="G248" s="172"/>
      <c r="H248" s="172"/>
      <c r="I248" s="172"/>
      <c r="J248" s="172"/>
    </row>
    <row r="249" spans="6:10" ht="12.75" customHeight="1">
      <c r="F249" s="172"/>
      <c r="G249" s="172"/>
      <c r="H249" s="172"/>
      <c r="I249" s="172"/>
      <c r="J249" s="172"/>
    </row>
    <row r="250" spans="6:10" ht="12.75" customHeight="1">
      <c r="F250" s="172"/>
      <c r="G250" s="172"/>
      <c r="H250" s="172"/>
      <c r="I250" s="172"/>
      <c r="J250" s="172"/>
    </row>
    <row r="251" spans="6:10" ht="12.75" customHeight="1">
      <c r="F251" s="172"/>
      <c r="G251" s="172"/>
      <c r="H251" s="172"/>
      <c r="I251" s="172"/>
      <c r="J251" s="172"/>
    </row>
    <row r="252" spans="6:10" ht="12.75" customHeight="1">
      <c r="F252" s="172"/>
      <c r="G252" s="172"/>
      <c r="H252" s="172"/>
      <c r="I252" s="172"/>
      <c r="J252" s="172"/>
    </row>
    <row r="253" spans="6:10" ht="12.75" customHeight="1">
      <c r="F253" s="172"/>
      <c r="G253" s="172"/>
      <c r="H253" s="172"/>
      <c r="I253" s="172"/>
      <c r="J253" s="172"/>
    </row>
    <row r="254" spans="6:10" ht="12.75" customHeight="1">
      <c r="F254" s="172"/>
      <c r="G254" s="172"/>
      <c r="H254" s="172"/>
      <c r="I254" s="172"/>
      <c r="J254" s="172"/>
    </row>
    <row r="255" spans="6:10" ht="12.75" customHeight="1">
      <c r="F255" s="172"/>
      <c r="G255" s="172"/>
      <c r="H255" s="172"/>
      <c r="I255" s="172"/>
      <c r="J255" s="172"/>
    </row>
    <row r="256" spans="6:10" ht="12.75" customHeight="1">
      <c r="F256" s="172"/>
      <c r="G256" s="172"/>
      <c r="H256" s="172"/>
      <c r="I256" s="172"/>
      <c r="J256" s="172"/>
    </row>
    <row r="257" spans="6:10" ht="12.75" customHeight="1">
      <c r="F257" s="172"/>
      <c r="G257" s="172"/>
      <c r="H257" s="172"/>
      <c r="I257" s="172"/>
      <c r="J257" s="172"/>
    </row>
    <row r="258" spans="6:10" ht="12.75" customHeight="1">
      <c r="F258" s="172"/>
      <c r="G258" s="172"/>
      <c r="H258" s="172"/>
      <c r="I258" s="172"/>
      <c r="J258" s="172"/>
    </row>
    <row r="259" spans="6:10" ht="12.75" customHeight="1">
      <c r="F259" s="172"/>
      <c r="G259" s="172"/>
      <c r="H259" s="172"/>
      <c r="I259" s="172"/>
      <c r="J259" s="172"/>
    </row>
    <row r="260" spans="6:10" ht="12.75" customHeight="1">
      <c r="F260" s="172"/>
      <c r="G260" s="172"/>
      <c r="H260" s="172"/>
      <c r="I260" s="172"/>
      <c r="J260" s="172"/>
    </row>
    <row r="261" spans="6:10" ht="12.75" customHeight="1">
      <c r="F261" s="172"/>
      <c r="G261" s="172"/>
      <c r="H261" s="172"/>
      <c r="I261" s="172"/>
      <c r="J261" s="172"/>
    </row>
    <row r="262" spans="6:10" ht="12.75" customHeight="1">
      <c r="F262" s="172"/>
      <c r="G262" s="172"/>
      <c r="H262" s="172"/>
      <c r="I262" s="172"/>
      <c r="J262" s="172"/>
    </row>
    <row r="263" spans="6:10" ht="12.75" customHeight="1">
      <c r="F263" s="172"/>
      <c r="G263" s="172"/>
      <c r="H263" s="172"/>
      <c r="I263" s="172"/>
      <c r="J263" s="172"/>
    </row>
    <row r="264" spans="6:10" ht="12.75" customHeight="1">
      <c r="F264" s="172"/>
      <c r="G264" s="172"/>
      <c r="H264" s="172"/>
      <c r="I264" s="172"/>
      <c r="J264" s="172"/>
    </row>
    <row r="265" spans="6:10" ht="12.75" customHeight="1">
      <c r="F265" s="172"/>
      <c r="G265" s="172"/>
      <c r="H265" s="172"/>
      <c r="I265" s="172"/>
      <c r="J265" s="172"/>
    </row>
    <row r="266" spans="6:10" ht="12.75" customHeight="1">
      <c r="F266" s="172"/>
      <c r="G266" s="172"/>
      <c r="H266" s="172"/>
      <c r="I266" s="172"/>
      <c r="J266" s="172"/>
    </row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</sheetData>
  <mergeCells count="2">
    <mergeCell ref="C3:F3"/>
    <mergeCell ref="K3:P3"/>
  </mergeCells>
  <printOptions/>
  <pageMargins left="0.36" right="0.3" top="0.59" bottom="0.42" header="0.46" footer="0.67"/>
  <pageSetup fitToHeight="1" fitToWidth="1"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workbookViewId="0" topLeftCell="A1">
      <selection activeCell="C25" sqref="C25"/>
    </sheetView>
  </sheetViews>
  <sheetFormatPr defaultColWidth="9.140625" defaultRowHeight="12.75"/>
  <sheetData>
    <row r="18" spans="3:15" ht="12.75" customHeight="1">
      <c r="C18" s="375" t="str">
        <f>+'Historical Analysis'!C1</f>
        <v>Starwood Hotels &amp; Resorts Worldwide Inc. (HOT)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</row>
    <row r="19" spans="3:15" ht="12.75" customHeight="1"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</row>
    <row r="20" spans="3:15" ht="38.25" customHeight="1"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</row>
    <row r="27" spans="6:12" ht="15.75">
      <c r="F27" s="377" t="s">
        <v>275</v>
      </c>
      <c r="G27" s="378"/>
      <c r="H27" s="378"/>
      <c r="I27" s="378"/>
      <c r="J27" s="378"/>
      <c r="K27" s="378"/>
      <c r="L27" s="378"/>
    </row>
  </sheetData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5"/>
  <sheetViews>
    <sheetView tabSelected="1" workbookViewId="0" topLeftCell="A1">
      <selection activeCell="F73" sqref="F73"/>
    </sheetView>
  </sheetViews>
  <sheetFormatPr defaultColWidth="9.140625" defaultRowHeight="12.75"/>
  <cols>
    <col min="1" max="1" width="22.57421875" style="0" customWidth="1"/>
    <col min="2" max="2" width="22.00390625" style="0" customWidth="1"/>
    <col min="3" max="3" width="20.140625" style="0" customWidth="1"/>
    <col min="4" max="4" width="13.421875" style="0" customWidth="1"/>
    <col min="5" max="5" width="12.421875" style="0" customWidth="1"/>
    <col min="6" max="6" width="12.140625" style="0" customWidth="1"/>
    <col min="7" max="7" width="10.7109375" style="0" customWidth="1"/>
    <col min="8" max="8" width="12.8515625" style="0" customWidth="1"/>
    <col min="9" max="9" width="11.421875" style="0" customWidth="1"/>
    <col min="10" max="10" width="13.00390625" style="0" customWidth="1"/>
    <col min="11" max="11" width="9.421875" style="0" customWidth="1"/>
    <col min="12" max="12" width="10.421875" style="0" customWidth="1"/>
  </cols>
  <sheetData>
    <row r="1" ht="12.75">
      <c r="A1" s="2" t="s">
        <v>148</v>
      </c>
    </row>
    <row r="2" ht="12.75">
      <c r="B2" s="2"/>
    </row>
    <row r="3" spans="1:9" ht="20.25">
      <c r="A3" s="177" t="s">
        <v>149</v>
      </c>
      <c r="B3" s="77"/>
      <c r="I3" s="81"/>
    </row>
    <row r="4" spans="1:9" ht="15.75">
      <c r="A4" s="178"/>
      <c r="B4" s="77"/>
      <c r="I4" s="81"/>
    </row>
    <row r="5" spans="1:9" ht="20.25">
      <c r="A5" s="92" t="str">
        <f>+'Historical Analysis'!C1</f>
        <v>Starwood Hotels &amp; Resorts Worldwide Inc. (HOT)</v>
      </c>
      <c r="B5" s="77"/>
      <c r="I5" s="81"/>
    </row>
    <row r="6" ht="8.25" customHeight="1">
      <c r="I6" s="81"/>
    </row>
    <row r="7" spans="1:9" ht="21" customHeight="1">
      <c r="A7" t="s">
        <v>151</v>
      </c>
      <c r="C7" s="323" t="s">
        <v>152</v>
      </c>
      <c r="D7" s="323" t="s">
        <v>153</v>
      </c>
      <c r="E7" s="323" t="s">
        <v>154</v>
      </c>
      <c r="F7" s="323" t="s">
        <v>155</v>
      </c>
      <c r="G7" s="323" t="s">
        <v>267</v>
      </c>
      <c r="H7" s="324" t="s">
        <v>268</v>
      </c>
      <c r="I7" s="179"/>
    </row>
    <row r="8" spans="3:9" ht="9.75" customHeight="1" thickBot="1">
      <c r="C8" s="175"/>
      <c r="D8" s="175"/>
      <c r="E8" s="175"/>
      <c r="F8" s="175"/>
      <c r="G8" s="175"/>
      <c r="H8" s="180"/>
      <c r="I8" s="179"/>
    </row>
    <row r="9" spans="1:9" ht="45.75" customHeight="1" thickBot="1">
      <c r="A9" s="181" t="s">
        <v>157</v>
      </c>
      <c r="B9" s="182" t="s">
        <v>158</v>
      </c>
      <c r="C9" s="183" t="s">
        <v>321</v>
      </c>
      <c r="D9" s="183" t="s">
        <v>280</v>
      </c>
      <c r="E9" s="183" t="s">
        <v>281</v>
      </c>
      <c r="F9" s="184" t="s">
        <v>282</v>
      </c>
      <c r="G9" s="185" t="s">
        <v>283</v>
      </c>
      <c r="H9" s="186" t="s">
        <v>284</v>
      </c>
      <c r="I9" s="81"/>
    </row>
    <row r="10" spans="1:9" ht="15.75" customHeight="1" hidden="1">
      <c r="A10" s="187" t="s">
        <v>159</v>
      </c>
      <c r="B10" s="188" t="s">
        <v>160</v>
      </c>
      <c r="C10" s="189">
        <v>64.37</v>
      </c>
      <c r="D10" s="190">
        <v>32.696</v>
      </c>
      <c r="E10" s="191">
        <f>+D10*C10</f>
        <v>2104.64152</v>
      </c>
      <c r="F10" s="192">
        <f>10.15+318.56</f>
        <v>328.71</v>
      </c>
      <c r="G10" s="193"/>
      <c r="H10" s="194">
        <f>+E10+F10</f>
        <v>2433.35152</v>
      </c>
      <c r="I10" s="81"/>
    </row>
    <row r="11" spans="1:9" ht="15.75" customHeight="1" hidden="1">
      <c r="A11" s="195" t="s">
        <v>161</v>
      </c>
      <c r="B11" s="196" t="s">
        <v>162</v>
      </c>
      <c r="C11" s="197">
        <v>30.76</v>
      </c>
      <c r="D11" s="198">
        <v>74.518</v>
      </c>
      <c r="E11" s="191">
        <f aca="true" t="shared" si="0" ref="E11:E18">+D11*C11</f>
        <v>2292.1736800000003</v>
      </c>
      <c r="F11" s="199">
        <f>4.1+398</f>
        <v>402.1</v>
      </c>
      <c r="G11" s="200"/>
      <c r="H11" s="201">
        <f aca="true" t="shared" si="1" ref="H11:H17">+F11+E11</f>
        <v>2694.2736800000002</v>
      </c>
      <c r="I11" s="81"/>
    </row>
    <row r="12" spans="1:9" ht="15.75" customHeight="1" hidden="1">
      <c r="A12" s="195" t="s">
        <v>163</v>
      </c>
      <c r="B12" s="196" t="s">
        <v>164</v>
      </c>
      <c r="C12" s="197">
        <v>24.35</v>
      </c>
      <c r="D12" s="198">
        <v>380.965</v>
      </c>
      <c r="E12" s="191">
        <f t="shared" si="0"/>
        <v>9276.49775</v>
      </c>
      <c r="F12" s="199">
        <f>14+3633</f>
        <v>3647</v>
      </c>
      <c r="G12" s="200"/>
      <c r="H12" s="201">
        <f t="shared" si="1"/>
        <v>12923.49775</v>
      </c>
      <c r="I12" s="81"/>
    </row>
    <row r="13" spans="1:9" ht="15.75" customHeight="1" hidden="1">
      <c r="A13" s="195" t="s">
        <v>165</v>
      </c>
      <c r="B13" s="196" t="s">
        <v>166</v>
      </c>
      <c r="C13" s="197">
        <v>23.6</v>
      </c>
      <c r="D13" s="198">
        <v>5.253</v>
      </c>
      <c r="E13" s="191">
        <f t="shared" si="0"/>
        <v>123.97080000000001</v>
      </c>
      <c r="F13" s="199">
        <f>739.48+25.72</f>
        <v>765.2</v>
      </c>
      <c r="G13" s="200"/>
      <c r="H13" s="201">
        <f t="shared" si="1"/>
        <v>889.1708000000001</v>
      </c>
      <c r="I13" s="81"/>
    </row>
    <row r="14" spans="1:9" ht="15.75" customHeight="1" hidden="1">
      <c r="A14" s="195" t="s">
        <v>167</v>
      </c>
      <c r="B14" s="196" t="s">
        <v>168</v>
      </c>
      <c r="C14" s="197">
        <v>8.52</v>
      </c>
      <c r="D14" s="198">
        <v>201.8</v>
      </c>
      <c r="E14" s="191">
        <f t="shared" si="0"/>
        <v>1719.336</v>
      </c>
      <c r="F14" s="199">
        <f>115.99+809.62</f>
        <v>925.61</v>
      </c>
      <c r="G14" s="200"/>
      <c r="H14" s="201">
        <f t="shared" si="1"/>
        <v>2644.946</v>
      </c>
      <c r="I14" s="81"/>
    </row>
    <row r="15" spans="1:9" ht="15.75" customHeight="1" hidden="1">
      <c r="A15" s="195" t="s">
        <v>169</v>
      </c>
      <c r="B15" s="197" t="s">
        <v>170</v>
      </c>
      <c r="C15" s="197">
        <v>19.92</v>
      </c>
      <c r="D15" s="198">
        <v>21.282</v>
      </c>
      <c r="E15" s="191">
        <f t="shared" si="0"/>
        <v>423.93744000000004</v>
      </c>
      <c r="F15" s="199">
        <f>27.54+170.89</f>
        <v>198.42999999999998</v>
      </c>
      <c r="G15" s="200"/>
      <c r="H15" s="201">
        <f t="shared" si="1"/>
        <v>622.36744</v>
      </c>
      <c r="I15" s="81"/>
    </row>
    <row r="16" spans="1:9" ht="15.75" customHeight="1" hidden="1">
      <c r="A16" s="195" t="s">
        <v>171</v>
      </c>
      <c r="B16" s="197" t="s">
        <v>172</v>
      </c>
      <c r="C16" s="197">
        <v>67.51</v>
      </c>
      <c r="D16" s="198">
        <v>216.711</v>
      </c>
      <c r="E16" s="191">
        <f t="shared" si="0"/>
        <v>14630.159610000002</v>
      </c>
      <c r="F16" s="199">
        <f>489+836</f>
        <v>1325</v>
      </c>
      <c r="G16" s="200"/>
      <c r="H16" s="201">
        <f t="shared" si="1"/>
        <v>15955.159610000002</v>
      </c>
      <c r="I16" s="81"/>
    </row>
    <row r="17" spans="1:9" ht="15.75" customHeight="1" hidden="1">
      <c r="A17" s="195" t="s">
        <v>173</v>
      </c>
      <c r="B17" s="202" t="s">
        <v>174</v>
      </c>
      <c r="C17" s="197">
        <v>28.92</v>
      </c>
      <c r="D17" s="198">
        <v>31.791</v>
      </c>
      <c r="E17" s="191">
        <f t="shared" si="0"/>
        <v>919.3957200000001</v>
      </c>
      <c r="F17" s="199">
        <f>89.17+537.46</f>
        <v>626.63</v>
      </c>
      <c r="G17" s="200"/>
      <c r="H17" s="201">
        <f t="shared" si="1"/>
        <v>1546.02572</v>
      </c>
      <c r="I17" s="81"/>
    </row>
    <row r="18" spans="1:9" ht="15.75" customHeight="1">
      <c r="A18" s="195" t="s">
        <v>175</v>
      </c>
      <c r="B18" s="202" t="s">
        <v>176</v>
      </c>
      <c r="C18" s="322" t="str">
        <f>+'Yahoo Fin Input'!F2</f>
        <v>51.12</v>
      </c>
      <c r="D18" s="204">
        <v>190650</v>
      </c>
      <c r="E18" s="205">
        <f t="shared" si="0"/>
        <v>9746028</v>
      </c>
      <c r="F18" s="315">
        <f>+'Projected Analysis'!F34</f>
        <v>3222000</v>
      </c>
      <c r="G18" s="315">
        <f>+'Historical Analysis'!E43</f>
        <v>1077000</v>
      </c>
      <c r="H18" s="206">
        <f>+F18+E18-G18</f>
        <v>11891028</v>
      </c>
      <c r="I18" s="81"/>
    </row>
    <row r="19" spans="3:9" ht="5.25" customHeight="1">
      <c r="C19" s="207"/>
      <c r="E19" s="207"/>
      <c r="F19" s="207"/>
      <c r="G19" s="207"/>
      <c r="H19" s="207"/>
      <c r="I19" s="81"/>
    </row>
    <row r="20" ht="13.5" thickBot="1">
      <c r="I20" s="81"/>
    </row>
    <row r="21" spans="1:9" ht="15" thickBot="1">
      <c r="A21" s="208" t="s">
        <v>289</v>
      </c>
      <c r="B21" s="221">
        <f>+H18</f>
        <v>11891028</v>
      </c>
      <c r="I21" s="81"/>
    </row>
    <row r="22" spans="8:9" ht="12.75">
      <c r="H22" s="2"/>
      <c r="I22" s="209"/>
    </row>
    <row r="23" ht="12.75">
      <c r="I23" s="81"/>
    </row>
    <row r="24" ht="20.25">
      <c r="A24" s="177" t="s">
        <v>177</v>
      </c>
    </row>
    <row r="25" ht="14.25" customHeight="1">
      <c r="A25" s="177"/>
    </row>
    <row r="26" ht="18.75" customHeight="1">
      <c r="A26" s="92" t="str">
        <f>+A5</f>
        <v>Starwood Hotels &amp; Resorts Worldwide Inc. (HOT)</v>
      </c>
    </row>
    <row r="27" spans="1:10" ht="11.25" customHeight="1">
      <c r="A27" s="2"/>
      <c r="C27" s="323" t="s">
        <v>152</v>
      </c>
      <c r="D27" s="323" t="s">
        <v>153</v>
      </c>
      <c r="E27" s="323" t="s">
        <v>154</v>
      </c>
      <c r="F27" s="323" t="s">
        <v>155</v>
      </c>
      <c r="G27" s="323" t="s">
        <v>267</v>
      </c>
      <c r="H27" s="324" t="s">
        <v>268</v>
      </c>
      <c r="I27" s="323" t="s">
        <v>178</v>
      </c>
      <c r="J27" s="323" t="s">
        <v>179</v>
      </c>
    </row>
    <row r="28" spans="1:7" ht="9" customHeight="1" thickBot="1">
      <c r="A28" s="2"/>
      <c r="C28" s="175"/>
      <c r="D28" s="175"/>
      <c r="E28" s="175"/>
      <c r="F28" s="175"/>
      <c r="G28" s="175"/>
    </row>
    <row r="29" spans="1:11" ht="39" thickBot="1">
      <c r="A29" s="181" t="s">
        <v>157</v>
      </c>
      <c r="B29" s="344" t="s">
        <v>158</v>
      </c>
      <c r="C29" s="183" t="str">
        <f>+C9</f>
        <v>Stock Price 
(as of 11/3/11)</v>
      </c>
      <c r="D29" s="183" t="s">
        <v>280</v>
      </c>
      <c r="E29" s="183" t="s">
        <v>281</v>
      </c>
      <c r="F29" s="184" t="s">
        <v>282</v>
      </c>
      <c r="G29" s="185" t="s">
        <v>283</v>
      </c>
      <c r="H29" s="186" t="s">
        <v>284</v>
      </c>
      <c r="I29" s="184" t="s">
        <v>310</v>
      </c>
      <c r="J29" s="210" t="s">
        <v>180</v>
      </c>
      <c r="K29" s="329" t="s">
        <v>276</v>
      </c>
    </row>
    <row r="30" spans="1:11" ht="12.75">
      <c r="A30" s="187" t="s">
        <v>159</v>
      </c>
      <c r="B30" s="211" t="s">
        <v>160</v>
      </c>
      <c r="C30" s="212">
        <v>25.44</v>
      </c>
      <c r="D30" s="338">
        <v>59270</v>
      </c>
      <c r="E30" s="205">
        <f aca="true" t="shared" si="2" ref="E30:E39">+D30*C30</f>
        <v>1507828.8</v>
      </c>
      <c r="F30" s="334">
        <v>252500</v>
      </c>
      <c r="G30" s="336">
        <v>90960</v>
      </c>
      <c r="H30" s="305">
        <f aca="true" t="shared" si="3" ref="H30:H36">+E30+F30-G30</f>
        <v>1669368.8</v>
      </c>
      <c r="I30" s="334">
        <v>176410</v>
      </c>
      <c r="J30" s="213">
        <f aca="true" t="shared" si="4" ref="J30:J39">+H30/I30</f>
        <v>9.463005498554503</v>
      </c>
      <c r="K30" s="340">
        <v>0.68</v>
      </c>
    </row>
    <row r="31" spans="1:11" ht="12.75">
      <c r="A31" s="187" t="s">
        <v>312</v>
      </c>
      <c r="B31" s="211" t="s">
        <v>313</v>
      </c>
      <c r="C31" s="212">
        <v>37.46</v>
      </c>
      <c r="D31" s="338">
        <v>165130</v>
      </c>
      <c r="E31" s="205">
        <f>+D31*C31</f>
        <v>6185769.8</v>
      </c>
      <c r="F31" s="334">
        <v>769000</v>
      </c>
      <c r="G31" s="336">
        <v>1400000</v>
      </c>
      <c r="H31" s="305">
        <f>+E31+F31-G31</f>
        <v>5554769.8</v>
      </c>
      <c r="I31" s="334">
        <v>386000</v>
      </c>
      <c r="J31" s="213">
        <f>+H31/I31</f>
        <v>14.390595336787564</v>
      </c>
      <c r="K31" s="340"/>
    </row>
    <row r="32" spans="1:11" ht="12.75">
      <c r="A32" s="195" t="s">
        <v>181</v>
      </c>
      <c r="B32" s="214" t="s">
        <v>182</v>
      </c>
      <c r="C32" s="203">
        <v>18.21</v>
      </c>
      <c r="D32" s="339">
        <v>290000</v>
      </c>
      <c r="E32" s="205">
        <f t="shared" si="2"/>
        <v>5280900</v>
      </c>
      <c r="F32" s="335">
        <v>858000</v>
      </c>
      <c r="G32" s="337">
        <v>55000</v>
      </c>
      <c r="H32" s="305">
        <f t="shared" si="3"/>
        <v>6083900</v>
      </c>
      <c r="I32" s="335">
        <v>575000</v>
      </c>
      <c r="J32" s="213">
        <f t="shared" si="4"/>
        <v>10.580695652173914</v>
      </c>
      <c r="K32" s="340">
        <v>1.57</v>
      </c>
    </row>
    <row r="33" spans="1:11" ht="12.75">
      <c r="A33" s="195" t="s">
        <v>169</v>
      </c>
      <c r="B33" s="215" t="s">
        <v>170</v>
      </c>
      <c r="C33" s="203">
        <v>12.37</v>
      </c>
      <c r="D33" s="339">
        <v>29240</v>
      </c>
      <c r="E33" s="205">
        <f t="shared" si="2"/>
        <v>361698.8</v>
      </c>
      <c r="F33" s="335">
        <v>196060</v>
      </c>
      <c r="G33" s="337">
        <v>7070</v>
      </c>
      <c r="H33" s="305">
        <f t="shared" si="3"/>
        <v>550688.8</v>
      </c>
      <c r="I33" s="335">
        <v>71860</v>
      </c>
      <c r="J33" s="213">
        <f t="shared" si="4"/>
        <v>7.66335652657946</v>
      </c>
      <c r="K33" s="340">
        <v>1.59</v>
      </c>
    </row>
    <row r="34" spans="1:11" ht="12.75">
      <c r="A34" s="195" t="s">
        <v>171</v>
      </c>
      <c r="B34" s="215" t="s">
        <v>172</v>
      </c>
      <c r="C34" s="203">
        <v>32.2</v>
      </c>
      <c r="D34" s="339">
        <v>252900</v>
      </c>
      <c r="E34" s="205">
        <f t="shared" si="2"/>
        <v>8143380.000000001</v>
      </c>
      <c r="F34" s="335">
        <v>2920000</v>
      </c>
      <c r="G34" s="337">
        <v>117000</v>
      </c>
      <c r="H34" s="305">
        <f t="shared" si="3"/>
        <v>10946380</v>
      </c>
      <c r="I34" s="335">
        <v>1020000</v>
      </c>
      <c r="J34" s="213">
        <f t="shared" si="4"/>
        <v>10.731745098039216</v>
      </c>
      <c r="K34" s="340">
        <v>1.6</v>
      </c>
    </row>
    <row r="35" spans="1:11" ht="12.75">
      <c r="A35" s="195" t="s">
        <v>277</v>
      </c>
      <c r="B35" s="215" t="s">
        <v>278</v>
      </c>
      <c r="C35" s="203">
        <v>6.48</v>
      </c>
      <c r="D35" s="339">
        <v>30520</v>
      </c>
      <c r="E35" s="205">
        <f t="shared" si="2"/>
        <v>197769.6</v>
      </c>
      <c r="F35" s="335">
        <v>534860</v>
      </c>
      <c r="G35" s="337">
        <v>109590</v>
      </c>
      <c r="H35" s="305">
        <f t="shared" si="3"/>
        <v>623039.6</v>
      </c>
      <c r="I35" s="335">
        <v>18720</v>
      </c>
      <c r="J35" s="213">
        <f t="shared" si="4"/>
        <v>33.282029914529915</v>
      </c>
      <c r="K35" s="340">
        <v>3.01</v>
      </c>
    </row>
    <row r="36" spans="1:11" ht="12.75">
      <c r="A36" s="195" t="s">
        <v>173</v>
      </c>
      <c r="B36" s="216" t="s">
        <v>174</v>
      </c>
      <c r="C36" s="203">
        <v>8.93</v>
      </c>
      <c r="D36" s="339">
        <v>102600</v>
      </c>
      <c r="E36" s="205">
        <f t="shared" si="2"/>
        <v>916218</v>
      </c>
      <c r="F36" s="335">
        <v>715610</v>
      </c>
      <c r="G36" s="337">
        <v>113000</v>
      </c>
      <c r="H36" s="305">
        <f t="shared" si="3"/>
        <v>1518828</v>
      </c>
      <c r="I36" s="335">
        <v>81150</v>
      </c>
      <c r="J36" s="213">
        <f t="shared" si="4"/>
        <v>18.71630314232902</v>
      </c>
      <c r="K36" s="340">
        <v>3</v>
      </c>
    </row>
    <row r="37" spans="1:11" ht="13.5" thickBot="1">
      <c r="A37" s="367" t="s">
        <v>315</v>
      </c>
      <c r="B37" s="350" t="s">
        <v>314</v>
      </c>
      <c r="C37" s="368">
        <v>33.98</v>
      </c>
      <c r="D37" s="369">
        <v>163790</v>
      </c>
      <c r="E37" s="370">
        <f>+D37*C37</f>
        <v>5565584.199999999</v>
      </c>
      <c r="F37" s="371">
        <v>3750000</v>
      </c>
      <c r="G37" s="372">
        <v>298600</v>
      </c>
      <c r="H37" s="373">
        <f>+E37+F37-G37</f>
        <v>9016984.2</v>
      </c>
      <c r="I37" s="371">
        <v>1010000</v>
      </c>
      <c r="J37" s="374">
        <f>+H37/I37</f>
        <v>8.927707128712871</v>
      </c>
      <c r="K37" s="341">
        <v>3.45</v>
      </c>
    </row>
    <row r="38" ht="13.5" thickBot="1"/>
    <row r="39" spans="1:11" ht="13.5" thickBot="1">
      <c r="A39" s="358" t="s">
        <v>175</v>
      </c>
      <c r="B39" s="359" t="s">
        <v>176</v>
      </c>
      <c r="C39" s="360" t="str">
        <f>+C18</f>
        <v>51.12</v>
      </c>
      <c r="D39" s="361">
        <f>+D18</f>
        <v>190650</v>
      </c>
      <c r="E39" s="361">
        <f t="shared" si="2"/>
        <v>9746028</v>
      </c>
      <c r="F39" s="362">
        <f>+F18</f>
        <v>3222000</v>
      </c>
      <c r="G39" s="363">
        <f>+G18</f>
        <v>1077000</v>
      </c>
      <c r="H39" s="364">
        <f>+F39+E39-G39</f>
        <v>11891028</v>
      </c>
      <c r="I39" s="362">
        <f>+'Projected Analysis'!K40</f>
        <v>887627.8399999999</v>
      </c>
      <c r="J39" s="365">
        <f t="shared" si="4"/>
        <v>13.396411721380892</v>
      </c>
      <c r="K39" s="366">
        <v>2.15</v>
      </c>
    </row>
    <row r="40" spans="1:10" ht="12.75">
      <c r="A40" s="2"/>
      <c r="C40" s="207"/>
      <c r="D40" s="207"/>
      <c r="J40" s="217"/>
    </row>
    <row r="41" spans="1:11" ht="12.75">
      <c r="A41" s="2"/>
      <c r="I41" s="2" t="s">
        <v>125</v>
      </c>
      <c r="J41" s="218">
        <f>AVERAGE(J30:J37)</f>
        <v>14.219429787213308</v>
      </c>
      <c r="K41" s="218">
        <f>AVERAGE(K30:K39)</f>
        <v>2.1312499999999996</v>
      </c>
    </row>
    <row r="42" spans="1:10" ht="12.75">
      <c r="A42" s="2" t="s">
        <v>183</v>
      </c>
      <c r="B42" s="219">
        <f>+I39</f>
        <v>887627.8399999999</v>
      </c>
      <c r="C42" s="220">
        <f>+J42</f>
        <v>12.13500864276618</v>
      </c>
      <c r="E42" s="2"/>
      <c r="F42" s="218"/>
      <c r="G42" s="218"/>
      <c r="I42" t="s">
        <v>311</v>
      </c>
      <c r="J42" s="218">
        <f>+(J30+J31+J32+J34+J36+J37)/6</f>
        <v>12.13500864276618</v>
      </c>
    </row>
    <row r="43" spans="1:9" ht="13.5" thickBot="1">
      <c r="A43" s="2"/>
      <c r="E43" s="2"/>
      <c r="F43" s="218"/>
      <c r="G43" s="218"/>
      <c r="I43" t="s">
        <v>318</v>
      </c>
    </row>
    <row r="44" spans="1:2" ht="15" thickBot="1">
      <c r="A44" s="208" t="s">
        <v>289</v>
      </c>
      <c r="B44" s="221">
        <f>+B42*C42</f>
        <v>10771371.509959875</v>
      </c>
    </row>
    <row r="45" ht="12.75">
      <c r="B45" s="2"/>
    </row>
    <row r="46" spans="2:8" ht="12.75">
      <c r="B46" s="2"/>
      <c r="G46" s="2"/>
      <c r="H46" s="2"/>
    </row>
    <row r="47" ht="20.25">
      <c r="A47" s="92" t="s">
        <v>184</v>
      </c>
    </row>
    <row r="48" ht="15.75" customHeight="1">
      <c r="A48" s="222"/>
    </row>
    <row r="49" ht="15.75" customHeight="1">
      <c r="A49" s="92" t="str">
        <f>+A26</f>
        <v>Starwood Hotels &amp; Resorts Worldwide Inc. (HOT)</v>
      </c>
    </row>
    <row r="50" ht="4.5" customHeight="1"/>
    <row r="51" spans="1:14" ht="21" customHeight="1">
      <c r="A51" t="s">
        <v>151</v>
      </c>
      <c r="D51" s="323" t="s">
        <v>185</v>
      </c>
      <c r="E51" s="323" t="s">
        <v>153</v>
      </c>
      <c r="F51" s="323" t="s">
        <v>186</v>
      </c>
      <c r="G51" s="323" t="s">
        <v>155</v>
      </c>
      <c r="H51" s="323" t="s">
        <v>156</v>
      </c>
      <c r="I51" s="323" t="s">
        <v>178</v>
      </c>
      <c r="J51" s="323" t="s">
        <v>179</v>
      </c>
      <c r="L51" s="175"/>
      <c r="M51" s="175"/>
      <c r="N51" s="175"/>
    </row>
    <row r="52" spans="4:14" ht="11.25" customHeight="1" thickBot="1">
      <c r="D52" s="175"/>
      <c r="E52" s="175"/>
      <c r="F52" s="175"/>
      <c r="G52" s="175"/>
      <c r="H52" s="175"/>
      <c r="I52" s="223"/>
      <c r="J52" s="175"/>
      <c r="K52" s="175"/>
      <c r="L52" s="175"/>
      <c r="M52" s="175"/>
      <c r="N52" s="175"/>
    </row>
    <row r="53" spans="1:12" ht="39" thickBot="1">
      <c r="A53" s="224" t="s">
        <v>187</v>
      </c>
      <c r="B53" s="183" t="s">
        <v>188</v>
      </c>
      <c r="C53" s="183" t="s">
        <v>189</v>
      </c>
      <c r="D53" s="183" t="s">
        <v>190</v>
      </c>
      <c r="E53" s="183" t="s">
        <v>191</v>
      </c>
      <c r="F53" s="183" t="s">
        <v>192</v>
      </c>
      <c r="G53" s="183" t="s">
        <v>193</v>
      </c>
      <c r="H53" s="183" t="s">
        <v>194</v>
      </c>
      <c r="I53" s="183" t="s">
        <v>195</v>
      </c>
      <c r="J53" s="225" t="s">
        <v>180</v>
      </c>
      <c r="K53" s="81"/>
      <c r="L53" s="81"/>
    </row>
    <row r="54" spans="1:12" ht="22.5" customHeight="1">
      <c r="A54" s="226">
        <f>+'[1]Method #3'!A10</f>
        <v>39267</v>
      </c>
      <c r="B54" s="227" t="str">
        <f>+'[1]Method #3'!B10</f>
        <v>Hilton Hotels</v>
      </c>
      <c r="C54" s="227" t="str">
        <f>+'[1]Method #3'!C10</f>
        <v>Blackstone Group</v>
      </c>
      <c r="D54" s="228">
        <f>+'[1]Method #3'!D10</f>
        <v>47.5</v>
      </c>
      <c r="E54" s="229">
        <f>+'[1]Method #3'!E10</f>
        <v>390400000</v>
      </c>
      <c r="F54" s="230">
        <f>+'[1]Method #3'!F10</f>
        <v>18544</v>
      </c>
      <c r="G54" s="228">
        <f>+'[1]Method #3'!G10</f>
        <v>6180</v>
      </c>
      <c r="H54" s="230">
        <f>+'[1]Method #3'!H10</f>
        <v>24724</v>
      </c>
      <c r="I54" s="230">
        <f>+'[1]Method #3'!I10</f>
        <v>1680</v>
      </c>
      <c r="J54" s="231">
        <f>+'[1]Method #3'!J10</f>
        <v>14.716666666666667</v>
      </c>
      <c r="K54" s="81"/>
      <c r="L54" s="81"/>
    </row>
    <row r="55" spans="1:12" ht="38.25" customHeight="1">
      <c r="A55" s="226">
        <v>39027</v>
      </c>
      <c r="B55" s="227" t="s">
        <v>196</v>
      </c>
      <c r="C55" s="227" t="s">
        <v>197</v>
      </c>
      <c r="D55" s="228">
        <v>82</v>
      </c>
      <c r="E55" s="229">
        <v>33078000</v>
      </c>
      <c r="F55" s="230">
        <v>3300</v>
      </c>
      <c r="G55" s="228">
        <f>273.825+4.853</f>
        <v>278.678</v>
      </c>
      <c r="H55" s="230">
        <f>+G55+F55</f>
        <v>3578.678</v>
      </c>
      <c r="I55" s="230">
        <f>+H55/31.9</f>
        <v>112.18426332288401</v>
      </c>
      <c r="J55" s="231">
        <f>+H55/I55</f>
        <v>31.900000000000002</v>
      </c>
      <c r="K55" s="81"/>
      <c r="L55" s="81"/>
    </row>
    <row r="56" spans="1:12" ht="20.25" customHeight="1">
      <c r="A56" s="232" t="s">
        <v>198</v>
      </c>
      <c r="B56" s="233" t="s">
        <v>199</v>
      </c>
      <c r="C56" s="233" t="s">
        <v>200</v>
      </c>
      <c r="D56" s="234">
        <v>45</v>
      </c>
      <c r="E56" s="235">
        <f>+F56/D56*1000000</f>
        <v>73333333.33333333</v>
      </c>
      <c r="F56" s="236">
        <v>3300</v>
      </c>
      <c r="G56" s="234">
        <v>123.5</v>
      </c>
      <c r="H56" s="236">
        <f>+G56+F56</f>
        <v>3423.5</v>
      </c>
      <c r="I56" s="236">
        <v>187.2</v>
      </c>
      <c r="J56" s="237">
        <f>+H56/I56</f>
        <v>18.287927350427353</v>
      </c>
      <c r="K56" s="81"/>
      <c r="L56" s="81"/>
    </row>
    <row r="57" spans="1:12" ht="20.25" customHeight="1">
      <c r="A57" s="232">
        <v>38727</v>
      </c>
      <c r="B57" s="233" t="s">
        <v>201</v>
      </c>
      <c r="C57" s="233" t="s">
        <v>202</v>
      </c>
      <c r="D57" s="234"/>
      <c r="E57" s="235"/>
      <c r="F57" s="236">
        <v>5578</v>
      </c>
      <c r="G57" s="234">
        <v>0</v>
      </c>
      <c r="H57" s="236">
        <f>+G57+F57</f>
        <v>5578</v>
      </c>
      <c r="I57" s="236">
        <v>504</v>
      </c>
      <c r="J57" s="237">
        <f aca="true" t="shared" si="5" ref="J57:J66">+H57/I57</f>
        <v>11.067460317460318</v>
      </c>
      <c r="K57" s="81"/>
      <c r="L57" s="81"/>
    </row>
    <row r="58" spans="1:12" ht="20.25" customHeight="1">
      <c r="A58" s="232" t="s">
        <v>203</v>
      </c>
      <c r="B58" s="238" t="s">
        <v>204</v>
      </c>
      <c r="C58" s="233" t="s">
        <v>205</v>
      </c>
      <c r="D58" s="234"/>
      <c r="E58" s="235"/>
      <c r="F58" s="236"/>
      <c r="G58" s="234"/>
      <c r="H58" s="236">
        <v>4096</v>
      </c>
      <c r="I58" s="236">
        <f>+H58/13</f>
        <v>315.0769230769231</v>
      </c>
      <c r="J58" s="237">
        <f t="shared" si="5"/>
        <v>13</v>
      </c>
      <c r="K58" s="81"/>
      <c r="L58" s="81"/>
    </row>
    <row r="59" spans="1:12" ht="20.25" customHeight="1">
      <c r="A59" s="232">
        <v>38649</v>
      </c>
      <c r="B59" s="239" t="s">
        <v>167</v>
      </c>
      <c r="C59" s="233"/>
      <c r="D59" s="234">
        <v>12.22</v>
      </c>
      <c r="E59" s="235">
        <v>202.5</v>
      </c>
      <c r="F59" s="236">
        <v>2474</v>
      </c>
      <c r="G59" s="234">
        <v>925.71</v>
      </c>
      <c r="H59" s="236">
        <v>3400</v>
      </c>
      <c r="I59" s="236">
        <v>229.7</v>
      </c>
      <c r="J59" s="237">
        <v>14.8</v>
      </c>
      <c r="K59" s="81"/>
      <c r="L59" s="81"/>
    </row>
    <row r="60" spans="1:12" ht="20.25" customHeight="1">
      <c r="A60" s="238">
        <v>38580</v>
      </c>
      <c r="B60" s="233" t="s">
        <v>206</v>
      </c>
      <c r="C60" s="233" t="s">
        <v>207</v>
      </c>
      <c r="D60" s="234">
        <v>1.15</v>
      </c>
      <c r="E60" s="235">
        <v>172053000</v>
      </c>
      <c r="F60" s="236">
        <f>+E60*D60/1000000</f>
        <v>197.86094999999997</v>
      </c>
      <c r="G60" s="234">
        <v>2681.96</v>
      </c>
      <c r="H60" s="236">
        <f>+G60+F60</f>
        <v>2879.82095</v>
      </c>
      <c r="I60" s="236">
        <v>275.18</v>
      </c>
      <c r="J60" s="237">
        <f t="shared" si="5"/>
        <v>10.465226215567991</v>
      </c>
      <c r="K60" s="81"/>
      <c r="L60" s="81"/>
    </row>
    <row r="61" spans="1:12" ht="20.25" customHeight="1">
      <c r="A61" s="238">
        <v>38572</v>
      </c>
      <c r="B61" s="233" t="s">
        <v>165</v>
      </c>
      <c r="C61" s="233" t="s">
        <v>208</v>
      </c>
      <c r="D61" s="234">
        <v>24</v>
      </c>
      <c r="E61" s="235">
        <v>19583</v>
      </c>
      <c r="F61" s="236">
        <v>470</v>
      </c>
      <c r="G61" s="234">
        <v>765.2</v>
      </c>
      <c r="H61" s="236">
        <v>1235</v>
      </c>
      <c r="I61" s="236">
        <v>123.07</v>
      </c>
      <c r="J61" s="237">
        <v>10</v>
      </c>
      <c r="K61" s="81"/>
      <c r="L61" s="81"/>
    </row>
    <row r="62" spans="1:12" ht="20.25" customHeight="1">
      <c r="A62" s="232" t="s">
        <v>209</v>
      </c>
      <c r="B62" s="233" t="s">
        <v>210</v>
      </c>
      <c r="C62" s="233" t="s">
        <v>211</v>
      </c>
      <c r="D62" s="234"/>
      <c r="E62" s="235"/>
      <c r="F62" s="236"/>
      <c r="G62" s="234"/>
      <c r="H62" s="236">
        <v>1028.9</v>
      </c>
      <c r="I62" s="236">
        <f>+H62/11.3</f>
        <v>91.05309734513274</v>
      </c>
      <c r="J62" s="237">
        <f t="shared" si="5"/>
        <v>11.3</v>
      </c>
      <c r="K62" s="81"/>
      <c r="L62" s="81"/>
    </row>
    <row r="63" spans="1:12" ht="20.25" customHeight="1">
      <c r="A63" s="232" t="s">
        <v>212</v>
      </c>
      <c r="B63" s="233" t="s">
        <v>213</v>
      </c>
      <c r="C63" s="233" t="s">
        <v>214</v>
      </c>
      <c r="D63" s="234"/>
      <c r="E63" s="235"/>
      <c r="F63" s="236"/>
      <c r="G63" s="234"/>
      <c r="H63" s="236">
        <v>981</v>
      </c>
      <c r="I63" s="236">
        <f>+H63/9.2</f>
        <v>106.6304347826087</v>
      </c>
      <c r="J63" s="237">
        <f t="shared" si="5"/>
        <v>9.2</v>
      </c>
      <c r="K63" s="81"/>
      <c r="L63" s="81"/>
    </row>
    <row r="64" spans="1:12" ht="18.75" customHeight="1">
      <c r="A64" s="240" t="s">
        <v>215</v>
      </c>
      <c r="B64" s="233" t="s">
        <v>216</v>
      </c>
      <c r="C64" s="233" t="s">
        <v>207</v>
      </c>
      <c r="D64" s="234">
        <v>24</v>
      </c>
      <c r="E64" s="235">
        <v>40284000</v>
      </c>
      <c r="F64" s="236">
        <f>+E64*D64/1000000</f>
        <v>966.816</v>
      </c>
      <c r="G64" s="234">
        <v>217.29</v>
      </c>
      <c r="H64" s="236">
        <f>+G64+F64</f>
        <v>1184.106</v>
      </c>
      <c r="I64" s="236">
        <v>90.07</v>
      </c>
      <c r="J64" s="237">
        <f t="shared" si="5"/>
        <v>13.14650827134451</v>
      </c>
      <c r="K64" s="81"/>
      <c r="L64" s="81"/>
    </row>
    <row r="65" spans="1:12" ht="18.75" customHeight="1">
      <c r="A65" s="241" t="s">
        <v>217</v>
      </c>
      <c r="B65" s="242" t="s">
        <v>218</v>
      </c>
      <c r="C65" s="242" t="s">
        <v>207</v>
      </c>
      <c r="D65" s="243">
        <v>12.25</v>
      </c>
      <c r="E65" s="244">
        <v>44808000</v>
      </c>
      <c r="F65" s="245">
        <f>+E65*D65/1000000</f>
        <v>548.898</v>
      </c>
      <c r="G65" s="243">
        <v>243.6</v>
      </c>
      <c r="H65" s="245">
        <f>+G65+F65</f>
        <v>792.498</v>
      </c>
      <c r="I65" s="245">
        <v>55.12</v>
      </c>
      <c r="J65" s="246">
        <f t="shared" si="5"/>
        <v>14.37768505079826</v>
      </c>
      <c r="K65" s="81"/>
      <c r="L65" s="81"/>
    </row>
    <row r="66" spans="1:12" ht="18.75" customHeight="1" thickBot="1">
      <c r="A66" s="247" t="s">
        <v>219</v>
      </c>
      <c r="B66" s="248" t="s">
        <v>220</v>
      </c>
      <c r="C66" s="248" t="s">
        <v>207</v>
      </c>
      <c r="D66" s="249">
        <v>19.93</v>
      </c>
      <c r="E66" s="250">
        <v>95077000</v>
      </c>
      <c r="F66" s="251">
        <f>+E66*D66/1000000</f>
        <v>1894.88461</v>
      </c>
      <c r="G66" s="249">
        <v>1231.5</v>
      </c>
      <c r="H66" s="251">
        <f>+G66+F66</f>
        <v>3126.38461</v>
      </c>
      <c r="I66" s="251">
        <v>224.85</v>
      </c>
      <c r="J66" s="252">
        <f t="shared" si="5"/>
        <v>13.904312252612854</v>
      </c>
      <c r="K66" s="81"/>
      <c r="L66" s="81"/>
    </row>
    <row r="67" spans="1:12" ht="12.75" customHeight="1">
      <c r="A67" s="253" t="s">
        <v>221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4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1:14" ht="12.75">
      <c r="A69" s="81"/>
      <c r="B69" s="81"/>
      <c r="C69" s="81"/>
      <c r="D69" s="81"/>
      <c r="E69" s="81"/>
      <c r="F69" s="81"/>
      <c r="G69" s="81"/>
      <c r="H69" s="81"/>
      <c r="I69" s="2" t="s">
        <v>125</v>
      </c>
      <c r="J69" s="218">
        <f>AVERAGE(J54:J66)</f>
        <v>14.32044508652907</v>
      </c>
      <c r="K69" s="254"/>
      <c r="L69" s="81"/>
      <c r="M69" s="81"/>
      <c r="N69" s="81"/>
    </row>
    <row r="70" spans="2:10" ht="12.75">
      <c r="B70" s="2"/>
      <c r="I70" t="s">
        <v>222</v>
      </c>
      <c r="J70" s="218">
        <f>+(J54+SUM(J56:J62)+SUM(J64:J66))/11</f>
        <v>13.187798738625268</v>
      </c>
    </row>
    <row r="71" spans="2:4" ht="12.75">
      <c r="B71" s="2" t="s">
        <v>183</v>
      </c>
      <c r="C71" s="219">
        <f>+B42</f>
        <v>887627.8399999999</v>
      </c>
      <c r="D71" s="220">
        <f>+J70</f>
        <v>13.187798738625268</v>
      </c>
    </row>
    <row r="72" ht="13.5" thickBot="1">
      <c r="B72" s="2"/>
    </row>
    <row r="73" spans="2:3" ht="15" thickBot="1">
      <c r="B73" s="208" t="s">
        <v>289</v>
      </c>
      <c r="C73" s="221">
        <f>+C71*D71</f>
        <v>11705857.308720669</v>
      </c>
    </row>
    <row r="74" ht="12.75">
      <c r="B74" s="2"/>
    </row>
    <row r="75" ht="12.75">
      <c r="B75" s="2"/>
    </row>
    <row r="76" ht="12.75">
      <c r="B76" s="2"/>
    </row>
    <row r="77" ht="20.25">
      <c r="B77" s="92" t="s">
        <v>223</v>
      </c>
    </row>
    <row r="78" ht="10.5" customHeight="1">
      <c r="B78" s="92"/>
    </row>
    <row r="79" spans="1:2" ht="20.25">
      <c r="A79">
        <v>6</v>
      </c>
      <c r="B79" s="92" t="str">
        <f>+A5</f>
        <v>Starwood Hotels &amp; Resorts Worldwide Inc. (HOT)</v>
      </c>
    </row>
    <row r="80" spans="1:10" ht="21" thickBot="1">
      <c r="A80">
        <f>+A79+1</f>
        <v>7</v>
      </c>
      <c r="B80" s="92"/>
      <c r="D80" s="313" t="s">
        <v>317</v>
      </c>
      <c r="E80" s="311">
        <v>1</v>
      </c>
      <c r="F80" s="311">
        <v>2</v>
      </c>
      <c r="G80" s="311">
        <v>3</v>
      </c>
      <c r="H80" s="311">
        <v>4</v>
      </c>
      <c r="I80" s="311">
        <v>5</v>
      </c>
      <c r="J80" s="312">
        <v>6</v>
      </c>
    </row>
    <row r="81" spans="1:10" ht="12.75">
      <c r="A81">
        <f aca="true" t="shared" si="6" ref="A81:A88">+A80+1</f>
        <v>8</v>
      </c>
      <c r="B81" t="s">
        <v>224</v>
      </c>
      <c r="C81" s="314" t="s">
        <v>266</v>
      </c>
      <c r="D81" s="255" t="s">
        <v>225</v>
      </c>
      <c r="I81" s="255" t="s">
        <v>226</v>
      </c>
      <c r="J81" s="354"/>
    </row>
    <row r="82" spans="1:10" ht="13.5" thickBot="1">
      <c r="A82">
        <f t="shared" si="6"/>
        <v>9</v>
      </c>
      <c r="C82" s="343" t="s">
        <v>227</v>
      </c>
      <c r="D82" s="342">
        <f>+'Projected Analysis'!F5</f>
        <v>40724</v>
      </c>
      <c r="E82" s="256">
        <f>+'Projected Analysis'!K5</f>
        <v>40908</v>
      </c>
      <c r="F82" s="256">
        <f>+'Projected Analysis'!L5</f>
        <v>41273</v>
      </c>
      <c r="G82" s="256">
        <f>+'Projected Analysis'!M5</f>
        <v>41638</v>
      </c>
      <c r="H82" s="256">
        <f>+'Projected Analysis'!N5</f>
        <v>42003</v>
      </c>
      <c r="I82" s="257">
        <f>+'Projected Analysis'!O5</f>
        <v>42369</v>
      </c>
      <c r="J82" s="355">
        <f>+'Projected Analysis'!P5</f>
        <v>42734</v>
      </c>
    </row>
    <row r="83" spans="1:10" ht="12.75">
      <c r="A83">
        <f t="shared" si="6"/>
        <v>10</v>
      </c>
      <c r="B83" t="s">
        <v>228</v>
      </c>
      <c r="C83" s="258"/>
      <c r="D83" s="259">
        <f>+'Projected Analysis'!F7</f>
        <v>5316000</v>
      </c>
      <c r="E83" s="260">
        <f>+'Projected Analysis'!K7</f>
        <v>5547674</v>
      </c>
      <c r="F83" s="260">
        <f>+'Projected Analysis'!L7</f>
        <v>5825057.7</v>
      </c>
      <c r="G83" s="260">
        <f>+'Projected Analysis'!M7</f>
        <v>6116310.585000001</v>
      </c>
      <c r="H83" s="260">
        <f>+'Projected Analysis'!N7</f>
        <v>6422126.1142500015</v>
      </c>
      <c r="I83" s="261">
        <f>+'Projected Analysis'!O7</f>
        <v>6743232.419962502</v>
      </c>
      <c r="J83" s="260">
        <f>+'Projected Analysis'!P7</f>
        <v>7080394.040960628</v>
      </c>
    </row>
    <row r="84" spans="1:10" ht="12.75">
      <c r="A84">
        <f t="shared" si="6"/>
        <v>11</v>
      </c>
      <c r="B84" t="s">
        <v>288</v>
      </c>
      <c r="C84" s="262"/>
      <c r="D84" s="259"/>
      <c r="E84" s="263">
        <f aca="true" t="shared" si="7" ref="E84:J84">+E83/D83-1</f>
        <v>0.04358051166290444</v>
      </c>
      <c r="F84" s="263">
        <f t="shared" si="7"/>
        <v>0.050000000000000044</v>
      </c>
      <c r="G84" s="263">
        <f t="shared" si="7"/>
        <v>0.050000000000000044</v>
      </c>
      <c r="H84" s="263">
        <f t="shared" si="7"/>
        <v>0.050000000000000044</v>
      </c>
      <c r="I84" s="264">
        <f t="shared" si="7"/>
        <v>0.050000000000000044</v>
      </c>
      <c r="J84" s="263">
        <f t="shared" si="7"/>
        <v>0.050000000000000044</v>
      </c>
    </row>
    <row r="85" spans="1:10" ht="6.75" customHeight="1">
      <c r="A85">
        <f t="shared" si="6"/>
        <v>12</v>
      </c>
      <c r="C85" s="262"/>
      <c r="D85" s="259"/>
      <c r="E85" s="263"/>
      <c r="F85" s="263"/>
      <c r="G85" s="263"/>
      <c r="H85" s="263"/>
      <c r="I85" s="264"/>
      <c r="J85" s="263"/>
    </row>
    <row r="86" spans="1:10" ht="12.75">
      <c r="A86">
        <f t="shared" si="6"/>
        <v>13</v>
      </c>
      <c r="B86" t="s">
        <v>229</v>
      </c>
      <c r="C86" s="262">
        <f>+(1-'Projected Analysis'!I20)</f>
        <v>0.36</v>
      </c>
      <c r="D86" s="259">
        <f>-'Projected Analysis'!F8</f>
        <v>-1885000</v>
      </c>
      <c r="E86" s="260">
        <f>-'Projected Analysis'!K8</f>
        <v>-1997162.6400000001</v>
      </c>
      <c r="F86" s="260">
        <f>-'Projected Analysis'!L8</f>
        <v>-2097020.7719999999</v>
      </c>
      <c r="G86" s="260">
        <f>-'Projected Analysis'!M8</f>
        <v>-2201871.8106000004</v>
      </c>
      <c r="H86" s="260">
        <f>-'Projected Analysis'!N8</f>
        <v>-2311965.4011300006</v>
      </c>
      <c r="I86" s="261">
        <f>-'Projected Analysis'!O8</f>
        <v>-2427563.6711865</v>
      </c>
      <c r="J86" s="260">
        <f>-'Projected Analysis'!P8</f>
        <v>-2548941.8547458258</v>
      </c>
    </row>
    <row r="87" spans="1:10" ht="9" customHeight="1">
      <c r="A87">
        <f t="shared" si="6"/>
        <v>14</v>
      </c>
      <c r="C87" s="262"/>
      <c r="D87" s="264"/>
      <c r="E87" s="263"/>
      <c r="F87" s="263"/>
      <c r="G87" s="263"/>
      <c r="H87" s="263"/>
      <c r="I87" s="264"/>
      <c r="J87" s="263"/>
    </row>
    <row r="88" spans="1:10" ht="12.75">
      <c r="A88">
        <f t="shared" si="6"/>
        <v>15</v>
      </c>
      <c r="B88" t="s">
        <v>8</v>
      </c>
      <c r="C88" s="262">
        <f>+'Projected Analysis'!I21</f>
        <v>0.52</v>
      </c>
      <c r="D88" s="265">
        <f>-'Projected Analysis'!F10</f>
        <v>-2756000</v>
      </c>
      <c r="E88" s="266">
        <f>-'Projected Analysis'!K10</f>
        <v>-2884790.48</v>
      </c>
      <c r="F88" s="266">
        <f>-'Projected Analysis'!L10</f>
        <v>-3029030.004</v>
      </c>
      <c r="G88" s="266">
        <f>-'Projected Analysis'!M10</f>
        <v>-3180481.504200001</v>
      </c>
      <c r="H88" s="266">
        <f>-'Projected Analysis'!N10</f>
        <v>-3339505.5794100007</v>
      </c>
      <c r="I88" s="267">
        <f>-'Projected Analysis'!O10</f>
        <v>-3506480.858380501</v>
      </c>
      <c r="J88" s="352">
        <f>-'Projected Analysis'!P10</f>
        <v>-3681804.9012995264</v>
      </c>
    </row>
    <row r="89" spans="1:10" ht="12.75">
      <c r="A89">
        <f aca="true" t="shared" si="8" ref="A89:A119">+A88+1</f>
        <v>16</v>
      </c>
      <c r="B89" t="s">
        <v>230</v>
      </c>
      <c r="D89" s="259">
        <f aca="true" t="shared" si="9" ref="D89:J89">+D83+D86+D88</f>
        <v>675000</v>
      </c>
      <c r="E89" s="260">
        <f t="shared" si="9"/>
        <v>665720.8799999999</v>
      </c>
      <c r="F89" s="260">
        <f t="shared" si="9"/>
        <v>699006.9240000001</v>
      </c>
      <c r="G89" s="260">
        <f t="shared" si="9"/>
        <v>733957.2701999997</v>
      </c>
      <c r="H89" s="260">
        <f t="shared" si="9"/>
        <v>770655.1337100002</v>
      </c>
      <c r="I89" s="261">
        <f t="shared" si="9"/>
        <v>809187.8903955007</v>
      </c>
      <c r="J89" s="260">
        <f t="shared" si="9"/>
        <v>849647.2849152754</v>
      </c>
    </row>
    <row r="90" spans="1:10" ht="12.75">
      <c r="A90">
        <f t="shared" si="8"/>
        <v>17</v>
      </c>
      <c r="B90" t="s">
        <v>231</v>
      </c>
      <c r="C90" s="262">
        <v>0.4</v>
      </c>
      <c r="D90" s="259">
        <f aca="true" t="shared" si="10" ref="D90:J90">-$C$90*D89</f>
        <v>-270000</v>
      </c>
      <c r="E90" s="260">
        <f t="shared" si="10"/>
        <v>-266288.35199999996</v>
      </c>
      <c r="F90" s="260">
        <f t="shared" si="10"/>
        <v>-279602.76960000006</v>
      </c>
      <c r="G90" s="260">
        <f t="shared" si="10"/>
        <v>-293582.9080799999</v>
      </c>
      <c r="H90" s="260">
        <f t="shared" si="10"/>
        <v>-308262.0534840001</v>
      </c>
      <c r="I90" s="261">
        <f t="shared" si="10"/>
        <v>-323675.1561582003</v>
      </c>
      <c r="J90" s="260">
        <f t="shared" si="10"/>
        <v>-339858.9139661102</v>
      </c>
    </row>
    <row r="91" spans="1:10" ht="12.75">
      <c r="A91">
        <f t="shared" si="8"/>
        <v>18</v>
      </c>
      <c r="B91" t="s">
        <v>232</v>
      </c>
      <c r="C91" s="262">
        <f>+'Projected Analysis'!I28</f>
        <v>0.04</v>
      </c>
      <c r="D91" s="259">
        <f>+'Projected Analysis'!F25</f>
        <v>201000</v>
      </c>
      <c r="E91" s="260">
        <f>+'Projected Analysis'!K25</f>
        <v>221906.96</v>
      </c>
      <c r="F91" s="260">
        <f>+'Projected Analysis'!L25</f>
        <v>233002.30800000002</v>
      </c>
      <c r="G91" s="260">
        <f>+'Projected Analysis'!M25</f>
        <v>244652.42340000003</v>
      </c>
      <c r="H91" s="260">
        <f>+'Projected Analysis'!N25</f>
        <v>256885.04457000006</v>
      </c>
      <c r="I91" s="261">
        <f>+'Projected Analysis'!O25</f>
        <v>269729.2967985001</v>
      </c>
      <c r="J91" s="260">
        <f>+'Projected Analysis'!P25</f>
        <v>283215.7616384251</v>
      </c>
    </row>
    <row r="92" spans="1:10" ht="12.75">
      <c r="A92">
        <f t="shared" si="8"/>
        <v>19</v>
      </c>
      <c r="B92" t="s">
        <v>233</v>
      </c>
      <c r="C92" s="262">
        <f>+'Projected Analysis'!I29</f>
        <v>0.06</v>
      </c>
      <c r="D92" s="259">
        <f>-'Projected Analysis'!F26</f>
        <v>-298000</v>
      </c>
      <c r="E92" s="260">
        <f>-'Projected Analysis'!K26</f>
        <v>-332860.44</v>
      </c>
      <c r="F92" s="260">
        <f>-'Projected Analysis'!L26</f>
        <v>-349503.462</v>
      </c>
      <c r="G92" s="260">
        <f>-'Projected Analysis'!M26</f>
        <v>-366978.6351</v>
      </c>
      <c r="H92" s="260">
        <f>-'Projected Analysis'!N26</f>
        <v>-385327.5668550001</v>
      </c>
      <c r="I92" s="261">
        <f>-'Projected Analysis'!O26</f>
        <v>-404593.9451977501</v>
      </c>
      <c r="J92" s="260">
        <f>-'Projected Analysis'!P26</f>
        <v>-424823.64245763764</v>
      </c>
    </row>
    <row r="93" spans="1:10" ht="13.5" thickBot="1">
      <c r="A93">
        <f t="shared" si="8"/>
        <v>20</v>
      </c>
      <c r="B93" t="s">
        <v>234</v>
      </c>
      <c r="D93" s="268">
        <f aca="true" t="shared" si="11" ref="D93:J93">SUM(D89:D92)</f>
        <v>308000</v>
      </c>
      <c r="E93" s="269">
        <f t="shared" si="11"/>
        <v>288479.0479999999</v>
      </c>
      <c r="F93" s="269">
        <f t="shared" si="11"/>
        <v>302903.0004000001</v>
      </c>
      <c r="G93" s="269">
        <f t="shared" si="11"/>
        <v>318048.1504199998</v>
      </c>
      <c r="H93" s="269">
        <f t="shared" si="11"/>
        <v>333950.5579410001</v>
      </c>
      <c r="I93" s="268">
        <f t="shared" si="11"/>
        <v>350648.08583805035</v>
      </c>
      <c r="J93" s="353">
        <f t="shared" si="11"/>
        <v>368180.4901299526</v>
      </c>
    </row>
    <row r="94" spans="1:10" ht="7.5" customHeight="1" thickTop="1">
      <c r="A94">
        <f t="shared" si="8"/>
        <v>21</v>
      </c>
      <c r="D94" s="260"/>
      <c r="E94" s="260"/>
      <c r="F94" s="260"/>
      <c r="G94" s="260"/>
      <c r="H94" s="260"/>
      <c r="I94" s="261"/>
      <c r="J94" s="260"/>
    </row>
    <row r="95" spans="1:10" ht="12.75">
      <c r="A95">
        <f t="shared" si="8"/>
        <v>22</v>
      </c>
      <c r="B95" t="s">
        <v>91</v>
      </c>
      <c r="D95" s="270">
        <f>+I39</f>
        <v>887627.8399999999</v>
      </c>
      <c r="E95" s="270">
        <f aca="true" t="shared" si="12" ref="E95:J95">+E89+E91</f>
        <v>887627.8399999999</v>
      </c>
      <c r="F95" s="270">
        <f t="shared" si="12"/>
        <v>932009.2320000001</v>
      </c>
      <c r="G95" s="270">
        <f t="shared" si="12"/>
        <v>978609.6935999996</v>
      </c>
      <c r="H95" s="270">
        <f t="shared" si="12"/>
        <v>1027540.1782800002</v>
      </c>
      <c r="I95" s="271">
        <f>+I89+I91</f>
        <v>1078917.187194001</v>
      </c>
      <c r="J95" s="270">
        <f t="shared" si="12"/>
        <v>1132863.0465537005</v>
      </c>
    </row>
    <row r="96" spans="1:10" ht="6.75" customHeight="1">
      <c r="A96">
        <f t="shared" si="8"/>
        <v>23</v>
      </c>
      <c r="D96" s="81"/>
      <c r="E96" s="81"/>
      <c r="F96" s="81"/>
      <c r="G96" s="81"/>
      <c r="H96" s="81"/>
      <c r="I96" s="272"/>
      <c r="J96" s="81"/>
    </row>
    <row r="97" spans="1:10" ht="13.5" thickBot="1">
      <c r="A97">
        <f t="shared" si="8"/>
        <v>24</v>
      </c>
      <c r="B97" s="273" t="s">
        <v>235</v>
      </c>
      <c r="C97" s="274" t="s">
        <v>227</v>
      </c>
      <c r="D97" s="81"/>
      <c r="E97" s="81"/>
      <c r="F97" s="81"/>
      <c r="G97" s="81"/>
      <c r="H97" s="81"/>
      <c r="I97" s="272"/>
      <c r="J97" s="81"/>
    </row>
    <row r="98" spans="1:10" ht="12.75">
      <c r="A98">
        <f t="shared" si="8"/>
        <v>25</v>
      </c>
      <c r="B98" t="s">
        <v>236</v>
      </c>
      <c r="C98" s="220">
        <f>+C42</f>
        <v>12.13500864276618</v>
      </c>
      <c r="D98" s="275"/>
      <c r="E98" s="276" t="s">
        <v>264</v>
      </c>
      <c r="F98" s="81"/>
      <c r="G98" s="81"/>
      <c r="H98" s="81"/>
      <c r="I98" s="277">
        <f>+C98*I95</f>
        <v>13092669.391428178</v>
      </c>
      <c r="J98" s="81"/>
    </row>
    <row r="99" spans="1:10" ht="12.75">
      <c r="A99">
        <f t="shared" si="8"/>
        <v>26</v>
      </c>
      <c r="B99" t="s">
        <v>237</v>
      </c>
      <c r="C99" s="307">
        <v>0.1</v>
      </c>
      <c r="D99" s="278"/>
      <c r="E99" s="276" t="s">
        <v>324</v>
      </c>
      <c r="F99" s="81"/>
      <c r="G99" s="81"/>
      <c r="H99" s="81"/>
      <c r="I99" s="261">
        <f>+J93/(C99-J84)</f>
        <v>7363609.802599058</v>
      </c>
      <c r="J99" s="81"/>
    </row>
    <row r="100" spans="1:10" ht="12.75">
      <c r="A100">
        <f t="shared" si="8"/>
        <v>27</v>
      </c>
      <c r="B100" t="s">
        <v>125</v>
      </c>
      <c r="D100" s="81"/>
      <c r="E100" s="81"/>
      <c r="F100" s="81"/>
      <c r="G100" s="81"/>
      <c r="H100" s="81"/>
      <c r="I100" s="316">
        <f>+(I98+I99)/2</f>
        <v>10228139.597013619</v>
      </c>
      <c r="J100" s="81"/>
    </row>
    <row r="101" spans="1:10" ht="12.75">
      <c r="A101">
        <f t="shared" si="8"/>
        <v>28</v>
      </c>
      <c r="B101" t="s">
        <v>238</v>
      </c>
      <c r="D101" s="279"/>
      <c r="E101" s="81"/>
      <c r="F101" s="81"/>
      <c r="G101" s="81"/>
      <c r="H101" s="81"/>
      <c r="I101" s="277">
        <f>-'Projected Analysis'!O34</f>
        <v>-2416500</v>
      </c>
      <c r="J101" s="276" t="s">
        <v>319</v>
      </c>
    </row>
    <row r="102" spans="1:10" ht="12.75">
      <c r="A102">
        <f t="shared" si="8"/>
        <v>29</v>
      </c>
      <c r="B102" t="s">
        <v>270</v>
      </c>
      <c r="D102" s="279"/>
      <c r="E102" s="81"/>
      <c r="F102" s="81"/>
      <c r="G102" s="81"/>
      <c r="H102" s="81"/>
      <c r="I102" s="317">
        <v>0</v>
      </c>
      <c r="J102" s="81"/>
    </row>
    <row r="103" spans="1:10" ht="12.75">
      <c r="A103">
        <f t="shared" si="8"/>
        <v>30</v>
      </c>
      <c r="B103" t="s">
        <v>239</v>
      </c>
      <c r="D103" s="81"/>
      <c r="E103" s="81"/>
      <c r="F103" s="81"/>
      <c r="G103" s="81"/>
      <c r="H103" s="81"/>
      <c r="I103" s="277">
        <f>+I101+I100</f>
        <v>7811639.597013619</v>
      </c>
      <c r="J103" s="81"/>
    </row>
    <row r="104" spans="1:10" ht="12.75">
      <c r="A104">
        <f t="shared" si="8"/>
        <v>31</v>
      </c>
      <c r="D104" s="81"/>
      <c r="E104" s="81"/>
      <c r="F104" s="81"/>
      <c r="G104" s="81"/>
      <c r="H104" s="81"/>
      <c r="I104" s="272"/>
      <c r="J104" s="81"/>
    </row>
    <row r="105" spans="1:10" ht="12.75">
      <c r="A105">
        <f t="shared" si="8"/>
        <v>32</v>
      </c>
      <c r="B105" t="s">
        <v>240</v>
      </c>
      <c r="D105" s="270"/>
      <c r="E105" s="270">
        <f>+E93</f>
        <v>288479.0479999999</v>
      </c>
      <c r="F105" s="270">
        <f>+F93</f>
        <v>302903.0004000001</v>
      </c>
      <c r="G105" s="270">
        <f>+G93</f>
        <v>318048.1504199998</v>
      </c>
      <c r="H105" s="270">
        <f>+H93</f>
        <v>333950.5579410001</v>
      </c>
      <c r="I105" s="271">
        <f>+I103+I93</f>
        <v>8162287.682851669</v>
      </c>
      <c r="J105" s="81"/>
    </row>
    <row r="106" spans="1:10" ht="12.75">
      <c r="A106">
        <f t="shared" si="8"/>
        <v>33</v>
      </c>
      <c r="D106" s="279"/>
      <c r="E106" s="281" t="s">
        <v>241</v>
      </c>
      <c r="F106" s="281" t="s">
        <v>241</v>
      </c>
      <c r="G106" s="281" t="s">
        <v>241</v>
      </c>
      <c r="H106" s="281" t="s">
        <v>241</v>
      </c>
      <c r="I106" s="318" t="s">
        <v>241</v>
      </c>
      <c r="J106" s="81"/>
    </row>
    <row r="107" spans="1:10" ht="15.75" thickBot="1">
      <c r="A107">
        <f t="shared" si="8"/>
        <v>34</v>
      </c>
      <c r="B107" s="280" t="s">
        <v>242</v>
      </c>
      <c r="C107" s="356" t="s">
        <v>316</v>
      </c>
      <c r="D107" s="279"/>
      <c r="E107" s="308">
        <f>1/((1+$C$99)^E80)</f>
        <v>0.9090909090909091</v>
      </c>
      <c r="F107" s="308">
        <f>1/((1+$C$99)^F80)</f>
        <v>0.8264462809917354</v>
      </c>
      <c r="G107" s="308">
        <f>1/((1+$C$99)^G80)</f>
        <v>0.7513148009015775</v>
      </c>
      <c r="H107" s="308">
        <f>1/((1+$C$99)^H80)</f>
        <v>0.6830134553650705</v>
      </c>
      <c r="I107" s="309">
        <f>1/((1+$C$99)^I80)</f>
        <v>0.6209213230591549</v>
      </c>
      <c r="J107" s="81"/>
    </row>
    <row r="108" spans="1:10" ht="12.75">
      <c r="A108">
        <f t="shared" si="8"/>
        <v>35</v>
      </c>
      <c r="C108" s="280"/>
      <c r="D108" s="279"/>
      <c r="E108" s="281" t="s">
        <v>243</v>
      </c>
      <c r="F108" s="281" t="s">
        <v>243</v>
      </c>
      <c r="G108" s="281" t="s">
        <v>243</v>
      </c>
      <c r="H108" s="281" t="s">
        <v>243</v>
      </c>
      <c r="I108" s="281" t="s">
        <v>243</v>
      </c>
      <c r="J108" s="81"/>
    </row>
    <row r="109" spans="1:3" ht="12.75">
      <c r="A109">
        <f t="shared" si="8"/>
        <v>36</v>
      </c>
      <c r="C109" s="280"/>
    </row>
    <row r="110" spans="1:5" ht="12.75">
      <c r="A110">
        <f t="shared" si="8"/>
        <v>37</v>
      </c>
      <c r="C110" s="280" t="s">
        <v>244</v>
      </c>
      <c r="D110" s="282">
        <f>+E107*E105</f>
        <v>262253.6799999999</v>
      </c>
      <c r="E110" s="283"/>
    </row>
    <row r="111" spans="1:4" ht="12.75">
      <c r="A111">
        <f t="shared" si="8"/>
        <v>38</v>
      </c>
      <c r="C111" s="280" t="s">
        <v>245</v>
      </c>
      <c r="D111" s="282">
        <f>+F107*F105</f>
        <v>250333.05818181823</v>
      </c>
    </row>
    <row r="112" spans="1:4" ht="12.75">
      <c r="A112">
        <f t="shared" si="8"/>
        <v>39</v>
      </c>
      <c r="C112" s="280" t="s">
        <v>246</v>
      </c>
      <c r="D112" s="282">
        <f>+G107*G105</f>
        <v>238954.28280991712</v>
      </c>
    </row>
    <row r="113" spans="1:4" ht="12.75">
      <c r="A113">
        <f t="shared" si="8"/>
        <v>40</v>
      </c>
      <c r="C113" s="280" t="s">
        <v>247</v>
      </c>
      <c r="D113" s="282">
        <f>+H107*H105</f>
        <v>228092.72450037565</v>
      </c>
    </row>
    <row r="114" spans="1:4" ht="12.75">
      <c r="A114">
        <f t="shared" si="8"/>
        <v>41</v>
      </c>
      <c r="C114" s="280" t="s">
        <v>248</v>
      </c>
      <c r="D114" s="282">
        <f>+I107*I105</f>
        <v>5068138.4672257025</v>
      </c>
    </row>
    <row r="115" spans="1:5" ht="13.5" thickBot="1">
      <c r="A115">
        <f t="shared" si="8"/>
        <v>42</v>
      </c>
      <c r="C115" s="280" t="s">
        <v>265</v>
      </c>
      <c r="D115" s="284">
        <f>SUM(D109:D114)</f>
        <v>6047772.212717813</v>
      </c>
      <c r="E115" s="285" t="s">
        <v>269</v>
      </c>
    </row>
    <row r="116" spans="1:5" ht="13.5" thickTop="1">
      <c r="A116">
        <f t="shared" si="8"/>
        <v>43</v>
      </c>
      <c r="C116" s="280"/>
      <c r="D116" s="286"/>
      <c r="E116" s="285"/>
    </row>
    <row r="117" spans="1:5" ht="12.75">
      <c r="A117">
        <f t="shared" si="8"/>
        <v>44</v>
      </c>
      <c r="C117" s="287" t="s">
        <v>249</v>
      </c>
      <c r="D117" s="288" t="s">
        <v>250</v>
      </c>
      <c r="E117" s="289"/>
    </row>
    <row r="118" spans="1:4" ht="12.75">
      <c r="A118">
        <f t="shared" si="8"/>
        <v>45</v>
      </c>
      <c r="C118" s="174" t="s">
        <v>251</v>
      </c>
      <c r="D118" s="282">
        <f>+D115</f>
        <v>6047772.212717813</v>
      </c>
    </row>
    <row r="119" spans="1:4" ht="12.75">
      <c r="A119">
        <f t="shared" si="8"/>
        <v>46</v>
      </c>
      <c r="C119" s="290" t="s">
        <v>322</v>
      </c>
      <c r="D119" s="291">
        <f>+'Projected Analysis'!F34</f>
        <v>3222000</v>
      </c>
    </row>
    <row r="120" spans="3:4" ht="13.5" thickBot="1">
      <c r="C120" s="290" t="s">
        <v>323</v>
      </c>
      <c r="D120" s="291">
        <f>-'Historical Analysis'!E43</f>
        <v>-1077000</v>
      </c>
    </row>
    <row r="121" spans="1:4" ht="14.25" customHeight="1" thickBot="1">
      <c r="A121">
        <f>+A119+1</f>
        <v>47</v>
      </c>
      <c r="B121" s="208" t="s">
        <v>289</v>
      </c>
      <c r="C121" s="292"/>
      <c r="D121" s="221">
        <f>+D119+D118+D120</f>
        <v>8192772.2127178125</v>
      </c>
    </row>
    <row r="122" spans="2:3" ht="12.75">
      <c r="B122" s="174"/>
      <c r="C122" s="77"/>
    </row>
    <row r="123" spans="1:3" ht="20.25">
      <c r="A123" s="81"/>
      <c r="B123" s="310" t="s">
        <v>252</v>
      </c>
      <c r="C123" s="81"/>
    </row>
    <row r="124" spans="1:3" ht="12.75">
      <c r="A124" s="81"/>
      <c r="B124" s="81"/>
      <c r="C124" s="81"/>
    </row>
    <row r="125" spans="1:2" ht="21" thickBot="1">
      <c r="A125" s="293" t="s">
        <v>150</v>
      </c>
      <c r="B125" s="81"/>
    </row>
    <row r="126" spans="1:7" ht="21" thickBot="1">
      <c r="A126" s="294"/>
      <c r="B126" s="79"/>
      <c r="C126" s="79"/>
      <c r="D126" s="79"/>
      <c r="E126" s="79"/>
      <c r="F126" s="79"/>
      <c r="G126" s="295"/>
    </row>
    <row r="127" spans="1:7" ht="13.5" thickBot="1">
      <c r="A127" s="80"/>
      <c r="B127" s="296" t="s">
        <v>253</v>
      </c>
      <c r="C127" s="296" t="s">
        <v>254</v>
      </c>
      <c r="D127" s="296" t="s">
        <v>255</v>
      </c>
      <c r="E127" s="296" t="s">
        <v>256</v>
      </c>
      <c r="F127" s="296" t="s">
        <v>257</v>
      </c>
      <c r="G127" s="297" t="s">
        <v>258</v>
      </c>
    </row>
    <row r="128" spans="1:7" ht="12.75">
      <c r="A128" s="298" t="s">
        <v>259</v>
      </c>
      <c r="B128" s="299">
        <f>+B21</f>
        <v>11891028</v>
      </c>
      <c r="C128" s="299">
        <f>+$D$119</f>
        <v>3222000</v>
      </c>
      <c r="D128" s="299">
        <f>+$G$39</f>
        <v>1077000</v>
      </c>
      <c r="E128" s="299">
        <f>+B128-C128+D128</f>
        <v>9746028</v>
      </c>
      <c r="F128" s="299">
        <f>+$D$18</f>
        <v>190650</v>
      </c>
      <c r="G128" s="319">
        <f>+E128/F128</f>
        <v>51.12</v>
      </c>
    </row>
    <row r="129" spans="1:7" ht="12.75">
      <c r="A129" s="298"/>
      <c r="B129" s="299"/>
      <c r="C129" s="299"/>
      <c r="D129" s="299"/>
      <c r="E129" s="299"/>
      <c r="F129" s="299"/>
      <c r="G129" s="319"/>
    </row>
    <row r="130" spans="1:7" ht="12.75">
      <c r="A130" s="300" t="s">
        <v>260</v>
      </c>
      <c r="B130" s="301">
        <f>+B44</f>
        <v>10771371.509959875</v>
      </c>
      <c r="C130" s="299">
        <f>+$D$119</f>
        <v>3222000</v>
      </c>
      <c r="D130" s="299">
        <f>+$G$39</f>
        <v>1077000</v>
      </c>
      <c r="E130" s="299">
        <f>+B130-C130+D130</f>
        <v>8626371.509959875</v>
      </c>
      <c r="F130" s="299">
        <f>+$D$18</f>
        <v>190650</v>
      </c>
      <c r="G130" s="319">
        <f>+E130/F130</f>
        <v>45.247162391607</v>
      </c>
    </row>
    <row r="131" spans="1:7" ht="12.75">
      <c r="A131" s="300" t="s">
        <v>261</v>
      </c>
      <c r="B131" s="301">
        <f>+C73</f>
        <v>11705857.308720669</v>
      </c>
      <c r="C131" s="299">
        <f>+$D$119</f>
        <v>3222000</v>
      </c>
      <c r="D131" s="299">
        <f>+$G$39</f>
        <v>1077000</v>
      </c>
      <c r="E131" s="299">
        <f>+B131-C131+D131</f>
        <v>9560857.308720669</v>
      </c>
      <c r="F131" s="299">
        <f>+$D$18</f>
        <v>190650</v>
      </c>
      <c r="G131" s="319">
        <f>+E131/F131</f>
        <v>50.148740145400836</v>
      </c>
    </row>
    <row r="132" spans="1:7" ht="12.75">
      <c r="A132" s="298" t="s">
        <v>262</v>
      </c>
      <c r="B132" s="299">
        <f>+D121</f>
        <v>8192772.2127178125</v>
      </c>
      <c r="C132" s="299">
        <f>+$D$119</f>
        <v>3222000</v>
      </c>
      <c r="D132" s="299">
        <f>+$G$39</f>
        <v>1077000</v>
      </c>
      <c r="E132" s="299">
        <f>+B132-C132+D132</f>
        <v>6047772.2127178125</v>
      </c>
      <c r="F132" s="299">
        <f>+$D$18</f>
        <v>190650</v>
      </c>
      <c r="G132" s="319">
        <f>+E132/F132</f>
        <v>31.721857921415225</v>
      </c>
    </row>
    <row r="133" spans="1:7" ht="12.75">
      <c r="A133" s="80"/>
      <c r="B133" s="279"/>
      <c r="C133" s="279"/>
      <c r="D133" s="279"/>
      <c r="E133" s="279"/>
      <c r="F133" s="279"/>
      <c r="G133" s="320"/>
    </row>
    <row r="134" spans="1:7" ht="13.5" thickBot="1">
      <c r="A134" s="302" t="s">
        <v>263</v>
      </c>
      <c r="B134" s="303">
        <f>AVERAGE(B128:B132)</f>
        <v>10640257.257849589</v>
      </c>
      <c r="C134" s="303">
        <f>AVERAGE(C128:C132)</f>
        <v>3222000</v>
      </c>
      <c r="D134" s="303">
        <f>AVERAGE(D128:D132)</f>
        <v>1077000</v>
      </c>
      <c r="E134" s="303">
        <f>AVERAGE(E128:E132)</f>
        <v>8495257.257849589</v>
      </c>
      <c r="F134" s="303"/>
      <c r="G134" s="321">
        <f>AVERAGE(G127:G132)</f>
        <v>44.55944011460576</v>
      </c>
    </row>
    <row r="135" spans="1:7" ht="14.25" thickBot="1" thickTop="1">
      <c r="A135" s="85"/>
      <c r="B135" s="86"/>
      <c r="C135" s="86"/>
      <c r="D135" s="86"/>
      <c r="E135" s="86"/>
      <c r="F135" s="86"/>
      <c r="G135" s="304"/>
    </row>
    <row r="136" ht="12.75">
      <c r="A136" s="81"/>
    </row>
    <row r="140" spans="4:10" ht="12.75">
      <c r="D140" s="207"/>
      <c r="F140" s="207"/>
      <c r="G140" s="207"/>
      <c r="H140" s="207"/>
      <c r="I140" s="207"/>
      <c r="J140" s="207"/>
    </row>
    <row r="141" spans="4:10" ht="12.75">
      <c r="D141" s="207"/>
      <c r="F141" s="207"/>
      <c r="G141" s="207"/>
      <c r="H141" s="207"/>
      <c r="I141" s="207"/>
      <c r="J141" s="207"/>
    </row>
    <row r="142" spans="4:10" ht="12.75">
      <c r="D142" s="207"/>
      <c r="F142" s="207"/>
      <c r="G142" s="207"/>
      <c r="H142" s="207"/>
      <c r="I142" s="207"/>
      <c r="J142" s="207"/>
    </row>
    <row r="143" spans="4:10" ht="12.75">
      <c r="D143" s="207"/>
      <c r="F143" s="207"/>
      <c r="G143" s="207"/>
      <c r="H143" s="207"/>
      <c r="I143" s="207"/>
      <c r="J143" s="207"/>
    </row>
    <row r="144" spans="4:10" ht="12.75">
      <c r="D144" s="207"/>
      <c r="F144" s="207"/>
      <c r="G144" s="207"/>
      <c r="H144" s="207"/>
      <c r="I144" s="207"/>
      <c r="J144" s="207"/>
    </row>
    <row r="145" spans="4:6" ht="12.75">
      <c r="D145" s="207"/>
      <c r="F145" s="207"/>
    </row>
    <row r="146" ht="12.75">
      <c r="D146" s="207"/>
    </row>
    <row r="147" ht="12.75">
      <c r="D147" s="207"/>
    </row>
    <row r="148" ht="12.75">
      <c r="D148" s="207"/>
    </row>
    <row r="149" ht="12.75">
      <c r="D149" s="207"/>
    </row>
    <row r="150" ht="12.75">
      <c r="D150" s="207"/>
    </row>
    <row r="151" ht="12.75">
      <c r="D151" s="207"/>
    </row>
    <row r="152" ht="12.75">
      <c r="D152" s="207"/>
    </row>
    <row r="153" ht="12.75">
      <c r="D153" s="207"/>
    </row>
    <row r="154" ht="12.75">
      <c r="D154" s="207"/>
    </row>
    <row r="155" ht="12.75">
      <c r="D155" s="207"/>
    </row>
    <row r="156" ht="12.75">
      <c r="D156" s="207"/>
    </row>
    <row r="157" ht="12.75">
      <c r="D157" s="207"/>
    </row>
    <row r="158" ht="12.75">
      <c r="D158" s="207"/>
    </row>
    <row r="159" ht="12.75">
      <c r="D159" s="207"/>
    </row>
    <row r="160" ht="12.75">
      <c r="D160" s="207"/>
    </row>
    <row r="161" ht="12.75">
      <c r="D161" s="207"/>
    </row>
    <row r="162" ht="12.75">
      <c r="D162" s="207"/>
    </row>
    <row r="163" ht="12.75">
      <c r="D163" s="207"/>
    </row>
    <row r="164" ht="12.75">
      <c r="D164" s="207"/>
    </row>
    <row r="165" ht="12.75">
      <c r="D165" s="207"/>
    </row>
    <row r="166" ht="12.75">
      <c r="D166" s="207"/>
    </row>
    <row r="167" ht="12.75">
      <c r="D167" s="207"/>
    </row>
    <row r="168" ht="12.75">
      <c r="D168" s="207"/>
    </row>
    <row r="169" ht="12.75">
      <c r="D169" s="207"/>
    </row>
    <row r="170" ht="12.75">
      <c r="D170" s="207"/>
    </row>
    <row r="171" ht="12.75">
      <c r="D171" s="207"/>
    </row>
    <row r="172" ht="12.75">
      <c r="D172" s="207"/>
    </row>
    <row r="173" ht="12.75">
      <c r="D173" s="207"/>
    </row>
    <row r="174" ht="12.75">
      <c r="D174" s="207"/>
    </row>
    <row r="175" ht="12.75">
      <c r="D175" s="207"/>
    </row>
  </sheetData>
  <printOptions/>
  <pageMargins left="0.31" right="0.2" top="0.63" bottom="1" header="0.39" footer="0.5"/>
  <pageSetup horizontalDpi="600" verticalDpi="600" orientation="landscape" scale="75" r:id="rId2"/>
  <headerFooter alignWithMargins="0">
    <oddFooter>&amp;L&amp;P</oddFooter>
  </headerFooter>
  <rowBreaks count="3" manualBreakCount="3">
    <brk id="46" max="255" man="1"/>
    <brk id="76" max="255" man="1"/>
    <brk id="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cdroussiotis</cp:lastModifiedBy>
  <cp:lastPrinted>2011-11-04T13:25:34Z</cp:lastPrinted>
  <dcterms:created xsi:type="dcterms:W3CDTF">2007-04-16T14:04:59Z</dcterms:created>
  <dcterms:modified xsi:type="dcterms:W3CDTF">2011-11-04T13:30:07Z</dcterms:modified>
  <cp:category/>
  <cp:version/>
  <cp:contentType/>
  <cp:contentStatus/>
</cp:coreProperties>
</file>