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" windowWidth="20233" windowHeight="9120" activeTab="0"/>
  </bookViews>
  <sheets>
    <sheet name="Equity Analysis" sheetId="1" r:id="rId1"/>
    <sheet name="Sheet3" sheetId="2" r:id="rId2"/>
  </sheets>
  <definedNames>
    <definedName name="_xlnm.Print_Area" localSheetId="0">'Equity Analysis'!$A$1:$T$97</definedName>
  </definedNames>
  <calcPr fullCalcOnLoad="1"/>
</workbook>
</file>

<file path=xl/sharedStrings.xml><?xml version="1.0" encoding="utf-8"?>
<sst xmlns="http://schemas.openxmlformats.org/spreadsheetml/2006/main" count="144" uniqueCount="122">
  <si>
    <t>Sources:</t>
  </si>
  <si>
    <t>% Capital</t>
  </si>
  <si>
    <t>Expected Return</t>
  </si>
  <si>
    <t>EBITDA Multiple</t>
  </si>
  <si>
    <t>Bank Loan</t>
  </si>
  <si>
    <t>Equity</t>
  </si>
  <si>
    <t xml:space="preserve">  Total Sources</t>
  </si>
  <si>
    <t>Uses:</t>
  </si>
  <si>
    <t>Decile</t>
  </si>
  <si>
    <t>Mkt Cap $MM</t>
  </si>
  <si>
    <t>Risk Prem.</t>
  </si>
  <si>
    <t>Cost of Equity</t>
  </si>
  <si>
    <t>Exit Year</t>
  </si>
  <si>
    <t>Bank Loan Information</t>
  </si>
  <si>
    <t>Amount Outstanding</t>
  </si>
  <si>
    <t xml:space="preserve">  Total Financing Payment</t>
  </si>
  <si>
    <t>Corporate Bond Information</t>
  </si>
  <si>
    <t>Total Financing</t>
  </si>
  <si>
    <t>Total Debt Outstanding</t>
  </si>
  <si>
    <t>Year 1</t>
  </si>
  <si>
    <t>Year 2</t>
  </si>
  <si>
    <t>Year 3</t>
  </si>
  <si>
    <t>Year 4</t>
  </si>
  <si>
    <t>Year 5</t>
  </si>
  <si>
    <t>EBIT</t>
  </si>
  <si>
    <t>Entry Year</t>
  </si>
  <si>
    <t>Revenues</t>
  </si>
  <si>
    <t>Operating Costs</t>
  </si>
  <si>
    <t>Equity Cash Flows</t>
  </si>
  <si>
    <t>Terminal Value</t>
  </si>
  <si>
    <t>Debt Outstanding</t>
  </si>
  <si>
    <t>Equity Value (TV - Debt)</t>
  </si>
  <si>
    <t>x</t>
  </si>
  <si>
    <t>Initial Investment</t>
  </si>
  <si>
    <t>NPV=</t>
  </si>
  <si>
    <t>IRR=</t>
  </si>
  <si>
    <t>Transaction Fees &amp; Expenses</t>
  </si>
  <si>
    <t>7 years</t>
  </si>
  <si>
    <t>10 Years</t>
  </si>
  <si>
    <t>Company Projections</t>
  </si>
  <si>
    <t>1st Year's
EBITDA
Multiple</t>
  </si>
  <si>
    <t>Debt
 Capacity (EBITDA x)</t>
  </si>
  <si>
    <t xml:space="preserve">  Total Debt</t>
  </si>
  <si>
    <t>Terms</t>
  </si>
  <si>
    <t>TRANSACTION SOURCES &amp; USES</t>
  </si>
  <si>
    <t xml:space="preserve">  Less Taxes (adj out Interest Exp)</t>
  </si>
  <si>
    <t xml:space="preserve">  Less Working Capital</t>
  </si>
  <si>
    <t xml:space="preserve">  Less Capex</t>
  </si>
  <si>
    <t xml:space="preserve">  Perpetuity Method  (using WACC + growth)</t>
  </si>
  <si>
    <t>Average Terminal Value</t>
  </si>
  <si>
    <t>Growth</t>
  </si>
  <si>
    <t>3M-LIBOR
 Assumptions</t>
  </si>
  <si>
    <t>Debt IRR</t>
  </si>
  <si>
    <t>Initial All -In</t>
  </si>
  <si>
    <t>Loan
 Spread</t>
  </si>
  <si>
    <t xml:space="preserve"> % of 
Total
 Uses</t>
  </si>
  <si>
    <t>$ 1 PV Table (Expected Equity Rate)</t>
  </si>
  <si>
    <t>PV Table (Expected Equity Rate)</t>
  </si>
  <si>
    <t>DEBT ASSUMPTIONS &amp; RETURN ANALYSIS</t>
  </si>
  <si>
    <t xml:space="preserve">  LIBOR RATE </t>
  </si>
  <si>
    <t>COST OF BANK DEBT CALCULATION
(Floaring Rate)</t>
  </si>
  <si>
    <t>Amount Outstanding (End of Year)</t>
  </si>
  <si>
    <t>Interest Payment (Calc based on last Year's Outs)</t>
  </si>
  <si>
    <t>Schedule Principal Payments</t>
  </si>
  <si>
    <t>COST OF DEBT AND EQUITY CALCULATIONS</t>
  </si>
  <si>
    <t>CASH FLOW  &amp; EQUITY RETURN ANALYSIS</t>
  </si>
  <si>
    <t>Less Amortization of Fees</t>
  </si>
  <si>
    <t>WACD =</t>
  </si>
  <si>
    <t>Equity Premium [ Pe ]</t>
  </si>
  <si>
    <t>Firm Specific Risk Premium [e]</t>
  </si>
  <si>
    <t>Equity Risk Premiums (1926-2006)
(CAPM Model)</t>
  </si>
  <si>
    <t>COST OF MEZZANINE NOTE CALCULATION</t>
  </si>
  <si>
    <t xml:space="preserve">  EBITDA Multiple Method (initial purchase multiple)</t>
  </si>
  <si>
    <t xml:space="preserve">   LIBOR Rate Increase Assumptions</t>
  </si>
  <si>
    <t>EBT</t>
  </si>
  <si>
    <t>Cash Flow Before Financing (CFBF)</t>
  </si>
  <si>
    <t>Expected Return 
(After Tax)</t>
  </si>
  <si>
    <t>WACC
 (After Tax)</t>
  </si>
  <si>
    <t>Tax Rate=</t>
  </si>
  <si>
    <r>
      <t xml:space="preserve">COST OF EQUITY CALCULATION
</t>
    </r>
    <r>
      <rPr>
        <b/>
        <sz val="12"/>
        <rFont val="Arial"/>
        <family val="2"/>
      </rPr>
      <t>E</t>
    </r>
    <r>
      <rPr>
        <b/>
        <sz val="11"/>
        <rFont val="Arial"/>
        <family val="2"/>
      </rPr>
      <t xml:space="preserve"> (re) = rf + β</t>
    </r>
    <r>
      <rPr>
        <b/>
        <sz val="10"/>
        <rFont val="Arial"/>
        <family val="2"/>
      </rPr>
      <t xml:space="preserve"> . Pe + e</t>
    </r>
  </si>
  <si>
    <t xml:space="preserve">  Interest Rate</t>
  </si>
  <si>
    <t xml:space="preserve"> Sock Purchase</t>
  </si>
  <si>
    <t>Amount
($ 000's)</t>
  </si>
  <si>
    <t xml:space="preserve">  Plus Depreciation</t>
  </si>
  <si>
    <t xml:space="preserve">  Plus Amortization</t>
  </si>
  <si>
    <t>EBITDA</t>
  </si>
  <si>
    <t>Cost of Revenues (Incl. Depreciation)</t>
  </si>
  <si>
    <t xml:space="preserve">  Plus Interest</t>
  </si>
  <si>
    <t xml:space="preserve"> Enteprise Value</t>
  </si>
  <si>
    <t xml:space="preserve">      Total Uses</t>
  </si>
  <si>
    <t>Current 
Stock
Price</t>
  </si>
  <si>
    <t>Stock 
Price 
Bid</t>
  </si>
  <si>
    <t>Shares
Outstanding
(mm)</t>
  </si>
  <si>
    <t>Premium=</t>
  </si>
  <si>
    <t xml:space="preserve">Company Beta </t>
  </si>
  <si>
    <t xml:space="preserve"> EBITA</t>
  </si>
  <si>
    <t xml:space="preserve"> Refinance Net Debt (Debt net of Cash)</t>
  </si>
  <si>
    <t>6-year Treasury Note [ rf ] (Intepol.)</t>
  </si>
  <si>
    <t xml:space="preserve">http://www.treasury.gov/resource-center/data-chart-center/interest-rates/Pages/TextView.aspx?data=yield </t>
  </si>
  <si>
    <t>Risk Free Rate</t>
  </si>
  <si>
    <t>LINKS</t>
  </si>
  <si>
    <t xml:space="preserve">http://www.bankrate.com/rates/interest-rates/libor.aspx?ec_id=m1118120&amp;s_kwcid=AL!1325!3!41196777488!e!!g!!libor%20rate&amp;ef_id=Ux9NKQAAAcXzBiC8:20150227133807:s </t>
  </si>
  <si>
    <t>LIBOR Info</t>
  </si>
  <si>
    <t>Company Info</t>
  </si>
  <si>
    <t>http://finance.yahoo.com/</t>
  </si>
  <si>
    <t>CREDIT ANALYSIS</t>
  </si>
  <si>
    <t>Bank Debt Outstanding</t>
  </si>
  <si>
    <t>Total Interest Expense</t>
  </si>
  <si>
    <t>Bank Debt / EBITDA (Senior Leverage)</t>
  </si>
  <si>
    <t>Total Debt / EBITDA (Total Leverage)</t>
  </si>
  <si>
    <t>EBITDA / Interest (Coverage)</t>
  </si>
  <si>
    <t>Fixed Charge Ratio (CFBF / Financing Obligations)</t>
  </si>
  <si>
    <t>Less Financing obligations ( P + I )</t>
  </si>
  <si>
    <t xml:space="preserve">  Less Interest</t>
  </si>
  <si>
    <t>Historical</t>
  </si>
  <si>
    <t>Projected</t>
  </si>
  <si>
    <t>Assumpt.</t>
  </si>
  <si>
    <t>Public to Private LBO Equity &amp; Debt Analysis using CAPM</t>
  </si>
  <si>
    <t>Corporate Bonds</t>
  </si>
  <si>
    <t xml:space="preserve">Albany International </t>
  </si>
  <si>
    <t>DDM = Next CFBF / (WACC - g)</t>
  </si>
  <si>
    <t>https://finance.yahoo.com/quote/AIN?p=AIN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</si>
</sst>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00%"/>
    <numFmt numFmtId="175" formatCode="0.0\x"/>
    <numFmt numFmtId="176" formatCode="General_)"/>
    <numFmt numFmtId="177" formatCode="0.00\x"/>
    <numFmt numFmtId="178" formatCode="_(* #,##0.0000000_);_(* \(#,##0.0000000\);_(* &quot;-&quot;??_);_(@_)"/>
    <numFmt numFmtId="179" formatCode="_(* #,##0.000000_);_(* \(#,##0.000000\);_(* &quot;-&quot;??_);_(@_)"/>
    <numFmt numFmtId="180" formatCode="_(* #,##0.00000_);_(* \(#,##0.00000\);_(* &quot;-&quot;??_);_(@_)"/>
    <numFmt numFmtId="181" formatCode="_(* #,##0.0000_);_(* \(#,##0.0000\);_(* &quot;-&quot;??_);_(@_)"/>
    <numFmt numFmtId="182" formatCode="_(* #,##0.000_);_(* \(#,##0.000\);_(* &quot;-&quot;??_);_(@_)"/>
    <numFmt numFmtId="183" formatCode="_(* #,##0.0_);_(* \(#,##0.0\);_(* &quot;-&quot;??_);_(@_)"/>
    <numFmt numFmtId="184" formatCode="0.0000%"/>
    <numFmt numFmtId="185" formatCode="0.00000%"/>
    <numFmt numFmtId="186" formatCode="0.000000%"/>
    <numFmt numFmtId="187" formatCode="0.0"/>
    <numFmt numFmtId="188" formatCode="0.00000000000000"/>
    <numFmt numFmtId="189" formatCode="0.000\x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(* #,##0.0_);_(* \(#,##0.0\);_(* &quot;-&quot;?_);_(@_)"/>
  </numFmts>
  <fonts count="5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176" fontId="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2" fontId="0" fillId="0" borderId="0" xfId="42" applyNumberFormat="1" applyFont="1" applyBorder="1" applyAlignment="1">
      <alignment/>
    </xf>
    <xf numFmtId="173" fontId="0" fillId="0" borderId="0" xfId="60" applyNumberFormat="1" applyFont="1" applyBorder="1" applyAlignment="1">
      <alignment/>
    </xf>
    <xf numFmtId="173" fontId="0" fillId="0" borderId="10" xfId="60" applyNumberFormat="1" applyFont="1" applyBorder="1" applyAlignment="1">
      <alignment/>
    </xf>
    <xf numFmtId="172" fontId="0" fillId="0" borderId="11" xfId="42" applyNumberFormat="1" applyFont="1" applyBorder="1" applyAlignment="1">
      <alignment/>
    </xf>
    <xf numFmtId="173" fontId="0" fillId="0" borderId="11" xfId="6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172" fontId="0" fillId="0" borderId="14" xfId="42" applyNumberFormat="1" applyFont="1" applyBorder="1" applyAlignment="1">
      <alignment/>
    </xf>
    <xf numFmtId="172" fontId="0" fillId="0" borderId="15" xfId="42" applyNumberFormat="1" applyFont="1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1" fillId="0" borderId="15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178" fontId="1" fillId="0" borderId="17" xfId="42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78" fontId="1" fillId="0" borderId="10" xfId="42" applyNumberFormat="1" applyFont="1" applyBorder="1" applyAlignment="1">
      <alignment horizontal="center"/>
    </xf>
    <xf numFmtId="0" fontId="0" fillId="0" borderId="0" xfId="0" applyAlignment="1" quotePrefix="1">
      <alignment/>
    </xf>
    <xf numFmtId="172" fontId="1" fillId="0" borderId="0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2" fontId="0" fillId="0" borderId="13" xfId="42" applyNumberFormat="1" applyFont="1" applyBorder="1" applyAlignment="1">
      <alignment/>
    </xf>
    <xf numFmtId="172" fontId="0" fillId="0" borderId="18" xfId="42" applyNumberFormat="1" applyFont="1" applyBorder="1" applyAlignment="1">
      <alignment/>
    </xf>
    <xf numFmtId="172" fontId="1" fillId="33" borderId="19" xfId="0" applyNumberFormat="1" applyFont="1" applyFill="1" applyBorder="1" applyAlignment="1">
      <alignment/>
    </xf>
    <xf numFmtId="172" fontId="0" fillId="0" borderId="0" xfId="42" applyNumberFormat="1" applyFont="1" applyBorder="1" applyAlignment="1">
      <alignment horizontal="center"/>
    </xf>
    <xf numFmtId="173" fontId="10" fillId="0" borderId="0" xfId="0" applyNumberFormat="1" applyFont="1" applyAlignment="1">
      <alignment/>
    </xf>
    <xf numFmtId="172" fontId="0" fillId="0" borderId="10" xfId="42" applyNumberFormat="1" applyFont="1" applyBorder="1" applyAlignment="1">
      <alignment/>
    </xf>
    <xf numFmtId="172" fontId="10" fillId="0" borderId="0" xfId="42" applyNumberFormat="1" applyFont="1" applyAlignment="1">
      <alignment/>
    </xf>
    <xf numFmtId="172" fontId="10" fillId="0" borderId="14" xfId="42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0" fontId="1" fillId="0" borderId="14" xfId="60" applyNumberFormat="1" applyFont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10" fontId="1" fillId="0" borderId="14" xfId="0" applyNumberFormat="1" applyFont="1" applyBorder="1" applyAlignment="1">
      <alignment horizontal="center"/>
    </xf>
    <xf numFmtId="0" fontId="11" fillId="34" borderId="20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172" fontId="13" fillId="34" borderId="20" xfId="42" applyNumberFormat="1" applyFont="1" applyFill="1" applyBorder="1" applyAlignment="1">
      <alignment/>
    </xf>
    <xf numFmtId="172" fontId="12" fillId="34" borderId="20" xfId="42" applyNumberFormat="1" applyFont="1" applyFill="1" applyBorder="1" applyAlignment="1">
      <alignment/>
    </xf>
    <xf numFmtId="173" fontId="1" fillId="33" borderId="19" xfId="60" applyNumberFormat="1" applyFont="1" applyFill="1" applyBorder="1" applyAlignment="1">
      <alignment horizontal="center"/>
    </xf>
    <xf numFmtId="172" fontId="1" fillId="33" borderId="15" xfId="42" applyNumberFormat="1" applyFont="1" applyFill="1" applyBorder="1" applyAlignment="1">
      <alignment/>
    </xf>
    <xf numFmtId="172" fontId="1" fillId="33" borderId="11" xfId="0" applyNumberFormat="1" applyFont="1" applyFill="1" applyBorder="1" applyAlignment="1">
      <alignment/>
    </xf>
    <xf numFmtId="172" fontId="1" fillId="33" borderId="15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20" xfId="0" applyFill="1" applyBorder="1" applyAlignment="1">
      <alignment/>
    </xf>
    <xf numFmtId="0" fontId="5" fillId="0" borderId="0" xfId="0" applyFont="1" applyBorder="1" applyAlignment="1">
      <alignment vertical="center"/>
    </xf>
    <xf numFmtId="172" fontId="0" fillId="0" borderId="17" xfId="42" applyNumberFormat="1" applyFont="1" applyBorder="1" applyAlignment="1">
      <alignment/>
    </xf>
    <xf numFmtId="10" fontId="1" fillId="33" borderId="19" xfId="0" applyNumberFormat="1" applyFont="1" applyFill="1" applyBorder="1" applyAlignment="1">
      <alignment/>
    </xf>
    <xf numFmtId="10" fontId="1" fillId="33" borderId="20" xfId="6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1" fillId="34" borderId="13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175" fontId="1" fillId="33" borderId="24" xfId="0" applyNumberFormat="1" applyFont="1" applyFill="1" applyBorder="1" applyAlignment="1">
      <alignment horizontal="center"/>
    </xf>
    <xf numFmtId="10" fontId="14" fillId="0" borderId="19" xfId="0" applyNumberFormat="1" applyFont="1" applyBorder="1" applyAlignment="1">
      <alignment horizontal="center"/>
    </xf>
    <xf numFmtId="10" fontId="14" fillId="0" borderId="18" xfId="0" applyNumberFormat="1" applyFont="1" applyBorder="1" applyAlignment="1">
      <alignment horizontal="center"/>
    </xf>
    <xf numFmtId="10" fontId="1" fillId="0" borderId="22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176" fontId="6" fillId="35" borderId="25" xfId="57" applyFont="1" applyFill="1" applyBorder="1" applyAlignment="1">
      <alignment horizontal="center"/>
      <protection/>
    </xf>
    <xf numFmtId="176" fontId="6" fillId="35" borderId="10" xfId="57" applyFont="1" applyFill="1" applyBorder="1" applyAlignment="1">
      <alignment horizontal="center"/>
      <protection/>
    </xf>
    <xf numFmtId="173" fontId="6" fillId="35" borderId="26" xfId="57" applyNumberFormat="1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>
      <alignment horizontal="center" wrapText="1"/>
    </xf>
    <xf numFmtId="0" fontId="1" fillId="35" borderId="21" xfId="0" applyFont="1" applyFill="1" applyBorder="1" applyAlignment="1">
      <alignment horizontal="center"/>
    </xf>
    <xf numFmtId="0" fontId="1" fillId="35" borderId="13" xfId="0" applyFont="1" applyFill="1" applyBorder="1" applyAlignment="1" quotePrefix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10" fontId="15" fillId="0" borderId="14" xfId="60" applyNumberFormat="1" applyFont="1" applyBorder="1" applyAlignment="1">
      <alignment/>
    </xf>
    <xf numFmtId="10" fontId="15" fillId="0" borderId="0" xfId="60" applyNumberFormat="1" applyFont="1" applyBorder="1" applyAlignment="1">
      <alignment/>
    </xf>
    <xf numFmtId="0" fontId="4" fillId="35" borderId="19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/>
    </xf>
    <xf numFmtId="172" fontId="0" fillId="0" borderId="25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27" xfId="0" applyNumberFormat="1" applyBorder="1" applyAlignment="1">
      <alignment/>
    </xf>
    <xf numFmtId="10" fontId="1" fillId="33" borderId="18" xfId="0" applyNumberFormat="1" applyFont="1" applyFill="1" applyBorder="1" applyAlignment="1">
      <alignment horizontal="center"/>
    </xf>
    <xf numFmtId="10" fontId="1" fillId="0" borderId="0" xfId="60" applyNumberFormat="1" applyFont="1" applyBorder="1" applyAlignment="1">
      <alignment/>
    </xf>
    <xf numFmtId="172" fontId="10" fillId="0" borderId="0" xfId="42" applyNumberFormat="1" applyFont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174" fontId="1" fillId="35" borderId="31" xfId="60" applyNumberFormat="1" applyFont="1" applyFill="1" applyBorder="1" applyAlignment="1">
      <alignment horizontal="left" vertical="center"/>
    </xf>
    <xf numFmtId="0" fontId="1" fillId="35" borderId="21" xfId="0" applyFont="1" applyFill="1" applyBorder="1" applyAlignment="1">
      <alignment horizontal="right" vertical="center"/>
    </xf>
    <xf numFmtId="178" fontId="15" fillId="0" borderId="32" xfId="42" applyNumberFormat="1" applyFont="1" applyBorder="1" applyAlignment="1">
      <alignment horizontal="center"/>
    </xf>
    <xf numFmtId="175" fontId="0" fillId="0" borderId="0" xfId="0" applyNumberFormat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75" fontId="1" fillId="0" borderId="11" xfId="0" applyNumberFormat="1" applyFont="1" applyBorder="1" applyAlignment="1">
      <alignment horizontal="right"/>
    </xf>
    <xf numFmtId="176" fontId="0" fillId="0" borderId="33" xfId="57" applyFont="1" applyBorder="1" applyAlignment="1">
      <alignment horizontal="center"/>
      <protection/>
    </xf>
    <xf numFmtId="172" fontId="0" fillId="0" borderId="32" xfId="42" applyNumberFormat="1" applyFont="1" applyBorder="1" applyAlignment="1">
      <alignment/>
    </xf>
    <xf numFmtId="10" fontId="0" fillId="0" borderId="34" xfId="60" applyNumberFormat="1" applyFont="1" applyBorder="1" applyAlignment="1">
      <alignment/>
    </xf>
    <xf numFmtId="176" fontId="0" fillId="0" borderId="12" xfId="57" applyFont="1" applyBorder="1" applyAlignment="1">
      <alignment horizontal="center"/>
      <protection/>
    </xf>
    <xf numFmtId="172" fontId="0" fillId="0" borderId="0" xfId="42" applyNumberFormat="1" applyFont="1" applyBorder="1" applyAlignment="1">
      <alignment/>
    </xf>
    <xf numFmtId="10" fontId="0" fillId="0" borderId="35" xfId="60" applyNumberFormat="1" applyFont="1" applyBorder="1" applyAlignment="1">
      <alignment/>
    </xf>
    <xf numFmtId="176" fontId="1" fillId="33" borderId="22" xfId="57" applyFont="1" applyFill="1" applyBorder="1" applyAlignment="1">
      <alignment horizontal="center"/>
      <protection/>
    </xf>
    <xf numFmtId="172" fontId="1" fillId="33" borderId="13" xfId="42" applyNumberFormat="1" applyFont="1" applyFill="1" applyBorder="1" applyAlignment="1">
      <alignment/>
    </xf>
    <xf numFmtId="10" fontId="1" fillId="33" borderId="23" xfId="60" applyNumberFormat="1" applyFont="1" applyFill="1" applyBorder="1" applyAlignment="1">
      <alignment/>
    </xf>
    <xf numFmtId="10" fontId="0" fillId="0" borderId="0" xfId="60" applyNumberFormat="1" applyFont="1" applyBorder="1" applyAlignment="1">
      <alignment horizontal="right"/>
    </xf>
    <xf numFmtId="10" fontId="0" fillId="0" borderId="10" xfId="60" applyNumberFormat="1" applyFont="1" applyBorder="1" applyAlignment="1">
      <alignment horizontal="right"/>
    </xf>
    <xf numFmtId="174" fontId="0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174" fontId="15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3" fontId="0" fillId="0" borderId="0" xfId="60" applyNumberFormat="1" applyFont="1" applyBorder="1" applyAlignment="1">
      <alignment horizontal="right"/>
    </xf>
    <xf numFmtId="172" fontId="1" fillId="33" borderId="14" xfId="42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10" fontId="14" fillId="0" borderId="22" xfId="0" applyNumberFormat="1" applyFont="1" applyBorder="1" applyAlignment="1">
      <alignment horizontal="center"/>
    </xf>
    <xf numFmtId="10" fontId="1" fillId="35" borderId="15" xfId="60" applyNumberFormat="1" applyFont="1" applyFill="1" applyBorder="1" applyAlignment="1">
      <alignment horizontal="right"/>
    </xf>
    <xf numFmtId="174" fontId="0" fillId="0" borderId="10" xfId="0" applyNumberFormat="1" applyFont="1" applyBorder="1" applyAlignment="1">
      <alignment/>
    </xf>
    <xf numFmtId="10" fontId="1" fillId="0" borderId="19" xfId="0" applyNumberFormat="1" applyFont="1" applyFill="1" applyBorder="1" applyAlignment="1">
      <alignment/>
    </xf>
    <xf numFmtId="173" fontId="1" fillId="35" borderId="31" xfId="0" applyNumberFormat="1" applyFont="1" applyFill="1" applyBorder="1" applyAlignment="1">
      <alignment/>
    </xf>
    <xf numFmtId="0" fontId="1" fillId="35" borderId="21" xfId="0" applyFont="1" applyFill="1" applyBorder="1" applyAlignment="1">
      <alignment horizontal="right"/>
    </xf>
    <xf numFmtId="172" fontId="0" fillId="0" borderId="14" xfId="42" applyNumberFormat="1" applyFont="1" applyBorder="1" applyAlignment="1" quotePrefix="1">
      <alignment/>
    </xf>
    <xf numFmtId="172" fontId="0" fillId="0" borderId="0" xfId="0" applyNumberFormat="1" applyFont="1" applyAlignment="1">
      <alignment/>
    </xf>
    <xf numFmtId="172" fontId="0" fillId="0" borderId="36" xfId="42" applyNumberFormat="1" applyFont="1" applyBorder="1" applyAlignment="1">
      <alignment/>
    </xf>
    <xf numFmtId="172" fontId="0" fillId="0" borderId="37" xfId="0" applyNumberFormat="1" applyFont="1" applyFill="1" applyBorder="1" applyAlignment="1">
      <alignment/>
    </xf>
    <xf numFmtId="172" fontId="0" fillId="0" borderId="38" xfId="0" applyNumberFormat="1" applyFont="1" applyFill="1" applyBorder="1" applyAlignment="1">
      <alignment/>
    </xf>
    <xf numFmtId="175" fontId="14" fillId="0" borderId="18" xfId="42" applyNumberFormat="1" applyFont="1" applyBorder="1" applyAlignment="1">
      <alignment horizontal="center" vertical="center"/>
    </xf>
    <xf numFmtId="173" fontId="14" fillId="0" borderId="0" xfId="60" applyNumberFormat="1" applyFont="1" applyBorder="1" applyAlignment="1">
      <alignment horizontal="center"/>
    </xf>
    <xf numFmtId="172" fontId="0" fillId="0" borderId="0" xfId="42" applyNumberFormat="1" applyFont="1" applyFill="1" applyBorder="1" applyAlignment="1">
      <alignment/>
    </xf>
    <xf numFmtId="175" fontId="14" fillId="0" borderId="0" xfId="42" applyNumberFormat="1" applyFont="1" applyBorder="1" applyAlignment="1">
      <alignment horizontal="center" vertical="center"/>
    </xf>
    <xf numFmtId="44" fontId="14" fillId="0" borderId="19" xfId="44" applyFont="1" applyBorder="1" applyAlignment="1">
      <alignment horizontal="center" vertical="center"/>
    </xf>
    <xf numFmtId="172" fontId="0" fillId="0" borderId="10" xfId="42" applyNumberFormat="1" applyFont="1" applyBorder="1" applyAlignment="1">
      <alignment/>
    </xf>
    <xf numFmtId="173" fontId="1" fillId="33" borderId="21" xfId="60" applyNumberFormat="1" applyFont="1" applyFill="1" applyBorder="1" applyAlignment="1">
      <alignment horizontal="right"/>
    </xf>
    <xf numFmtId="175" fontId="14" fillId="33" borderId="19" xfId="42" applyNumberFormat="1" applyFont="1" applyFill="1" applyBorder="1" applyAlignment="1">
      <alignment horizontal="center" vertical="center"/>
    </xf>
    <xf numFmtId="173" fontId="0" fillId="0" borderId="11" xfId="0" applyNumberFormat="1" applyBorder="1" applyAlignment="1">
      <alignment/>
    </xf>
    <xf numFmtId="173" fontId="0" fillId="0" borderId="10" xfId="60" applyNumberFormat="1" applyFont="1" applyBorder="1" applyAlignment="1">
      <alignment horizontal="right"/>
    </xf>
    <xf numFmtId="43" fontId="1" fillId="33" borderId="19" xfId="42" applyFont="1" applyFill="1" applyBorder="1" applyAlignment="1">
      <alignment/>
    </xf>
    <xf numFmtId="175" fontId="14" fillId="0" borderId="39" xfId="42" applyNumberFormat="1" applyFont="1" applyBorder="1" applyAlignment="1">
      <alignment horizontal="center"/>
    </xf>
    <xf numFmtId="175" fontId="1" fillId="0" borderId="0" xfId="42" applyNumberFormat="1" applyFont="1" applyBorder="1" applyAlignment="1">
      <alignment horizontal="center" vertical="center"/>
    </xf>
    <xf numFmtId="175" fontId="14" fillId="0" borderId="27" xfId="42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right" shrinkToFit="1"/>
    </xf>
    <xf numFmtId="173" fontId="1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/>
    </xf>
    <xf numFmtId="10" fontId="0" fillId="0" borderId="0" xfId="60" applyNumberFormat="1" applyFont="1" applyFill="1" applyBorder="1" applyAlignment="1">
      <alignment horizontal="center"/>
    </xf>
    <xf numFmtId="10" fontId="1" fillId="0" borderId="0" xfId="60" applyNumberFormat="1" applyFont="1" applyFill="1" applyBorder="1" applyAlignment="1">
      <alignment horizontal="center"/>
    </xf>
    <xf numFmtId="10" fontId="0" fillId="0" borderId="0" xfId="60" applyNumberFormat="1" applyFont="1" applyFill="1" applyBorder="1" applyAlignment="1">
      <alignment horizontal="center"/>
    </xf>
    <xf numFmtId="172" fontId="0" fillId="0" borderId="0" xfId="42" applyNumberFormat="1" applyFont="1" applyBorder="1" applyAlignment="1">
      <alignment/>
    </xf>
    <xf numFmtId="44" fontId="1" fillId="0" borderId="19" xfId="44" applyNumberFormat="1" applyFont="1" applyBorder="1" applyAlignment="1">
      <alignment horizontal="center" vertical="center"/>
    </xf>
    <xf numFmtId="172" fontId="14" fillId="0" borderId="14" xfId="42" applyNumberFormat="1" applyFont="1" applyBorder="1" applyAlignment="1">
      <alignment/>
    </xf>
    <xf numFmtId="172" fontId="14" fillId="0" borderId="14" xfId="42" applyNumberFormat="1" applyFont="1" applyBorder="1" applyAlignment="1" quotePrefix="1">
      <alignment/>
    </xf>
    <xf numFmtId="10" fontId="18" fillId="0" borderId="0" xfId="60" applyNumberFormat="1" applyFont="1" applyBorder="1" applyAlignment="1">
      <alignment/>
    </xf>
    <xf numFmtId="172" fontId="1" fillId="0" borderId="14" xfId="42" applyNumberFormat="1" applyFont="1" applyBorder="1" applyAlignment="1">
      <alignment/>
    </xf>
    <xf numFmtId="172" fontId="1" fillId="0" borderId="14" xfId="42" applyNumberFormat="1" applyFont="1" applyBorder="1" applyAlignment="1" quotePrefix="1">
      <alignment/>
    </xf>
    <xf numFmtId="10" fontId="14" fillId="0" borderId="0" xfId="0" applyNumberFormat="1" applyFont="1" applyAlignment="1">
      <alignment/>
    </xf>
    <xf numFmtId="10" fontId="14" fillId="0" borderId="10" xfId="0" applyNumberFormat="1" applyFont="1" applyBorder="1" applyAlignment="1">
      <alignment/>
    </xf>
    <xf numFmtId="189" fontId="14" fillId="0" borderId="0" xfId="0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54" fillId="0" borderId="27" xfId="42" applyNumberFormat="1" applyFont="1" applyBorder="1" applyAlignment="1" quotePrefix="1">
      <alignment/>
    </xf>
    <xf numFmtId="172" fontId="14" fillId="0" borderId="10" xfId="42" applyNumberFormat="1" applyFont="1" applyBorder="1" applyAlignment="1" quotePrefix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53" applyAlignment="1" applyProtection="1">
      <alignment/>
      <protection/>
    </xf>
    <xf numFmtId="172" fontId="0" fillId="0" borderId="18" xfId="0" applyNumberFormat="1" applyBorder="1" applyAlignment="1">
      <alignment/>
    </xf>
    <xf numFmtId="177" fontId="0" fillId="0" borderId="0" xfId="0" applyNumberFormat="1" applyAlignment="1">
      <alignment/>
    </xf>
    <xf numFmtId="0" fontId="13" fillId="34" borderId="21" xfId="0" applyFont="1" applyFill="1" applyBorder="1" applyAlignment="1">
      <alignment/>
    </xf>
    <xf numFmtId="172" fontId="13" fillId="34" borderId="21" xfId="42" applyNumberFormat="1" applyFont="1" applyFill="1" applyBorder="1" applyAlignment="1">
      <alignment/>
    </xf>
    <xf numFmtId="0" fontId="12" fillId="34" borderId="31" xfId="0" applyFont="1" applyFill="1" applyBorder="1" applyAlignment="1">
      <alignment/>
    </xf>
    <xf numFmtId="173" fontId="14" fillId="0" borderId="0" xfId="0" applyNumberFormat="1" applyFont="1" applyAlignment="1">
      <alignment/>
    </xf>
    <xf numFmtId="0" fontId="1" fillId="35" borderId="40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173" fontId="0" fillId="0" borderId="32" xfId="60" applyNumberFormat="1" applyFont="1" applyBorder="1" applyAlignment="1">
      <alignment/>
    </xf>
    <xf numFmtId="0" fontId="1" fillId="35" borderId="41" xfId="0" applyFont="1" applyFill="1" applyBorder="1" applyAlignment="1">
      <alignment/>
    </xf>
    <xf numFmtId="0" fontId="1" fillId="35" borderId="42" xfId="0" applyFont="1" applyFill="1" applyBorder="1" applyAlignment="1">
      <alignment/>
    </xf>
    <xf numFmtId="0" fontId="0" fillId="0" borderId="43" xfId="0" applyBorder="1" applyAlignment="1">
      <alignment/>
    </xf>
    <xf numFmtId="173" fontId="0" fillId="0" borderId="43" xfId="60" applyNumberFormat="1" applyFont="1" applyBorder="1" applyAlignment="1">
      <alignment/>
    </xf>
    <xf numFmtId="173" fontId="0" fillId="0" borderId="44" xfId="60" applyNumberFormat="1" applyFont="1" applyBorder="1" applyAlignment="1">
      <alignment/>
    </xf>
    <xf numFmtId="173" fontId="10" fillId="0" borderId="43" xfId="0" applyNumberFormat="1" applyFont="1" applyBorder="1" applyAlignment="1">
      <alignment/>
    </xf>
    <xf numFmtId="10" fontId="0" fillId="0" borderId="43" xfId="60" applyNumberFormat="1" applyFont="1" applyBorder="1" applyAlignment="1">
      <alignment/>
    </xf>
    <xf numFmtId="172" fontId="14" fillId="0" borderId="0" xfId="42" applyNumberFormat="1" applyFont="1" applyAlignment="1">
      <alignment/>
    </xf>
    <xf numFmtId="176" fontId="1" fillId="0" borderId="25" xfId="57" applyFont="1" applyBorder="1" applyAlignment="1">
      <alignment horizontal="center"/>
      <protection/>
    </xf>
    <xf numFmtId="172" fontId="1" fillId="0" borderId="10" xfId="42" applyNumberFormat="1" applyFont="1" applyBorder="1" applyAlignment="1">
      <alignment/>
    </xf>
    <xf numFmtId="10" fontId="1" fillId="0" borderId="26" xfId="6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76" fontId="1" fillId="33" borderId="21" xfId="57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2" fontId="1" fillId="33" borderId="21" xfId="42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172" fontId="1" fillId="33" borderId="21" xfId="42" applyNumberFormat="1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shrinkToFit="1"/>
    </xf>
    <xf numFmtId="0" fontId="0" fillId="33" borderId="3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/>
    </xf>
    <xf numFmtId="173" fontId="1" fillId="33" borderId="31" xfId="60" applyNumberFormat="1" applyFont="1" applyFill="1" applyBorder="1" applyAlignment="1">
      <alignment horizontal="center"/>
    </xf>
    <xf numFmtId="172" fontId="1" fillId="0" borderId="0" xfId="42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ostens Mgt Cas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447675</xdr:colOff>
      <xdr:row>54</xdr:row>
      <xdr:rowOff>0</xdr:rowOff>
    </xdr:from>
    <xdr:to>
      <xdr:col>13</xdr:col>
      <xdr:colOff>466725</xdr:colOff>
      <xdr:row>61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11677650" y="9982200"/>
          <a:ext cx="190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61</xdr:row>
      <xdr:rowOff>66675</xdr:rowOff>
    </xdr:from>
    <xdr:to>
      <xdr:col>13</xdr:col>
      <xdr:colOff>447675</xdr:colOff>
      <xdr:row>61</xdr:row>
      <xdr:rowOff>66675</xdr:rowOff>
    </xdr:to>
    <xdr:sp>
      <xdr:nvSpPr>
        <xdr:cNvPr id="2" name="Line 2"/>
        <xdr:cNvSpPr>
          <a:spLocks/>
        </xdr:cNvSpPr>
      </xdr:nvSpPr>
      <xdr:spPr>
        <a:xfrm>
          <a:off x="11229975" y="11096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76200</xdr:rowOff>
    </xdr:from>
    <xdr:to>
      <xdr:col>10</xdr:col>
      <xdr:colOff>266700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8524875" y="1714500"/>
          <a:ext cx="2571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easury.gov/resource-center/data-chart-center/interest-rates/Pages/TextView.aspx?data=yield" TargetMode="External" /><Relationship Id="rId2" Type="http://schemas.openxmlformats.org/officeDocument/2006/relationships/hyperlink" Target="http://finance.yahoo.com/" TargetMode="External" /><Relationship Id="rId3" Type="http://schemas.openxmlformats.org/officeDocument/2006/relationships/hyperlink" Target="http://www.bankrate.com/rates/interest-rates/libor.aspx?ec_id=m1118120&amp;s_kwcid=AL!1325!3!41196777488!e!!g!!libor%20rate&amp;ef_id=Ux9NKQAAAcXzBiC8:20150227133807:s" TargetMode="External" /><Relationship Id="rId4" Type="http://schemas.openxmlformats.org/officeDocument/2006/relationships/hyperlink" Target="https://finance.yahoo.com/quote/AIN?p=AIN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5"/>
  <sheetViews>
    <sheetView tabSelected="1" zoomScale="80" zoomScaleNormal="80" zoomScalePageLayoutView="0" workbookViewId="0" topLeftCell="A1">
      <selection activeCell="D5" sqref="D5"/>
    </sheetView>
  </sheetViews>
  <sheetFormatPr defaultColWidth="9.140625" defaultRowHeight="12.75"/>
  <cols>
    <col min="1" max="1" width="4.00390625" style="0" customWidth="1"/>
    <col min="2" max="2" width="1.1484375" style="0" customWidth="1"/>
    <col min="3" max="3" width="33.7109375" style="0" customWidth="1"/>
    <col min="4" max="4" width="12.57421875" style="0" customWidth="1"/>
    <col min="5" max="5" width="11.57421875" style="0" customWidth="1"/>
    <col min="6" max="6" width="10.421875" style="0" customWidth="1"/>
    <col min="7" max="7" width="13.7109375" style="0" customWidth="1"/>
    <col min="8" max="8" width="13.57421875" style="0" customWidth="1"/>
    <col min="9" max="9" width="13.421875" style="0" customWidth="1"/>
    <col min="10" max="11" width="13.57421875" style="0" customWidth="1"/>
    <col min="12" max="12" width="13.7109375" style="0" customWidth="1"/>
    <col min="13" max="13" width="13.421875" style="0" customWidth="1"/>
    <col min="14" max="14" width="16.421875" style="0" customWidth="1"/>
    <col min="15" max="15" width="12.28125" style="0" customWidth="1"/>
    <col min="16" max="16" width="13.421875" style="0" customWidth="1"/>
    <col min="17" max="18" width="12.28125" style="0" customWidth="1"/>
    <col min="19" max="19" width="12.7109375" style="0" customWidth="1"/>
    <col min="20" max="20" width="14.28125" style="0" customWidth="1"/>
    <col min="21" max="25" width="12.421875" style="0" customWidth="1"/>
  </cols>
  <sheetData>
    <row r="1" spans="3:9" ht="22.5">
      <c r="C1" s="2" t="s">
        <v>119</v>
      </c>
      <c r="D1" s="2"/>
      <c r="E1" s="2"/>
      <c r="F1" s="2"/>
      <c r="G1" s="2"/>
      <c r="I1" s="174" t="s">
        <v>121</v>
      </c>
    </row>
    <row r="2" spans="3:11" ht="12.75" customHeight="1" thickBot="1">
      <c r="C2" s="1" t="s">
        <v>117</v>
      </c>
      <c r="D2" s="1"/>
      <c r="E2" s="1"/>
      <c r="F2" s="3"/>
      <c r="G2" s="4"/>
      <c r="H2" s="4"/>
      <c r="I2" s="5"/>
      <c r="J2" s="4"/>
      <c r="K2" s="6"/>
    </row>
    <row r="3" spans="1:18" ht="18" customHeight="1" thickBot="1">
      <c r="A3" s="90">
        <f>ROW()</f>
        <v>3</v>
      </c>
      <c r="B3" s="7"/>
      <c r="C3" s="64" t="s">
        <v>44</v>
      </c>
      <c r="D3" s="64"/>
      <c r="E3" s="64"/>
      <c r="F3" s="64"/>
      <c r="G3" s="65"/>
      <c r="H3" s="65"/>
      <c r="I3" s="65"/>
      <c r="J3" s="65"/>
      <c r="K3" s="65"/>
      <c r="L3" s="65"/>
      <c r="M3" s="177" t="s">
        <v>64</v>
      </c>
      <c r="N3" s="49"/>
      <c r="O3" s="178"/>
      <c r="P3" s="51"/>
      <c r="Q3" s="179"/>
      <c r="R3" s="179"/>
    </row>
    <row r="4" spans="1:18" ht="43.5" customHeight="1" thickBot="1">
      <c r="A4" s="90">
        <f>ROW()</f>
        <v>4</v>
      </c>
      <c r="B4" s="7"/>
      <c r="C4" s="8" t="s">
        <v>0</v>
      </c>
      <c r="D4" s="8"/>
      <c r="E4" s="8"/>
      <c r="F4" s="75" t="s">
        <v>41</v>
      </c>
      <c r="G4" s="78" t="s">
        <v>82</v>
      </c>
      <c r="H4" s="77" t="s">
        <v>1</v>
      </c>
      <c r="I4" s="78" t="s">
        <v>2</v>
      </c>
      <c r="J4" s="78" t="s">
        <v>76</v>
      </c>
      <c r="K4" s="78" t="s">
        <v>77</v>
      </c>
      <c r="L4" s="78" t="s">
        <v>3</v>
      </c>
      <c r="M4" s="202" t="s">
        <v>60</v>
      </c>
      <c r="N4" s="203"/>
      <c r="O4" s="204"/>
      <c r="P4" s="199" t="s">
        <v>70</v>
      </c>
      <c r="Q4" s="200"/>
      <c r="R4" s="201"/>
    </row>
    <row r="5" spans="1:18" ht="32.25" customHeight="1" thickBot="1">
      <c r="A5" s="90">
        <f>ROW()</f>
        <v>5</v>
      </c>
      <c r="B5" s="7"/>
      <c r="C5" s="7" t="s">
        <v>4</v>
      </c>
      <c r="D5" s="7"/>
      <c r="E5" s="7"/>
      <c r="F5" s="147">
        <f>+G5/J15</f>
        <v>4.151789421240554</v>
      </c>
      <c r="G5" s="159">
        <v>1000000</v>
      </c>
      <c r="H5" s="10">
        <f>+G5/$G$9</f>
        <v>0.26354005660026075</v>
      </c>
      <c r="I5" s="117">
        <f>+F23</f>
        <v>0.05572171405927073</v>
      </c>
      <c r="J5" s="117">
        <f>+I5*(1-$L$14)</f>
        <v>0.04346293696623117</v>
      </c>
      <c r="K5" s="115">
        <f>+J5*H5</f>
        <v>0.011454224868094129</v>
      </c>
      <c r="L5" s="102"/>
      <c r="M5" s="75" t="s">
        <v>51</v>
      </c>
      <c r="N5" s="75" t="s">
        <v>54</v>
      </c>
      <c r="O5" s="76" t="s">
        <v>53</v>
      </c>
      <c r="P5" s="72" t="s">
        <v>8</v>
      </c>
      <c r="Q5" s="73" t="s">
        <v>9</v>
      </c>
      <c r="R5" s="74" t="s">
        <v>10</v>
      </c>
    </row>
    <row r="6" spans="1:18" ht="12.75" thickBot="1">
      <c r="A6" s="90">
        <f>ROW()</f>
        <v>6</v>
      </c>
      <c r="B6" s="7"/>
      <c r="C6" s="7" t="s">
        <v>118</v>
      </c>
      <c r="D6" s="7"/>
      <c r="E6" s="7"/>
      <c r="F6" s="149"/>
      <c r="G6" s="41">
        <f>+G7-G5</f>
        <v>300000</v>
      </c>
      <c r="H6" s="11">
        <f>+G6/$G$9</f>
        <v>0.07906201698007823</v>
      </c>
      <c r="I6" s="127">
        <f>+F32</f>
        <v>0.07000000000000006</v>
      </c>
      <c r="J6" s="117">
        <f>+I6*(1-$L$14)</f>
        <v>0.05460000000000005</v>
      </c>
      <c r="K6" s="116">
        <f>+J6*H6</f>
        <v>0.004316786127112275</v>
      </c>
      <c r="L6" s="103"/>
      <c r="M6" s="67">
        <v>0.005</v>
      </c>
      <c r="N6" s="68">
        <v>0.035</v>
      </c>
      <c r="O6" s="69">
        <f>+N6+M6</f>
        <v>0.04</v>
      </c>
      <c r="P6" s="106">
        <v>1</v>
      </c>
      <c r="Q6" s="107">
        <v>52435</v>
      </c>
      <c r="R6" s="108">
        <v>0.0703</v>
      </c>
    </row>
    <row r="7" spans="1:18" ht="12.75" thickBot="1">
      <c r="A7" s="90">
        <f>ROW()</f>
        <v>7</v>
      </c>
      <c r="B7" s="7"/>
      <c r="C7" s="7" t="s">
        <v>42</v>
      </c>
      <c r="D7" s="7"/>
      <c r="E7" s="7"/>
      <c r="F7" s="136">
        <f>+G7/J15</f>
        <v>5.397326247612721</v>
      </c>
      <c r="G7" s="159">
        <v>1300000</v>
      </c>
      <c r="H7" s="10">
        <f>+G7/$G$9</f>
        <v>0.342602073580339</v>
      </c>
      <c r="I7" s="71"/>
      <c r="J7" s="71"/>
      <c r="K7" s="115">
        <f>+K6+K5</f>
        <v>0.015771010995206405</v>
      </c>
      <c r="L7" s="104"/>
      <c r="M7" s="14"/>
      <c r="N7" s="7"/>
      <c r="O7" s="7"/>
      <c r="P7" s="109"/>
      <c r="Q7" s="110"/>
      <c r="R7" s="111"/>
    </row>
    <row r="8" spans="1:18" ht="15" customHeight="1" thickBot="1">
      <c r="A8" s="90">
        <f>ROW()</f>
        <v>8</v>
      </c>
      <c r="B8" s="7"/>
      <c r="C8" s="7" t="s">
        <v>5</v>
      </c>
      <c r="D8" s="7"/>
      <c r="E8" s="7"/>
      <c r="F8" s="148"/>
      <c r="G8" s="41">
        <f>+G16-G7</f>
        <v>2494489.585</v>
      </c>
      <c r="H8" s="11">
        <f>+G8/$G$9</f>
        <v>0.657397926419661</v>
      </c>
      <c r="I8" s="60">
        <f>+O16</f>
        <v>0.135125</v>
      </c>
      <c r="J8" s="128">
        <f>+I8</f>
        <v>0.135125</v>
      </c>
      <c r="K8" s="115">
        <f>+J8*H8</f>
        <v>0.08883089480745669</v>
      </c>
      <c r="L8" s="103"/>
      <c r="M8" s="205" t="s">
        <v>71</v>
      </c>
      <c r="N8" s="206"/>
      <c r="O8" s="207"/>
      <c r="P8" s="192">
        <v>2</v>
      </c>
      <c r="Q8" s="193">
        <v>10343.765</v>
      </c>
      <c r="R8" s="194">
        <v>0.0805</v>
      </c>
    </row>
    <row r="9" spans="1:18" ht="12.75" thickBot="1">
      <c r="A9" s="90">
        <f>ROW()</f>
        <v>9</v>
      </c>
      <c r="B9" s="7"/>
      <c r="C9" s="7" t="s">
        <v>6</v>
      </c>
      <c r="D9" s="7"/>
      <c r="E9" s="7"/>
      <c r="F9" s="148">
        <f>+G9/J15</f>
        <v>15.753921718010462</v>
      </c>
      <c r="G9" s="12">
        <f>+G8+G7</f>
        <v>3794489.585</v>
      </c>
      <c r="H9" s="13">
        <f>+G9/$G$9</f>
        <v>1</v>
      </c>
      <c r="I9" s="7"/>
      <c r="K9" s="126">
        <f>+K8+K7</f>
        <v>0.1046019058026631</v>
      </c>
      <c r="L9" s="105">
        <f>+G9/J15</f>
        <v>15.753921718010462</v>
      </c>
      <c r="M9" s="62"/>
      <c r="N9" s="70">
        <v>0.07</v>
      </c>
      <c r="O9" s="63"/>
      <c r="P9" s="106">
        <v>3</v>
      </c>
      <c r="Q9" s="107">
        <v>4143.902</v>
      </c>
      <c r="R9" s="108">
        <v>0.0847</v>
      </c>
    </row>
    <row r="10" spans="1:18" ht="14.25" customHeight="1" thickBot="1" thickTop="1">
      <c r="A10" s="90">
        <f>ROW()</f>
        <v>10</v>
      </c>
      <c r="B10" s="7"/>
      <c r="C10" s="7"/>
      <c r="D10" s="7"/>
      <c r="E10" s="7"/>
      <c r="F10" s="7"/>
      <c r="G10" s="59"/>
      <c r="H10" s="59"/>
      <c r="I10" s="141"/>
      <c r="K10" s="9"/>
      <c r="L10" s="9"/>
      <c r="M10" s="14"/>
      <c r="N10" s="7"/>
      <c r="O10" s="7"/>
      <c r="P10" s="106">
        <v>4</v>
      </c>
      <c r="Q10" s="107">
        <v>2177.448</v>
      </c>
      <c r="R10" s="108">
        <v>0.0875</v>
      </c>
    </row>
    <row r="11" spans="1:18" ht="41.25" customHeight="1" thickBot="1">
      <c r="A11" s="90">
        <f>ROW()</f>
        <v>11</v>
      </c>
      <c r="B11" s="7"/>
      <c r="C11" s="58" t="s">
        <v>7</v>
      </c>
      <c r="D11" s="75" t="s">
        <v>90</v>
      </c>
      <c r="E11" s="75" t="s">
        <v>91</v>
      </c>
      <c r="F11" s="75" t="s">
        <v>40</v>
      </c>
      <c r="G11" s="78" t="s">
        <v>82</v>
      </c>
      <c r="H11" s="79" t="s">
        <v>55</v>
      </c>
      <c r="I11" s="79" t="s">
        <v>92</v>
      </c>
      <c r="K11" s="100" t="s">
        <v>67</v>
      </c>
      <c r="L11" s="99">
        <f>+(G5/G7*J5)+(G6/G7*J6)</f>
        <v>0.04603302843556246</v>
      </c>
      <c r="M11" s="202" t="s">
        <v>79</v>
      </c>
      <c r="N11" s="203"/>
      <c r="O11" s="204"/>
      <c r="P11" s="106">
        <v>5</v>
      </c>
      <c r="Q11" s="107">
        <v>1327.582</v>
      </c>
      <c r="R11" s="108">
        <v>0.0903</v>
      </c>
    </row>
    <row r="12" spans="1:18" ht="12.75" thickBot="1">
      <c r="A12" s="90">
        <f>ROW()</f>
        <v>12</v>
      </c>
      <c r="B12" s="7"/>
      <c r="C12" s="9" t="s">
        <v>81</v>
      </c>
      <c r="D12" s="140">
        <v>81.45</v>
      </c>
      <c r="E12" s="160">
        <f>+D12*(1+E15)</f>
        <v>105.885</v>
      </c>
      <c r="F12" s="139"/>
      <c r="G12" s="35">
        <f>+E12*I12*1000</f>
        <v>3250669.5</v>
      </c>
      <c r="H12" s="121">
        <f>+G12/$G$16</f>
        <v>0.8566816240187414</v>
      </c>
      <c r="I12" s="146">
        <v>30.7</v>
      </c>
      <c r="M12" s="172" t="s">
        <v>97</v>
      </c>
      <c r="N12" s="7"/>
      <c r="O12" s="167">
        <v>0.01</v>
      </c>
      <c r="P12" s="106">
        <v>6</v>
      </c>
      <c r="Q12" s="107">
        <v>840</v>
      </c>
      <c r="R12" s="108">
        <v>0.0918</v>
      </c>
    </row>
    <row r="13" spans="1:18" ht="12.75" thickBot="1">
      <c r="A13" s="90">
        <f>ROW()</f>
        <v>13</v>
      </c>
      <c r="B13" s="7"/>
      <c r="C13" s="169" t="s">
        <v>96</v>
      </c>
      <c r="D13" s="9"/>
      <c r="E13" s="9"/>
      <c r="F13" s="9"/>
      <c r="G13" s="171">
        <v>446300</v>
      </c>
      <c r="H13" s="145">
        <f>+G13/$G$16</f>
        <v>0.11761792726069638</v>
      </c>
      <c r="M13" s="14" t="s">
        <v>94</v>
      </c>
      <c r="N13" s="7"/>
      <c r="O13" s="168">
        <v>1.43</v>
      </c>
      <c r="P13" s="106">
        <v>7</v>
      </c>
      <c r="Q13" s="107">
        <v>537.693</v>
      </c>
      <c r="R13" s="108">
        <v>0.0958</v>
      </c>
    </row>
    <row r="14" spans="1:18" ht="12.75" thickBot="1">
      <c r="A14" s="90">
        <f>ROW()</f>
        <v>14</v>
      </c>
      <c r="B14" s="7"/>
      <c r="C14" s="9" t="s">
        <v>88</v>
      </c>
      <c r="D14" s="9"/>
      <c r="E14" s="9"/>
      <c r="F14" s="143"/>
      <c r="G14" s="9">
        <f>+G13+G12</f>
        <v>3696969.5</v>
      </c>
      <c r="H14" s="121">
        <f>+G14/$G$16</f>
        <v>0.9742995512794378</v>
      </c>
      <c r="K14" s="130" t="s">
        <v>78</v>
      </c>
      <c r="L14" s="129">
        <v>0.22</v>
      </c>
      <c r="M14" s="14" t="s">
        <v>68</v>
      </c>
      <c r="N14" s="7"/>
      <c r="O14" s="167">
        <v>0.0875</v>
      </c>
      <c r="P14" s="106">
        <v>8</v>
      </c>
      <c r="Q14" s="107">
        <v>333.442</v>
      </c>
      <c r="R14" s="108">
        <v>0.0991</v>
      </c>
    </row>
    <row r="15" spans="1:18" ht="12.75" customHeight="1" thickBot="1">
      <c r="A15" s="90">
        <f>ROW()</f>
        <v>15</v>
      </c>
      <c r="B15" s="7"/>
      <c r="C15" s="9" t="s">
        <v>36</v>
      </c>
      <c r="D15" s="142" t="s">
        <v>93</v>
      </c>
      <c r="E15" s="209">
        <v>0.3</v>
      </c>
      <c r="F15" s="137">
        <v>0.03</v>
      </c>
      <c r="G15" s="9">
        <f>F15*G12</f>
        <v>97520.08499999999</v>
      </c>
      <c r="H15" s="121">
        <f>+G15/$G$16</f>
        <v>0.02570044872056224</v>
      </c>
      <c r="I15" s="30" t="s">
        <v>85</v>
      </c>
      <c r="J15" s="210">
        <v>240860</v>
      </c>
      <c r="M15" s="14" t="s">
        <v>69</v>
      </c>
      <c r="N15" s="7"/>
      <c r="O15" s="167">
        <v>0</v>
      </c>
      <c r="P15" s="106">
        <v>9</v>
      </c>
      <c r="Q15" s="107">
        <v>192.598</v>
      </c>
      <c r="R15" s="108">
        <v>0.1043</v>
      </c>
    </row>
    <row r="16" spans="1:18" ht="12.75" customHeight="1" thickBot="1">
      <c r="A16" s="90">
        <f>ROW()</f>
        <v>16</v>
      </c>
      <c r="B16" s="7"/>
      <c r="C16" s="138" t="s">
        <v>89</v>
      </c>
      <c r="G16" s="28">
        <f>+G15+G14</f>
        <v>3794489.585</v>
      </c>
      <c r="H16" s="144">
        <f>+G16/$G$16</f>
        <v>1</v>
      </c>
      <c r="M16" s="56" t="s">
        <v>11</v>
      </c>
      <c r="N16" s="57"/>
      <c r="O16" s="61">
        <f>+O12+(O13*O14)</f>
        <v>0.135125</v>
      </c>
      <c r="P16" s="112">
        <v>10</v>
      </c>
      <c r="Q16" s="113">
        <v>84.521</v>
      </c>
      <c r="R16" s="114">
        <v>0.1105</v>
      </c>
    </row>
    <row r="17" spans="1:17" ht="12" customHeight="1" thickBot="1" thickTop="1">
      <c r="A17" s="90">
        <f>ROW()</f>
        <v>17</v>
      </c>
      <c r="B17" s="7"/>
      <c r="C17" s="36"/>
      <c r="D17" s="36"/>
      <c r="E17" s="36"/>
      <c r="F17" s="36"/>
      <c r="G17" s="36"/>
      <c r="H17" s="15"/>
      <c r="I17" s="36"/>
      <c r="J17" s="36"/>
      <c r="K17" s="36"/>
      <c r="L17" s="15"/>
      <c r="M17" s="15"/>
      <c r="N17" s="15"/>
      <c r="O17" s="15"/>
      <c r="Q17" s="9"/>
    </row>
    <row r="18" spans="1:19" ht="12.75" customHeight="1" thickBot="1">
      <c r="A18" s="90">
        <f>ROW()</f>
        <v>18</v>
      </c>
      <c r="C18" s="48" t="s">
        <v>58</v>
      </c>
      <c r="D18" s="48"/>
      <c r="E18" s="48"/>
      <c r="F18" s="48"/>
      <c r="G18" s="49"/>
      <c r="H18" s="49"/>
      <c r="I18" s="49"/>
      <c r="J18" s="49"/>
      <c r="K18" s="49"/>
      <c r="L18" s="49"/>
      <c r="M18" s="50"/>
      <c r="N18" s="51"/>
      <c r="O18" s="49"/>
      <c r="P18" s="49"/>
      <c r="Q18" s="49"/>
      <c r="R18" s="49"/>
      <c r="S18" s="49"/>
    </row>
    <row r="19" spans="1:19" ht="15.75" customHeight="1" thickBot="1">
      <c r="A19" s="90">
        <f>ROW()</f>
        <v>19</v>
      </c>
      <c r="C19" s="16" t="s">
        <v>13</v>
      </c>
      <c r="D19" s="16"/>
      <c r="E19" s="16"/>
      <c r="F19" s="83" t="s">
        <v>52</v>
      </c>
      <c r="G19" s="84" t="s">
        <v>43</v>
      </c>
      <c r="H19" s="85">
        <f aca="true" t="shared" si="0" ref="H19:M19">+H39</f>
        <v>2021</v>
      </c>
      <c r="I19" s="85">
        <f t="shared" si="0"/>
        <v>2022</v>
      </c>
      <c r="J19" s="85">
        <f t="shared" si="0"/>
        <v>2023</v>
      </c>
      <c r="K19" s="85">
        <f t="shared" si="0"/>
        <v>2024</v>
      </c>
      <c r="L19" s="85">
        <f t="shared" si="0"/>
        <v>2025</v>
      </c>
      <c r="M19" s="84">
        <f t="shared" si="0"/>
        <v>2026</v>
      </c>
      <c r="N19" s="85">
        <f aca="true" t="shared" si="1" ref="N19:S19">+M19+1</f>
        <v>2027</v>
      </c>
      <c r="O19" s="85">
        <f t="shared" si="1"/>
        <v>2028</v>
      </c>
      <c r="P19" s="85">
        <f t="shared" si="1"/>
        <v>2029</v>
      </c>
      <c r="Q19" s="85">
        <f t="shared" si="1"/>
        <v>2030</v>
      </c>
      <c r="R19" s="85">
        <f t="shared" si="1"/>
        <v>2031</v>
      </c>
      <c r="S19" s="85">
        <f t="shared" si="1"/>
        <v>2032</v>
      </c>
    </row>
    <row r="20" spans="1:19" ht="12.75" customHeight="1">
      <c r="A20" s="90">
        <f>ROW()</f>
        <v>20</v>
      </c>
      <c r="C20" t="s">
        <v>61</v>
      </c>
      <c r="G20" s="44">
        <f>+G5</f>
        <v>1000000</v>
      </c>
      <c r="H20" s="18">
        <f aca="true" t="shared" si="2" ref="H20:S20">+G20-H21</f>
        <v>1000000</v>
      </c>
      <c r="I20" s="18">
        <f t="shared" si="2"/>
        <v>990000</v>
      </c>
      <c r="J20" s="18">
        <f t="shared" si="2"/>
        <v>980000</v>
      </c>
      <c r="K20" s="18">
        <f t="shared" si="2"/>
        <v>960000</v>
      </c>
      <c r="L20" s="18">
        <f t="shared" si="2"/>
        <v>910000</v>
      </c>
      <c r="M20" s="19">
        <f>+L20-M21</f>
        <v>810000</v>
      </c>
      <c r="N20" s="18">
        <f t="shared" si="2"/>
        <v>0</v>
      </c>
      <c r="O20" s="18">
        <f t="shared" si="2"/>
        <v>0</v>
      </c>
      <c r="P20" s="18">
        <f t="shared" si="2"/>
        <v>0</v>
      </c>
      <c r="Q20" s="18">
        <f t="shared" si="2"/>
        <v>0</v>
      </c>
      <c r="R20" s="18">
        <f t="shared" si="2"/>
        <v>0</v>
      </c>
      <c r="S20" s="18">
        <f t="shared" si="2"/>
        <v>0</v>
      </c>
    </row>
    <row r="21" spans="1:19" ht="12.75">
      <c r="A21" s="90">
        <f>ROW()</f>
        <v>21</v>
      </c>
      <c r="C21" t="s">
        <v>63</v>
      </c>
      <c r="G21" s="46" t="s">
        <v>37</v>
      </c>
      <c r="H21" s="42">
        <v>0</v>
      </c>
      <c r="I21" s="191">
        <f>+G20*0.01</f>
        <v>10000</v>
      </c>
      <c r="J21" s="191">
        <f>+G20*0.01</f>
        <v>10000</v>
      </c>
      <c r="K21" s="191">
        <f>+G20*0.02</f>
        <v>20000</v>
      </c>
      <c r="L21" s="191">
        <f>+G20*0.05</f>
        <v>50000</v>
      </c>
      <c r="M21" s="161">
        <f>+G20*0.1</f>
        <v>100000</v>
      </c>
      <c r="N21" s="191">
        <f aca="true" t="shared" si="3" ref="N21:S21">+M20</f>
        <v>810000</v>
      </c>
      <c r="O21" s="18">
        <f t="shared" si="3"/>
        <v>0</v>
      </c>
      <c r="P21" s="18">
        <f t="shared" si="3"/>
        <v>0</v>
      </c>
      <c r="Q21" s="18">
        <f t="shared" si="3"/>
        <v>0</v>
      </c>
      <c r="R21" s="18">
        <f t="shared" si="3"/>
        <v>0</v>
      </c>
      <c r="S21" s="18">
        <f t="shared" si="3"/>
        <v>0</v>
      </c>
    </row>
    <row r="22" spans="1:19" ht="12.75">
      <c r="A22" s="90">
        <f>ROW()</f>
        <v>22</v>
      </c>
      <c r="C22" t="s">
        <v>62</v>
      </c>
      <c r="G22" s="45">
        <f>+I5</f>
        <v>0.05572171405927073</v>
      </c>
      <c r="H22" s="18">
        <f>+G20*H24</f>
        <v>45000.00000000001</v>
      </c>
      <c r="I22" s="18">
        <f>+H20*(I25+$N$6)</f>
        <v>50000</v>
      </c>
      <c r="J22" s="18">
        <f>+I20*(J25+$N$6)</f>
        <v>59400.00000000001</v>
      </c>
      <c r="K22" s="18">
        <f>+J20*(K25+$N$6)</f>
        <v>58800.00000000001</v>
      </c>
      <c r="L22" s="18">
        <f>+K20*(L25+$N$6)</f>
        <v>57600.00000000001</v>
      </c>
      <c r="M22" s="19">
        <f>+L20*(M25+$N$6)</f>
        <v>54600.00000000001</v>
      </c>
      <c r="N22" s="18">
        <f aca="true" t="shared" si="4" ref="N22:S22">+M20*(N25+$N$6)</f>
        <v>48600.00000000001</v>
      </c>
      <c r="O22" s="18">
        <f t="shared" si="4"/>
        <v>0</v>
      </c>
      <c r="P22" s="18">
        <f t="shared" si="4"/>
        <v>0</v>
      </c>
      <c r="Q22" s="18">
        <f t="shared" si="4"/>
        <v>0</v>
      </c>
      <c r="R22" s="18">
        <f t="shared" si="4"/>
        <v>0</v>
      </c>
      <c r="S22" s="18">
        <f t="shared" si="4"/>
        <v>0</v>
      </c>
    </row>
    <row r="23" spans="1:19" ht="12.75" thickBot="1">
      <c r="A23" s="90">
        <f>ROW()</f>
        <v>23</v>
      </c>
      <c r="C23" t="s">
        <v>15</v>
      </c>
      <c r="F23" s="118">
        <f>IRR(G23:S23)</f>
        <v>0.05572171405927073</v>
      </c>
      <c r="G23" s="23">
        <f>-G20</f>
        <v>-1000000</v>
      </c>
      <c r="H23" s="12">
        <f aca="true" t="shared" si="5" ref="H23:S23">+H21+H22</f>
        <v>45000.00000000001</v>
      </c>
      <c r="I23" s="12">
        <f t="shared" si="5"/>
        <v>60000</v>
      </c>
      <c r="J23" s="12">
        <f t="shared" si="5"/>
        <v>69400</v>
      </c>
      <c r="K23" s="12">
        <f t="shared" si="5"/>
        <v>78800</v>
      </c>
      <c r="L23" s="12">
        <f t="shared" si="5"/>
        <v>107600</v>
      </c>
      <c r="M23" s="20">
        <f t="shared" si="5"/>
        <v>154600</v>
      </c>
      <c r="N23" s="12">
        <f t="shared" si="5"/>
        <v>858600</v>
      </c>
      <c r="O23" s="12">
        <f t="shared" si="5"/>
        <v>0</v>
      </c>
      <c r="P23" s="12">
        <f t="shared" si="5"/>
        <v>0</v>
      </c>
      <c r="Q23" s="12">
        <f t="shared" si="5"/>
        <v>0</v>
      </c>
      <c r="R23" s="12">
        <f t="shared" si="5"/>
        <v>0</v>
      </c>
      <c r="S23" s="12">
        <f t="shared" si="5"/>
        <v>0</v>
      </c>
    </row>
    <row r="24" spans="1:19" ht="12.75" thickTop="1">
      <c r="A24" s="90">
        <f>ROW()</f>
        <v>24</v>
      </c>
      <c r="C24" t="s">
        <v>80</v>
      </c>
      <c r="F24" s="118"/>
      <c r="G24" s="22"/>
      <c r="H24" s="82">
        <f>+$N$6+H25</f>
        <v>0.045000000000000005</v>
      </c>
      <c r="I24" s="82">
        <f>+$N$6+I25</f>
        <v>0.05</v>
      </c>
      <c r="J24" s="82">
        <f>+$N$6+J25</f>
        <v>0.060000000000000005</v>
      </c>
      <c r="K24" s="82">
        <f>+$N$6+K25</f>
        <v>0.060000000000000005</v>
      </c>
      <c r="L24" s="82">
        <f>+$N$6+L25</f>
        <v>0.060000000000000005</v>
      </c>
      <c r="M24" s="81">
        <f aca="true" t="shared" si="6" ref="M24:S24">+$N$6+M25</f>
        <v>0.060000000000000005</v>
      </c>
      <c r="N24" s="82">
        <f t="shared" si="6"/>
        <v>0.060000000000000005</v>
      </c>
      <c r="O24" s="82">
        <f t="shared" si="6"/>
        <v>0.060000000000000005</v>
      </c>
      <c r="P24" s="82">
        <f t="shared" si="6"/>
        <v>0.060000000000000005</v>
      </c>
      <c r="Q24" s="82">
        <f t="shared" si="6"/>
        <v>0.060000000000000005</v>
      </c>
      <c r="R24" s="82">
        <f t="shared" si="6"/>
        <v>0.060000000000000005</v>
      </c>
      <c r="S24" s="82">
        <f t="shared" si="6"/>
        <v>0.060000000000000005</v>
      </c>
    </row>
    <row r="25" spans="1:19" ht="12.75">
      <c r="A25" s="90">
        <f>ROW()</f>
        <v>25</v>
      </c>
      <c r="C25" s="16" t="s">
        <v>59</v>
      </c>
      <c r="D25" s="16"/>
      <c r="E25" s="16"/>
      <c r="F25" s="119"/>
      <c r="G25" s="81">
        <f>+M6</f>
        <v>0.005</v>
      </c>
      <c r="H25" s="82">
        <f aca="true" t="shared" si="7" ref="H25:R25">+G25+H26</f>
        <v>0.01</v>
      </c>
      <c r="I25" s="82">
        <f t="shared" si="7"/>
        <v>0.015</v>
      </c>
      <c r="J25" s="82">
        <f t="shared" si="7"/>
        <v>0.025</v>
      </c>
      <c r="K25" s="82">
        <f t="shared" si="7"/>
        <v>0.025</v>
      </c>
      <c r="L25" s="82">
        <f t="shared" si="7"/>
        <v>0.025</v>
      </c>
      <c r="M25" s="81">
        <f>+L25+M26</f>
        <v>0.025</v>
      </c>
      <c r="N25" s="82">
        <f t="shared" si="7"/>
        <v>0.025</v>
      </c>
      <c r="O25" s="82">
        <f t="shared" si="7"/>
        <v>0.025</v>
      </c>
      <c r="P25" s="82">
        <f t="shared" si="7"/>
        <v>0.025</v>
      </c>
      <c r="Q25" s="82">
        <f t="shared" si="7"/>
        <v>0.025</v>
      </c>
      <c r="R25" s="82">
        <f t="shared" si="7"/>
        <v>0.025</v>
      </c>
      <c r="S25" s="82">
        <f>+R25+S26</f>
        <v>0.025</v>
      </c>
    </row>
    <row r="26" spans="1:19" ht="12.75">
      <c r="A26" s="90">
        <f>ROW()</f>
        <v>26</v>
      </c>
      <c r="C26" s="80" t="s">
        <v>73</v>
      </c>
      <c r="D26" s="80"/>
      <c r="E26" s="80"/>
      <c r="F26" s="119"/>
      <c r="G26" s="81"/>
      <c r="H26" s="163">
        <v>0.005</v>
      </c>
      <c r="I26" s="163">
        <v>0.005</v>
      </c>
      <c r="J26" s="163">
        <v>0.01</v>
      </c>
      <c r="K26" s="163">
        <v>0</v>
      </c>
      <c r="L26" s="82">
        <v>0</v>
      </c>
      <c r="M26" s="81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</row>
    <row r="27" spans="1:13" ht="8.25" customHeight="1">
      <c r="A27" s="90">
        <f>ROW()</f>
        <v>27</v>
      </c>
      <c r="F27" s="118"/>
      <c r="G27" s="21"/>
      <c r="M27" s="21"/>
    </row>
    <row r="28" spans="1:13" ht="12.75">
      <c r="A28" s="90">
        <f>ROW()</f>
        <v>28</v>
      </c>
      <c r="C28" s="16" t="s">
        <v>16</v>
      </c>
      <c r="D28" s="16"/>
      <c r="E28" s="16"/>
      <c r="F28" s="120"/>
      <c r="G28" s="21"/>
      <c r="M28" s="21"/>
    </row>
    <row r="29" spans="1:19" ht="12.75">
      <c r="A29" s="90">
        <f>ROW()</f>
        <v>29</v>
      </c>
      <c r="C29" t="s">
        <v>14</v>
      </c>
      <c r="F29" s="118"/>
      <c r="G29" s="44">
        <f>+G6</f>
        <v>300000</v>
      </c>
      <c r="H29" s="18">
        <f aca="true" t="shared" si="8" ref="H29:Q29">+G29-H30</f>
        <v>300000</v>
      </c>
      <c r="I29" s="18">
        <f t="shared" si="8"/>
        <v>300000</v>
      </c>
      <c r="J29" s="18">
        <f t="shared" si="8"/>
        <v>300000</v>
      </c>
      <c r="K29" s="18">
        <f t="shared" si="8"/>
        <v>300000</v>
      </c>
      <c r="L29" s="18">
        <f t="shared" si="8"/>
        <v>300000</v>
      </c>
      <c r="M29" s="19">
        <f>+L29-M30</f>
        <v>300000</v>
      </c>
      <c r="N29" s="18">
        <f t="shared" si="8"/>
        <v>300000</v>
      </c>
      <c r="O29" s="18">
        <f t="shared" si="8"/>
        <v>300000</v>
      </c>
      <c r="P29" s="18">
        <f t="shared" si="8"/>
        <v>300000</v>
      </c>
      <c r="Q29" s="18">
        <f t="shared" si="8"/>
        <v>0</v>
      </c>
      <c r="R29" s="18"/>
      <c r="S29" s="18"/>
    </row>
    <row r="30" spans="1:19" ht="12.75">
      <c r="A30" s="90">
        <f>ROW()</f>
        <v>30</v>
      </c>
      <c r="C30" t="s">
        <v>63</v>
      </c>
      <c r="F30" s="118"/>
      <c r="G30" s="46" t="s">
        <v>38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3">
        <v>0</v>
      </c>
      <c r="N30" s="42">
        <v>0</v>
      </c>
      <c r="O30" s="42">
        <v>0</v>
      </c>
      <c r="P30" s="42">
        <v>0</v>
      </c>
      <c r="Q30" s="42">
        <f>+P29</f>
        <v>300000</v>
      </c>
      <c r="R30" s="42"/>
      <c r="S30" s="42"/>
    </row>
    <row r="31" spans="1:19" ht="12.75">
      <c r="A31" s="90">
        <f>ROW()</f>
        <v>31</v>
      </c>
      <c r="C31" t="s">
        <v>62</v>
      </c>
      <c r="F31" s="118"/>
      <c r="G31" s="47">
        <f>+N9</f>
        <v>0.07</v>
      </c>
      <c r="H31" s="18">
        <f>+G29*$N$9</f>
        <v>21000.000000000004</v>
      </c>
      <c r="I31" s="18">
        <f aca="true" t="shared" si="9" ref="I31:S31">+H29*$G$31</f>
        <v>21000.000000000004</v>
      </c>
      <c r="J31" s="18">
        <f t="shared" si="9"/>
        <v>21000.000000000004</v>
      </c>
      <c r="K31" s="18">
        <f t="shared" si="9"/>
        <v>21000.000000000004</v>
      </c>
      <c r="L31" s="18">
        <f>+K29*$G$31</f>
        <v>21000.000000000004</v>
      </c>
      <c r="M31" s="19">
        <f>+L29*$G$31</f>
        <v>21000.000000000004</v>
      </c>
      <c r="N31" s="18">
        <f t="shared" si="9"/>
        <v>21000.000000000004</v>
      </c>
      <c r="O31" s="18">
        <f t="shared" si="9"/>
        <v>21000.000000000004</v>
      </c>
      <c r="P31" s="18">
        <f t="shared" si="9"/>
        <v>21000.000000000004</v>
      </c>
      <c r="Q31" s="18">
        <f t="shared" si="9"/>
        <v>21000.000000000004</v>
      </c>
      <c r="R31" s="18">
        <f t="shared" si="9"/>
        <v>0</v>
      </c>
      <c r="S31" s="18">
        <f t="shared" si="9"/>
        <v>0</v>
      </c>
    </row>
    <row r="32" spans="1:19" ht="12.75" thickBot="1">
      <c r="A32" s="90">
        <f>ROW()</f>
        <v>32</v>
      </c>
      <c r="C32" t="s">
        <v>15</v>
      </c>
      <c r="F32" s="118">
        <f>IRR(G32:S32)</f>
        <v>0.07000000000000006</v>
      </c>
      <c r="G32" s="23">
        <f>-G29</f>
        <v>-300000</v>
      </c>
      <c r="H32" s="12">
        <f aca="true" t="shared" si="10" ref="H32:S32">+H30+H31</f>
        <v>21000.000000000004</v>
      </c>
      <c r="I32" s="12">
        <f t="shared" si="10"/>
        <v>21000.000000000004</v>
      </c>
      <c r="J32" s="12">
        <f t="shared" si="10"/>
        <v>21000.000000000004</v>
      </c>
      <c r="K32" s="12">
        <f t="shared" si="10"/>
        <v>21000.000000000004</v>
      </c>
      <c r="L32" s="12">
        <f t="shared" si="10"/>
        <v>21000.000000000004</v>
      </c>
      <c r="M32" s="20">
        <f t="shared" si="10"/>
        <v>21000.000000000004</v>
      </c>
      <c r="N32" s="12">
        <f t="shared" si="10"/>
        <v>21000.000000000004</v>
      </c>
      <c r="O32" s="12">
        <f t="shared" si="10"/>
        <v>21000.000000000004</v>
      </c>
      <c r="P32" s="12">
        <f t="shared" si="10"/>
        <v>21000.000000000004</v>
      </c>
      <c r="Q32" s="12">
        <f t="shared" si="10"/>
        <v>321000</v>
      </c>
      <c r="R32" s="12">
        <f t="shared" si="10"/>
        <v>0</v>
      </c>
      <c r="S32" s="12">
        <f t="shared" si="10"/>
        <v>0</v>
      </c>
    </row>
    <row r="33" spans="1:16" ht="9.75" customHeight="1" thickTop="1">
      <c r="A33" s="90">
        <f>ROW()</f>
        <v>33</v>
      </c>
      <c r="G33" s="21"/>
      <c r="H33" s="9"/>
      <c r="I33" s="9"/>
      <c r="J33" s="9"/>
      <c r="K33" s="9"/>
      <c r="L33" s="9"/>
      <c r="M33" s="19"/>
      <c r="N33" s="9"/>
      <c r="O33" s="9"/>
      <c r="P33" s="9"/>
    </row>
    <row r="34" spans="1:19" ht="12.75">
      <c r="A34" s="90">
        <f>ROW()</f>
        <v>34</v>
      </c>
      <c r="C34" t="s">
        <v>17</v>
      </c>
      <c r="G34" s="21"/>
      <c r="H34" s="9">
        <f aca="true" t="shared" si="11" ref="H34:S34">+H30+H31+H21+H22</f>
        <v>66000.00000000001</v>
      </c>
      <c r="I34" s="9">
        <f t="shared" si="11"/>
        <v>81000</v>
      </c>
      <c r="J34" s="9">
        <f t="shared" si="11"/>
        <v>90400.00000000001</v>
      </c>
      <c r="K34" s="9">
        <f t="shared" si="11"/>
        <v>99800</v>
      </c>
      <c r="L34" s="9">
        <f t="shared" si="11"/>
        <v>128600</v>
      </c>
      <c r="M34" s="19">
        <f t="shared" si="11"/>
        <v>175600</v>
      </c>
      <c r="N34" s="9">
        <f t="shared" si="11"/>
        <v>879600</v>
      </c>
      <c r="O34" s="9">
        <f t="shared" si="11"/>
        <v>21000.000000000004</v>
      </c>
      <c r="P34" s="9">
        <f t="shared" si="11"/>
        <v>21000.000000000004</v>
      </c>
      <c r="Q34" s="9">
        <f t="shared" si="11"/>
        <v>321000</v>
      </c>
      <c r="R34" s="9">
        <f t="shared" si="11"/>
        <v>0</v>
      </c>
      <c r="S34" s="9">
        <f t="shared" si="11"/>
        <v>0</v>
      </c>
    </row>
    <row r="35" spans="1:19" ht="12.75" thickBot="1">
      <c r="A35" s="90">
        <f>ROW()</f>
        <v>35</v>
      </c>
      <c r="C35" t="s">
        <v>18</v>
      </c>
      <c r="G35" s="175">
        <f>+G29+G20</f>
        <v>1300000</v>
      </c>
      <c r="H35" s="9">
        <f aca="true" t="shared" si="12" ref="H35:S35">+H29+H20</f>
        <v>1300000</v>
      </c>
      <c r="I35" s="9">
        <f t="shared" si="12"/>
        <v>1290000</v>
      </c>
      <c r="J35" s="9">
        <f t="shared" si="12"/>
        <v>1280000</v>
      </c>
      <c r="K35" s="9">
        <f t="shared" si="12"/>
        <v>1260000</v>
      </c>
      <c r="L35" s="9">
        <f t="shared" si="12"/>
        <v>1210000</v>
      </c>
      <c r="M35" s="122">
        <f t="shared" si="12"/>
        <v>1110000</v>
      </c>
      <c r="N35" s="9">
        <f t="shared" si="12"/>
        <v>300000</v>
      </c>
      <c r="O35" s="9">
        <f t="shared" si="12"/>
        <v>300000</v>
      </c>
      <c r="P35" s="9">
        <f t="shared" si="12"/>
        <v>300000</v>
      </c>
      <c r="Q35" s="9">
        <f t="shared" si="12"/>
        <v>0</v>
      </c>
      <c r="R35" s="9">
        <f t="shared" si="12"/>
        <v>0</v>
      </c>
      <c r="S35" s="9">
        <f t="shared" si="12"/>
        <v>0</v>
      </c>
    </row>
    <row r="36" spans="1:16" ht="12" customHeight="1" thickBot="1">
      <c r="A36" s="90">
        <f>ROW()</f>
        <v>36</v>
      </c>
      <c r="C36" s="15"/>
      <c r="D36" s="15"/>
      <c r="E36" s="15"/>
      <c r="F36" s="15"/>
      <c r="G36" s="15"/>
      <c r="H36" s="36"/>
      <c r="I36" s="36"/>
      <c r="J36" s="36"/>
      <c r="K36" s="36"/>
      <c r="L36" s="36"/>
      <c r="M36" s="37"/>
      <c r="N36" s="36"/>
      <c r="O36" s="15"/>
      <c r="P36" s="15"/>
    </row>
    <row r="37" spans="1:19" ht="15" customHeight="1" thickBot="1">
      <c r="A37" s="90">
        <f>ROW()</f>
        <v>37</v>
      </c>
      <c r="C37" s="48" t="s">
        <v>65</v>
      </c>
      <c r="D37" s="48"/>
      <c r="E37" s="48"/>
      <c r="F37" s="48"/>
      <c r="G37" s="49"/>
      <c r="H37" s="49"/>
      <c r="I37" s="49"/>
      <c r="J37" s="49"/>
      <c r="K37" s="49"/>
      <c r="L37" s="49"/>
      <c r="M37" s="50"/>
      <c r="N37" s="51"/>
      <c r="O37" s="49"/>
      <c r="P37" s="49"/>
      <c r="Q37" s="49"/>
      <c r="R37" s="49"/>
      <c r="S37" s="49"/>
    </row>
    <row r="38" spans="1:13" ht="16.5" customHeight="1">
      <c r="A38" s="90">
        <f>ROW()</f>
        <v>38</v>
      </c>
      <c r="C38" s="1" t="s">
        <v>39</v>
      </c>
      <c r="D38" s="1"/>
      <c r="E38" s="184" t="s">
        <v>114</v>
      </c>
      <c r="F38" s="181" t="s">
        <v>115</v>
      </c>
      <c r="G38" s="86" t="s">
        <v>25</v>
      </c>
      <c r="H38" s="87" t="s">
        <v>19</v>
      </c>
      <c r="I38" s="87" t="s">
        <v>20</v>
      </c>
      <c r="J38" s="87" t="s">
        <v>21</v>
      </c>
      <c r="K38" s="87" t="s">
        <v>22</v>
      </c>
      <c r="L38" s="87" t="s">
        <v>23</v>
      </c>
      <c r="M38" s="86" t="s">
        <v>12</v>
      </c>
    </row>
    <row r="39" spans="1:19" ht="12.75" thickBot="1">
      <c r="A39" s="90">
        <f>ROW()</f>
        <v>39</v>
      </c>
      <c r="E39" s="185" t="s">
        <v>116</v>
      </c>
      <c r="F39" s="182" t="s">
        <v>116</v>
      </c>
      <c r="G39" s="91">
        <v>2020</v>
      </c>
      <c r="H39" s="89">
        <f>+G39+1</f>
        <v>2021</v>
      </c>
      <c r="I39" s="89">
        <f aca="true" t="shared" si="13" ref="I39:O39">+H39+1</f>
        <v>2022</v>
      </c>
      <c r="J39" s="89">
        <f t="shared" si="13"/>
        <v>2023</v>
      </c>
      <c r="K39" s="89">
        <f t="shared" si="13"/>
        <v>2024</v>
      </c>
      <c r="L39" s="89">
        <f>+K39+1</f>
        <v>2025</v>
      </c>
      <c r="M39" s="88">
        <f>+L39+1</f>
        <v>2026</v>
      </c>
      <c r="N39" s="89">
        <f t="shared" si="13"/>
        <v>2027</v>
      </c>
      <c r="O39" s="89">
        <f t="shared" si="13"/>
        <v>2028</v>
      </c>
      <c r="P39" s="89">
        <f>+O39+1</f>
        <v>2029</v>
      </c>
      <c r="Q39" s="89">
        <f>+P39+1</f>
        <v>2030</v>
      </c>
      <c r="R39" s="89">
        <f>+Q39+1</f>
        <v>2031</v>
      </c>
      <c r="S39" s="89">
        <f>+R39+1</f>
        <v>2032</v>
      </c>
    </row>
    <row r="40" spans="1:19" ht="12.75">
      <c r="A40" s="90">
        <f>ROW()</f>
        <v>40</v>
      </c>
      <c r="C40" t="s">
        <v>26</v>
      </c>
      <c r="E40" s="186"/>
      <c r="F40" s="180">
        <v>0.1</v>
      </c>
      <c r="G40" s="161">
        <v>900610</v>
      </c>
      <c r="H40" s="132">
        <f>G40*(1+$F$40)</f>
        <v>990671.0000000001</v>
      </c>
      <c r="I40" s="17">
        <f aca="true" t="shared" si="14" ref="I40:S40">H40*(1+$F$40)</f>
        <v>1089738.1000000003</v>
      </c>
      <c r="J40" s="17">
        <f t="shared" si="14"/>
        <v>1198711.9100000004</v>
      </c>
      <c r="K40" s="17">
        <f t="shared" si="14"/>
        <v>1318583.1010000005</v>
      </c>
      <c r="L40" s="17">
        <f t="shared" si="14"/>
        <v>1450441.4111000006</v>
      </c>
      <c r="M40" s="22">
        <f t="shared" si="14"/>
        <v>1595485.5522100008</v>
      </c>
      <c r="N40" s="17">
        <f t="shared" si="14"/>
        <v>1755034.107431001</v>
      </c>
      <c r="O40" s="17">
        <f t="shared" si="14"/>
        <v>1930537.5181741014</v>
      </c>
      <c r="P40" s="17">
        <f t="shared" si="14"/>
        <v>2123591.2699915115</v>
      </c>
      <c r="Q40" s="17">
        <f t="shared" si="14"/>
        <v>2335950.396990663</v>
      </c>
      <c r="R40" s="17">
        <f t="shared" si="14"/>
        <v>2569545.4366897293</v>
      </c>
      <c r="S40" s="17">
        <f t="shared" si="14"/>
        <v>2826499.9803587026</v>
      </c>
    </row>
    <row r="41" spans="1:19" ht="12.75">
      <c r="A41" s="90">
        <f>ROW()</f>
        <v>41</v>
      </c>
      <c r="C41" t="s">
        <v>86</v>
      </c>
      <c r="E41" s="187">
        <f>-G41/G40</f>
        <v>0.5879770377855009</v>
      </c>
      <c r="F41" s="180">
        <v>0.5</v>
      </c>
      <c r="G41" s="162">
        <v>-529538</v>
      </c>
      <c r="H41" s="17">
        <f>-$F$41*H40</f>
        <v>-495335.50000000006</v>
      </c>
      <c r="I41" s="17">
        <f aca="true" t="shared" si="15" ref="I41:S41">-$F$41*I40</f>
        <v>-544869.0500000002</v>
      </c>
      <c r="J41" s="17">
        <f t="shared" si="15"/>
        <v>-599355.9550000002</v>
      </c>
      <c r="K41" s="17">
        <f t="shared" si="15"/>
        <v>-659291.5505000002</v>
      </c>
      <c r="L41" s="17">
        <f t="shared" si="15"/>
        <v>-725220.7055500003</v>
      </c>
      <c r="M41" s="22">
        <f t="shared" si="15"/>
        <v>-797742.7761050004</v>
      </c>
      <c r="N41" s="17">
        <f t="shared" si="15"/>
        <v>-877517.0537155005</v>
      </c>
      <c r="O41" s="17">
        <f t="shared" si="15"/>
        <v>-965268.7590870507</v>
      </c>
      <c r="P41" s="17">
        <f t="shared" si="15"/>
        <v>-1061795.6349957557</v>
      </c>
      <c r="Q41" s="17">
        <f t="shared" si="15"/>
        <v>-1167975.1984953315</v>
      </c>
      <c r="R41" s="17">
        <f t="shared" si="15"/>
        <v>-1284772.7183448647</v>
      </c>
      <c r="S41" s="17">
        <f t="shared" si="15"/>
        <v>-1413249.9901793513</v>
      </c>
    </row>
    <row r="42" spans="1:19" ht="12.75">
      <c r="A42" s="90">
        <f>ROW()</f>
        <v>42</v>
      </c>
      <c r="C42" t="s">
        <v>27</v>
      </c>
      <c r="E42" s="187">
        <f>-G42/G40</f>
        <v>0.22124560020430598</v>
      </c>
      <c r="F42" s="180">
        <v>0.2</v>
      </c>
      <c r="G42" s="170">
        <v>-199256</v>
      </c>
      <c r="H42" s="132">
        <f>-$F$42*H40</f>
        <v>-198134.20000000004</v>
      </c>
      <c r="I42" s="17">
        <f aca="true" t="shared" si="16" ref="I42:S42">-$F$42*I40</f>
        <v>-217947.62000000008</v>
      </c>
      <c r="J42" s="17">
        <f t="shared" si="16"/>
        <v>-239742.3820000001</v>
      </c>
      <c r="K42" s="17">
        <f t="shared" si="16"/>
        <v>-263716.6202000001</v>
      </c>
      <c r="L42" s="17">
        <f t="shared" si="16"/>
        <v>-290088.2822200001</v>
      </c>
      <c r="M42" s="22">
        <f t="shared" si="16"/>
        <v>-319097.1104420002</v>
      </c>
      <c r="N42" s="17">
        <f t="shared" si="16"/>
        <v>-351006.8214862002</v>
      </c>
      <c r="O42" s="17">
        <f t="shared" si="16"/>
        <v>-386107.5036348203</v>
      </c>
      <c r="P42" s="17">
        <f t="shared" si="16"/>
        <v>-424718.25399830233</v>
      </c>
      <c r="Q42" s="17">
        <f t="shared" si="16"/>
        <v>-467190.0793981326</v>
      </c>
      <c r="R42" s="17">
        <f t="shared" si="16"/>
        <v>-513909.0873379459</v>
      </c>
      <c r="S42" s="17">
        <f t="shared" si="16"/>
        <v>-565299.9960717405</v>
      </c>
    </row>
    <row r="43" spans="1:19" ht="12.75">
      <c r="A43" s="90">
        <f>ROW()</f>
        <v>43</v>
      </c>
      <c r="C43" t="s">
        <v>95</v>
      </c>
      <c r="E43" s="188"/>
      <c r="F43" s="183"/>
      <c r="G43" s="162">
        <f>SUM(G40:G42)</f>
        <v>171816</v>
      </c>
      <c r="H43" s="134">
        <f>+H40+H41+H42</f>
        <v>297201.30000000005</v>
      </c>
      <c r="I43" s="134">
        <f aca="true" t="shared" si="17" ref="I43:S43">+I40+I41+I42</f>
        <v>326921.43000000005</v>
      </c>
      <c r="J43" s="134">
        <f t="shared" si="17"/>
        <v>359613.5730000001</v>
      </c>
      <c r="K43" s="134">
        <f t="shared" si="17"/>
        <v>395574.9303000001</v>
      </c>
      <c r="L43" s="134">
        <f t="shared" si="17"/>
        <v>435132.4233300002</v>
      </c>
      <c r="M43" s="135">
        <f t="shared" si="17"/>
        <v>478645.6656630002</v>
      </c>
      <c r="N43" s="134">
        <f t="shared" si="17"/>
        <v>526510.2322293003</v>
      </c>
      <c r="O43" s="134">
        <f t="shared" si="17"/>
        <v>579161.2554522303</v>
      </c>
      <c r="P43" s="134">
        <f t="shared" si="17"/>
        <v>637077.3809974534</v>
      </c>
      <c r="Q43" s="134">
        <f t="shared" si="17"/>
        <v>700785.1190971988</v>
      </c>
      <c r="R43" s="134">
        <f t="shared" si="17"/>
        <v>770863.6310069188</v>
      </c>
      <c r="S43" s="134">
        <f t="shared" si="17"/>
        <v>847949.9941076108</v>
      </c>
    </row>
    <row r="44" spans="1:19" ht="12.75">
      <c r="A44" s="90">
        <f>ROW()</f>
        <v>44</v>
      </c>
      <c r="C44" t="s">
        <v>66</v>
      </c>
      <c r="E44" s="186"/>
      <c r="F44" s="97">
        <v>7</v>
      </c>
      <c r="G44" s="19"/>
      <c r="H44" s="92">
        <f>-$G$15/$F$44</f>
        <v>-13931.440714285713</v>
      </c>
      <c r="I44" s="93">
        <f aca="true" t="shared" si="18" ref="I44:N44">-$G$15/$F$44</f>
        <v>-13931.440714285713</v>
      </c>
      <c r="J44" s="93">
        <f t="shared" si="18"/>
        <v>-13931.440714285713</v>
      </c>
      <c r="K44" s="93">
        <f t="shared" si="18"/>
        <v>-13931.440714285713</v>
      </c>
      <c r="L44" s="93">
        <f t="shared" si="18"/>
        <v>-13931.440714285713</v>
      </c>
      <c r="M44" s="94">
        <f>-$G$15/$F$44*2</f>
        <v>-27862.881428571425</v>
      </c>
      <c r="N44" s="93"/>
      <c r="O44" s="93"/>
      <c r="P44" s="93"/>
      <c r="Q44" s="93"/>
      <c r="R44" s="93"/>
      <c r="S44" s="93"/>
    </row>
    <row r="45" spans="1:19" ht="12.75">
      <c r="A45" s="90">
        <f>ROW()</f>
        <v>45</v>
      </c>
      <c r="C45" t="s">
        <v>24</v>
      </c>
      <c r="E45" s="186"/>
      <c r="F45" s="166"/>
      <c r="G45" s="19"/>
      <c r="H45" s="25">
        <f>+H43+H44</f>
        <v>283269.85928571434</v>
      </c>
      <c r="I45" s="25">
        <f aca="true" t="shared" si="19" ref="I45:S45">+I43+I44</f>
        <v>312989.98928571434</v>
      </c>
      <c r="J45" s="25">
        <f t="shared" si="19"/>
        <v>345682.1322857144</v>
      </c>
      <c r="K45" s="25">
        <f t="shared" si="19"/>
        <v>381643.4895857144</v>
      </c>
      <c r="L45" s="25">
        <f t="shared" si="19"/>
        <v>421200.9826157145</v>
      </c>
      <c r="M45" s="22">
        <f t="shared" si="19"/>
        <v>450782.7842344288</v>
      </c>
      <c r="N45" s="25">
        <f t="shared" si="19"/>
        <v>526510.2322293003</v>
      </c>
      <c r="O45" s="25">
        <f t="shared" si="19"/>
        <v>579161.2554522303</v>
      </c>
      <c r="P45" s="25">
        <f t="shared" si="19"/>
        <v>637077.3809974534</v>
      </c>
      <c r="Q45" s="25">
        <f t="shared" si="19"/>
        <v>700785.1190971988</v>
      </c>
      <c r="R45" s="25">
        <f t="shared" si="19"/>
        <v>770863.6310069188</v>
      </c>
      <c r="S45" s="25">
        <f t="shared" si="19"/>
        <v>847949.9941076108</v>
      </c>
    </row>
    <row r="46" spans="1:20" ht="12.75">
      <c r="A46" s="90">
        <f>ROW()</f>
        <v>46</v>
      </c>
      <c r="C46" s="173" t="s">
        <v>113</v>
      </c>
      <c r="E46" s="186"/>
      <c r="F46" s="166"/>
      <c r="G46" s="19"/>
      <c r="H46" s="92">
        <v>0</v>
      </c>
      <c r="I46" s="93">
        <v>0</v>
      </c>
      <c r="J46" s="93">
        <v>0</v>
      </c>
      <c r="K46" s="93">
        <v>0</v>
      </c>
      <c r="L46" s="93">
        <v>0</v>
      </c>
      <c r="M46" s="94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123"/>
    </row>
    <row r="47" spans="1:20" ht="12.75">
      <c r="A47" s="90">
        <f>ROW()</f>
        <v>47</v>
      </c>
      <c r="C47" t="s">
        <v>74</v>
      </c>
      <c r="E47" s="186"/>
      <c r="F47" s="166"/>
      <c r="G47" s="19"/>
      <c r="H47" s="25">
        <f>+H45+H46</f>
        <v>283269.85928571434</v>
      </c>
      <c r="I47" s="25">
        <f aca="true" t="shared" si="20" ref="I47:S47">+I45+I46</f>
        <v>312989.98928571434</v>
      </c>
      <c r="J47" s="25">
        <f t="shared" si="20"/>
        <v>345682.1322857144</v>
      </c>
      <c r="K47" s="25">
        <f t="shared" si="20"/>
        <v>381643.4895857144</v>
      </c>
      <c r="L47" s="25">
        <f t="shared" si="20"/>
        <v>421200.9826157145</v>
      </c>
      <c r="M47" s="22">
        <f t="shared" si="20"/>
        <v>450782.7842344288</v>
      </c>
      <c r="N47" s="25">
        <f t="shared" si="20"/>
        <v>526510.2322293003</v>
      </c>
      <c r="O47" s="25">
        <f t="shared" si="20"/>
        <v>579161.2554522303</v>
      </c>
      <c r="P47" s="25">
        <f t="shared" si="20"/>
        <v>637077.3809974534</v>
      </c>
      <c r="Q47" s="25">
        <f t="shared" si="20"/>
        <v>700785.1190971988</v>
      </c>
      <c r="R47" s="25">
        <f t="shared" si="20"/>
        <v>770863.6310069188</v>
      </c>
      <c r="S47" s="25">
        <f t="shared" si="20"/>
        <v>847949.9941076108</v>
      </c>
      <c r="T47" s="123"/>
    </row>
    <row r="48" spans="1:19" ht="12.75">
      <c r="A48" s="90">
        <f>ROW()</f>
        <v>48</v>
      </c>
      <c r="C48" t="s">
        <v>45</v>
      </c>
      <c r="E48" s="186"/>
      <c r="F48" s="166">
        <v>0.22</v>
      </c>
      <c r="G48" s="131"/>
      <c r="H48" s="17">
        <f>-$F$48*H47</f>
        <v>-62319.36904285716</v>
      </c>
      <c r="I48" s="17">
        <f aca="true" t="shared" si="21" ref="I48:S48">-$F$48*I47</f>
        <v>-68857.79764285716</v>
      </c>
      <c r="J48" s="17">
        <f t="shared" si="21"/>
        <v>-76050.06910285716</v>
      </c>
      <c r="K48" s="17">
        <f t="shared" si="21"/>
        <v>-83961.56770885717</v>
      </c>
      <c r="L48" s="17">
        <f t="shared" si="21"/>
        <v>-92664.21617545719</v>
      </c>
      <c r="M48" s="22">
        <f t="shared" si="21"/>
        <v>-99172.21253157433</v>
      </c>
      <c r="N48" s="17">
        <f t="shared" si="21"/>
        <v>-115832.25109044607</v>
      </c>
      <c r="O48" s="17">
        <f t="shared" si="21"/>
        <v>-127415.47619949067</v>
      </c>
      <c r="P48" s="17">
        <f t="shared" si="21"/>
        <v>-140157.02381943972</v>
      </c>
      <c r="Q48" s="17">
        <f t="shared" si="21"/>
        <v>-154172.72620138375</v>
      </c>
      <c r="R48" s="17">
        <f t="shared" si="21"/>
        <v>-169589.99882152214</v>
      </c>
      <c r="S48" s="17">
        <f t="shared" si="21"/>
        <v>-186548.99870367438</v>
      </c>
    </row>
    <row r="49" spans="1:19" ht="12.75">
      <c r="A49" s="90">
        <f>ROW()</f>
        <v>49</v>
      </c>
      <c r="C49" t="s">
        <v>87</v>
      </c>
      <c r="E49" s="189"/>
      <c r="F49" s="166"/>
      <c r="G49" s="131"/>
      <c r="H49" s="17">
        <f>+H46</f>
        <v>0</v>
      </c>
      <c r="I49" s="17">
        <f aca="true" t="shared" si="22" ref="I49:S49">+I46</f>
        <v>0</v>
      </c>
      <c r="J49" s="17">
        <f t="shared" si="22"/>
        <v>0</v>
      </c>
      <c r="K49" s="17">
        <f t="shared" si="22"/>
        <v>0</v>
      </c>
      <c r="L49" s="17">
        <f t="shared" si="22"/>
        <v>0</v>
      </c>
      <c r="M49" s="22">
        <f t="shared" si="22"/>
        <v>0</v>
      </c>
      <c r="N49" s="17">
        <f t="shared" si="22"/>
        <v>0</v>
      </c>
      <c r="O49" s="17">
        <f t="shared" si="22"/>
        <v>0</v>
      </c>
      <c r="P49" s="17">
        <f t="shared" si="22"/>
        <v>0</v>
      </c>
      <c r="Q49" s="17">
        <f t="shared" si="22"/>
        <v>0</v>
      </c>
      <c r="R49" s="17">
        <f t="shared" si="22"/>
        <v>0</v>
      </c>
      <c r="S49" s="17">
        <f t="shared" si="22"/>
        <v>0</v>
      </c>
    </row>
    <row r="50" spans="1:19" ht="12.75">
      <c r="A50" s="90">
        <f>ROW()</f>
        <v>50</v>
      </c>
      <c r="C50" t="s">
        <v>83</v>
      </c>
      <c r="E50" s="187">
        <f>+G50/G40</f>
        <v>0.047068098288937495</v>
      </c>
      <c r="F50" s="166">
        <f>+E50</f>
        <v>0.047068098288937495</v>
      </c>
      <c r="G50" s="162">
        <v>42390</v>
      </c>
      <c r="H50" s="17">
        <f>+$E$50*H40</f>
        <v>46629</v>
      </c>
      <c r="I50" s="17">
        <f aca="true" t="shared" si="23" ref="I50:S50">+$E$50*I40</f>
        <v>51291.90000000001</v>
      </c>
      <c r="J50" s="17">
        <f t="shared" si="23"/>
        <v>56421.09000000001</v>
      </c>
      <c r="K50" s="17">
        <f t="shared" si="23"/>
        <v>62063.19900000002</v>
      </c>
      <c r="L50" s="17">
        <f t="shared" si="23"/>
        <v>68269.51890000002</v>
      </c>
      <c r="M50" s="22">
        <f t="shared" si="23"/>
        <v>75096.47079000004</v>
      </c>
      <c r="N50" s="17">
        <f t="shared" si="23"/>
        <v>82606.11786900004</v>
      </c>
      <c r="O50" s="17">
        <f t="shared" si="23"/>
        <v>90866.72965590005</v>
      </c>
      <c r="P50" s="17">
        <f t="shared" si="23"/>
        <v>99953.40262149007</v>
      </c>
      <c r="Q50" s="17">
        <f t="shared" si="23"/>
        <v>109948.74288363908</v>
      </c>
      <c r="R50" s="17">
        <f t="shared" si="23"/>
        <v>120943.617172003</v>
      </c>
      <c r="S50" s="17">
        <f t="shared" si="23"/>
        <v>133037.9788892033</v>
      </c>
    </row>
    <row r="51" spans="1:19" ht="12.75">
      <c r="A51" s="90">
        <f>ROW()</f>
        <v>51</v>
      </c>
      <c r="C51" t="s">
        <v>84</v>
      </c>
      <c r="D51" s="40"/>
      <c r="E51" s="189"/>
      <c r="F51" s="166"/>
      <c r="G51" s="164"/>
      <c r="H51" s="17">
        <f>-H44</f>
        <v>13931.440714285713</v>
      </c>
      <c r="I51" s="17">
        <f aca="true" t="shared" si="24" ref="I51:S51">-I44</f>
        <v>13931.440714285713</v>
      </c>
      <c r="J51" s="17">
        <f t="shared" si="24"/>
        <v>13931.440714285713</v>
      </c>
      <c r="K51" s="17">
        <f t="shared" si="24"/>
        <v>13931.440714285713</v>
      </c>
      <c r="L51" s="17">
        <f t="shared" si="24"/>
        <v>13931.440714285713</v>
      </c>
      <c r="M51" s="22">
        <f t="shared" si="24"/>
        <v>27862.881428571425</v>
      </c>
      <c r="N51" s="17">
        <f t="shared" si="24"/>
        <v>0</v>
      </c>
      <c r="O51" s="17">
        <f t="shared" si="24"/>
        <v>0</v>
      </c>
      <c r="P51" s="17">
        <f t="shared" si="24"/>
        <v>0</v>
      </c>
      <c r="Q51" s="17">
        <f t="shared" si="24"/>
        <v>0</v>
      </c>
      <c r="R51" s="17">
        <f t="shared" si="24"/>
        <v>0</v>
      </c>
      <c r="S51" s="17">
        <f t="shared" si="24"/>
        <v>0</v>
      </c>
    </row>
    <row r="52" spans="1:19" ht="12.75">
      <c r="A52" s="90">
        <f>ROW()</f>
        <v>52</v>
      </c>
      <c r="C52" t="s">
        <v>46</v>
      </c>
      <c r="E52" s="186"/>
      <c r="F52" s="166"/>
      <c r="G52" s="165"/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22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</row>
    <row r="53" spans="1:19" ht="12.75">
      <c r="A53" s="90">
        <f>ROW()</f>
        <v>53</v>
      </c>
      <c r="C53" t="s">
        <v>47</v>
      </c>
      <c r="E53" s="190">
        <f>G53/G40</f>
        <v>0.047068098288937495</v>
      </c>
      <c r="F53" s="166">
        <f>+E53</f>
        <v>0.047068098288937495</v>
      </c>
      <c r="G53" s="162">
        <v>42390</v>
      </c>
      <c r="H53" s="17">
        <f>-$F$53*H40</f>
        <v>-46629</v>
      </c>
      <c r="I53" s="17">
        <f aca="true" t="shared" si="25" ref="I53:S53">-$F$53*I40</f>
        <v>-51291.90000000001</v>
      </c>
      <c r="J53" s="17">
        <f t="shared" si="25"/>
        <v>-56421.09000000001</v>
      </c>
      <c r="K53" s="17">
        <f t="shared" si="25"/>
        <v>-62063.19900000002</v>
      </c>
      <c r="L53" s="17">
        <f t="shared" si="25"/>
        <v>-68269.51890000002</v>
      </c>
      <c r="M53" s="22">
        <f t="shared" si="25"/>
        <v>-75096.47079000004</v>
      </c>
      <c r="N53" s="17">
        <f t="shared" si="25"/>
        <v>-82606.11786900004</v>
      </c>
      <c r="O53" s="17">
        <f t="shared" si="25"/>
        <v>-90866.72965590005</v>
      </c>
      <c r="P53" s="17">
        <f t="shared" si="25"/>
        <v>-99953.40262149007</v>
      </c>
      <c r="Q53" s="17">
        <f t="shared" si="25"/>
        <v>-109948.74288363908</v>
      </c>
      <c r="R53" s="17">
        <f t="shared" si="25"/>
        <v>-120943.617172003</v>
      </c>
      <c r="S53" s="17">
        <f t="shared" si="25"/>
        <v>-133037.9788892033</v>
      </c>
    </row>
    <row r="54" spans="1:19" ht="12.75" thickBot="1">
      <c r="A54" s="90">
        <f>ROW()</f>
        <v>54</v>
      </c>
      <c r="C54" t="s">
        <v>75</v>
      </c>
      <c r="F54" s="166"/>
      <c r="G54" s="164"/>
      <c r="H54" s="28">
        <f>SUM(H47:H53)</f>
        <v>234881.9309571429</v>
      </c>
      <c r="I54" s="28">
        <f aca="true" t="shared" si="26" ref="I54:S54">SUM(I47:I53)</f>
        <v>258063.63235714287</v>
      </c>
      <c r="J54" s="28">
        <f t="shared" si="26"/>
        <v>283563.50389714295</v>
      </c>
      <c r="K54" s="28">
        <f t="shared" si="26"/>
        <v>311613.36259114294</v>
      </c>
      <c r="L54" s="28">
        <f t="shared" si="26"/>
        <v>342468.207154543</v>
      </c>
      <c r="M54" s="27">
        <f t="shared" si="26"/>
        <v>379473.4531314259</v>
      </c>
      <c r="N54" s="28">
        <f t="shared" si="26"/>
        <v>410677.9811388542</v>
      </c>
      <c r="O54" s="28">
        <f t="shared" si="26"/>
        <v>451745.77925273974</v>
      </c>
      <c r="P54" s="28">
        <f t="shared" si="26"/>
        <v>496920.35717801366</v>
      </c>
      <c r="Q54" s="28">
        <f t="shared" si="26"/>
        <v>546612.3928958151</v>
      </c>
      <c r="R54" s="28">
        <f t="shared" si="26"/>
        <v>601273.6321853967</v>
      </c>
      <c r="S54" s="28">
        <f t="shared" si="26"/>
        <v>661400.9954039364</v>
      </c>
    </row>
    <row r="55" spans="1:19" ht="7.5" customHeight="1" thickTop="1">
      <c r="A55" s="90">
        <f>ROW()</f>
        <v>55</v>
      </c>
      <c r="F55" s="166"/>
      <c r="G55" s="164"/>
      <c r="H55" s="25"/>
      <c r="I55" s="25"/>
      <c r="J55" s="25"/>
      <c r="K55" s="25"/>
      <c r="L55" s="25"/>
      <c r="M55" s="22"/>
      <c r="N55" s="25"/>
      <c r="O55" s="25"/>
      <c r="P55" s="25"/>
      <c r="Q55" s="25"/>
      <c r="R55" s="25"/>
      <c r="S55" s="25"/>
    </row>
    <row r="56" spans="1:19" ht="12.75">
      <c r="A56" s="90">
        <f>ROW()</f>
        <v>56</v>
      </c>
      <c r="C56" s="173" t="s">
        <v>112</v>
      </c>
      <c r="F56" s="166"/>
      <c r="G56" s="164"/>
      <c r="H56" s="25">
        <f>-H34</f>
        <v>-66000.00000000001</v>
      </c>
      <c r="I56" s="25">
        <f aca="true" t="shared" si="27" ref="I56:S56">-I34</f>
        <v>-81000</v>
      </c>
      <c r="J56" s="25">
        <f t="shared" si="27"/>
        <v>-90400.00000000001</v>
      </c>
      <c r="K56" s="25">
        <f t="shared" si="27"/>
        <v>-99800</v>
      </c>
      <c r="L56" s="25">
        <f t="shared" si="27"/>
        <v>-128600</v>
      </c>
      <c r="M56" s="22">
        <f t="shared" si="27"/>
        <v>-175600</v>
      </c>
      <c r="N56" s="25">
        <f t="shared" si="27"/>
        <v>-879600</v>
      </c>
      <c r="O56" s="25">
        <f t="shared" si="27"/>
        <v>-21000.000000000004</v>
      </c>
      <c r="P56" s="25">
        <f t="shared" si="27"/>
        <v>-21000.000000000004</v>
      </c>
      <c r="Q56" s="25">
        <f t="shared" si="27"/>
        <v>-321000</v>
      </c>
      <c r="R56" s="25">
        <f t="shared" si="27"/>
        <v>0</v>
      </c>
      <c r="S56" s="25">
        <f t="shared" si="27"/>
        <v>0</v>
      </c>
    </row>
    <row r="57" spans="1:19" ht="12.75" thickBot="1">
      <c r="A57" s="90">
        <f>ROW()</f>
        <v>57</v>
      </c>
      <c r="C57" t="s">
        <v>28</v>
      </c>
      <c r="F57" s="166"/>
      <c r="G57" s="19"/>
      <c r="H57" s="24">
        <f>+H54+H56</f>
        <v>168881.9309571429</v>
      </c>
      <c r="I57" s="24">
        <f aca="true" t="shared" si="28" ref="I57:S57">+I54+I56</f>
        <v>177063.63235714287</v>
      </c>
      <c r="J57" s="24">
        <f t="shared" si="28"/>
        <v>193163.50389714295</v>
      </c>
      <c r="K57" s="24">
        <f t="shared" si="28"/>
        <v>211813.36259114294</v>
      </c>
      <c r="L57" s="24">
        <f t="shared" si="28"/>
        <v>213868.20715454302</v>
      </c>
      <c r="M57" s="23">
        <f t="shared" si="28"/>
        <v>203873.4531314259</v>
      </c>
      <c r="N57" s="24">
        <f t="shared" si="28"/>
        <v>-468922.0188611458</v>
      </c>
      <c r="O57" s="24">
        <f t="shared" si="28"/>
        <v>430745.77925273974</v>
      </c>
      <c r="P57" s="24">
        <f t="shared" si="28"/>
        <v>475920.35717801366</v>
      </c>
      <c r="Q57" s="24">
        <f t="shared" si="28"/>
        <v>225612.39289581508</v>
      </c>
      <c r="R57" s="24">
        <f t="shared" si="28"/>
        <v>601273.6321853967</v>
      </c>
      <c r="S57" s="24">
        <f t="shared" si="28"/>
        <v>661400.9954039364</v>
      </c>
    </row>
    <row r="58" spans="1:13" ht="9" customHeight="1" thickTop="1">
      <c r="A58" s="90">
        <f>ROW()</f>
        <v>58</v>
      </c>
      <c r="F58" s="166"/>
      <c r="G58" s="21"/>
      <c r="M58" s="21"/>
    </row>
    <row r="59" spans="1:19" ht="15" customHeight="1" thickBot="1">
      <c r="A59" s="90">
        <f>ROW()</f>
        <v>59</v>
      </c>
      <c r="C59" t="s">
        <v>85</v>
      </c>
      <c r="G59" s="23">
        <f>+G50+G43</f>
        <v>214206</v>
      </c>
      <c r="H59" s="133">
        <f>+H43+H50</f>
        <v>343830.30000000005</v>
      </c>
      <c r="I59" s="12">
        <f aca="true" t="shared" si="29" ref="I59:S59">+I43+I50</f>
        <v>378213.3300000001</v>
      </c>
      <c r="J59" s="12">
        <f t="shared" si="29"/>
        <v>416034.6630000001</v>
      </c>
      <c r="K59" s="12">
        <f t="shared" si="29"/>
        <v>457638.12930000015</v>
      </c>
      <c r="L59" s="12">
        <f t="shared" si="29"/>
        <v>503401.9422300002</v>
      </c>
      <c r="M59" s="23">
        <f t="shared" si="29"/>
        <v>553742.1364530002</v>
      </c>
      <c r="N59">
        <f t="shared" si="29"/>
        <v>609116.3500983004</v>
      </c>
      <c r="O59">
        <f t="shared" si="29"/>
        <v>670027.9851081304</v>
      </c>
      <c r="P59">
        <f t="shared" si="29"/>
        <v>737030.7836189434</v>
      </c>
      <c r="Q59">
        <f t="shared" si="29"/>
        <v>810733.8619808379</v>
      </c>
      <c r="R59">
        <f t="shared" si="29"/>
        <v>891807.2481789219</v>
      </c>
      <c r="S59">
        <f t="shared" si="29"/>
        <v>980987.9729968141</v>
      </c>
    </row>
    <row r="60" spans="1:13" ht="12.75" thickBot="1" thickTop="1">
      <c r="A60" s="90">
        <f>ROW()</f>
        <v>60</v>
      </c>
      <c r="C60" s="124" t="s">
        <v>29</v>
      </c>
      <c r="D60" s="124"/>
      <c r="E60" s="124"/>
      <c r="F60" s="16"/>
      <c r="G60" s="21"/>
      <c r="M60" s="21"/>
    </row>
    <row r="61" spans="1:20" ht="12.75">
      <c r="A61" s="90">
        <f>ROW()</f>
        <v>61</v>
      </c>
      <c r="C61" t="s">
        <v>72</v>
      </c>
      <c r="F61" s="98" t="s">
        <v>50</v>
      </c>
      <c r="G61" s="66">
        <f>+L9</f>
        <v>15.753921718010462</v>
      </c>
      <c r="M61" s="22">
        <f>+G61*M59</f>
        <v>8723610.269644434</v>
      </c>
      <c r="O61" s="150"/>
      <c r="P61" s="150"/>
      <c r="Q61" s="150"/>
      <c r="R61" s="150"/>
      <c r="S61" s="150"/>
      <c r="T61" s="150"/>
    </row>
    <row r="62" spans="1:20" ht="17.25" customHeight="1" thickBot="1">
      <c r="A62" s="90">
        <f>ROW()</f>
        <v>62</v>
      </c>
      <c r="C62" t="s">
        <v>48</v>
      </c>
      <c r="F62" s="125">
        <v>0.05</v>
      </c>
      <c r="G62" s="95">
        <f>+K9</f>
        <v>0.1046019058026631</v>
      </c>
      <c r="K62" s="173" t="s">
        <v>120</v>
      </c>
      <c r="M62" s="19">
        <f>+N54/(G62-F62)</f>
        <v>7521312.216153895</v>
      </c>
      <c r="O62" s="150"/>
      <c r="P62" s="150"/>
      <c r="Q62" s="150"/>
      <c r="R62" s="150"/>
      <c r="S62" s="150"/>
      <c r="T62" s="150"/>
    </row>
    <row r="63" spans="1:20" ht="16.5" customHeight="1" thickBot="1">
      <c r="A63" s="90">
        <f>ROW()</f>
        <v>63</v>
      </c>
      <c r="C63" s="16" t="s">
        <v>49</v>
      </c>
      <c r="D63" s="16"/>
      <c r="E63" s="16"/>
      <c r="G63" s="21"/>
      <c r="M63" s="53">
        <f>AVERAGE(M61:M62)</f>
        <v>8122461.242899165</v>
      </c>
      <c r="O63" s="208"/>
      <c r="P63" s="208"/>
      <c r="Q63" s="208"/>
      <c r="R63" s="208"/>
      <c r="S63" s="208"/>
      <c r="T63" s="208"/>
    </row>
    <row r="64" spans="1:20" ht="12.75" thickBot="1" thickTop="1">
      <c r="A64" s="90">
        <f>ROW()</f>
        <v>64</v>
      </c>
      <c r="C64" t="s">
        <v>30</v>
      </c>
      <c r="G64" s="21"/>
      <c r="M64" s="26">
        <f>-M35</f>
        <v>-1110000</v>
      </c>
      <c r="O64" s="197"/>
      <c r="P64" s="198"/>
      <c r="Q64" s="151"/>
      <c r="R64" s="151"/>
      <c r="S64" s="151"/>
      <c r="T64" s="151"/>
    </row>
    <row r="65" spans="1:20" ht="12.75">
      <c r="A65" s="90">
        <f>ROW()</f>
        <v>65</v>
      </c>
      <c r="C65" t="s">
        <v>31</v>
      </c>
      <c r="G65" s="22"/>
      <c r="M65" s="22">
        <f>+M63+M64</f>
        <v>7012461.242899165</v>
      </c>
      <c r="O65" s="152"/>
      <c r="P65" s="153"/>
      <c r="Q65" s="154"/>
      <c r="R65" s="154"/>
      <c r="S65" s="154"/>
      <c r="T65" s="154"/>
    </row>
    <row r="66" spans="1:20" ht="13.5" customHeight="1">
      <c r="A66" s="90">
        <f>ROW()</f>
        <v>66</v>
      </c>
      <c r="G66" s="21"/>
      <c r="M66" s="21"/>
      <c r="O66" s="195"/>
      <c r="P66" s="155"/>
      <c r="Q66" s="156"/>
      <c r="R66" s="157"/>
      <c r="S66" s="158"/>
      <c r="T66" s="156"/>
    </row>
    <row r="67" spans="1:20" ht="12.75" thickBot="1">
      <c r="A67" s="90">
        <f>ROW()</f>
        <v>67</v>
      </c>
      <c r="C67" t="s">
        <v>28</v>
      </c>
      <c r="G67" s="55">
        <f>-G8</f>
        <v>-2494489.585</v>
      </c>
      <c r="H67" s="54">
        <f>+H57</f>
        <v>168881.9309571429</v>
      </c>
      <c r="I67" s="54">
        <f>+I57</f>
        <v>177063.63235714287</v>
      </c>
      <c r="J67" s="54">
        <f>+J57+J63-J64</f>
        <v>193163.50389714295</v>
      </c>
      <c r="K67" s="54">
        <f>+K57+K63-K64</f>
        <v>211813.36259114294</v>
      </c>
      <c r="L67" s="54">
        <f>+L57+L63-L64</f>
        <v>213868.20715454302</v>
      </c>
      <c r="M67" s="55">
        <f>+M65+M57</f>
        <v>7216334.696030591</v>
      </c>
      <c r="O67" s="195"/>
      <c r="P67" s="155"/>
      <c r="Q67" s="156"/>
      <c r="R67" s="156"/>
      <c r="S67" s="156"/>
      <c r="T67" s="156"/>
    </row>
    <row r="68" spans="1:20" ht="12.75" thickTop="1">
      <c r="A68" s="90">
        <f>ROW()</f>
        <v>68</v>
      </c>
      <c r="G68" s="25"/>
      <c r="H68" s="29" t="s">
        <v>32</v>
      </c>
      <c r="I68" s="29" t="s">
        <v>32</v>
      </c>
      <c r="J68" s="29" t="s">
        <v>32</v>
      </c>
      <c r="K68" s="29" t="s">
        <v>32</v>
      </c>
      <c r="L68" s="29" t="s">
        <v>32</v>
      </c>
      <c r="M68" s="31" t="s">
        <v>32</v>
      </c>
      <c r="O68" s="195"/>
      <c r="P68" s="155"/>
      <c r="Q68" s="156"/>
      <c r="R68" s="156"/>
      <c r="S68" s="156"/>
      <c r="T68" s="156"/>
    </row>
    <row r="69" spans="1:20" ht="12.75" thickBot="1">
      <c r="A69" s="90">
        <f>ROW()</f>
        <v>69</v>
      </c>
      <c r="C69" s="30" t="s">
        <v>56</v>
      </c>
      <c r="D69" s="30"/>
      <c r="E69" s="30"/>
      <c r="F69" s="30"/>
      <c r="G69" s="96">
        <f>+I8</f>
        <v>0.135125</v>
      </c>
      <c r="H69" s="101">
        <f>(1/(1+$G69))^1</f>
        <v>0.8809602466688691</v>
      </c>
      <c r="I69" s="101">
        <f>(1/(1+$G69))^2</f>
        <v>0.7760909562108746</v>
      </c>
      <c r="J69" s="101">
        <f>(1/(1+$G69))^3</f>
        <v>0.6837052802210106</v>
      </c>
      <c r="K69" s="101">
        <f>(1/(1+$G69))^4</f>
        <v>0.6023171723123097</v>
      </c>
      <c r="L69" s="101">
        <f>(1/(1+$G69))^5</f>
        <v>0.5306174846931481</v>
      </c>
      <c r="M69" s="101">
        <f>(1/(1+$G69))^6</f>
        <v>0.4674529102020906</v>
      </c>
      <c r="O69" s="195"/>
      <c r="P69" s="155"/>
      <c r="Q69" s="156"/>
      <c r="R69" s="156"/>
      <c r="S69" s="156"/>
      <c r="T69" s="156"/>
    </row>
    <row r="70" spans="1:20" ht="12.75" thickBot="1">
      <c r="A70" s="90">
        <f>ROW()</f>
        <v>70</v>
      </c>
      <c r="C70" s="30" t="s">
        <v>57</v>
      </c>
      <c r="D70" s="30"/>
      <c r="E70" s="30"/>
      <c r="F70" s="30"/>
      <c r="G70" s="38">
        <f>SUM(H70:M70)</f>
        <v>4032620.3492624685</v>
      </c>
      <c r="H70" s="39">
        <f aca="true" t="shared" si="30" ref="H70:M70">+H69*H67</f>
        <v>148778.26755391952</v>
      </c>
      <c r="I70" s="39">
        <f t="shared" si="30"/>
        <v>137417.48374622577</v>
      </c>
      <c r="J70" s="39">
        <f t="shared" si="30"/>
        <v>132066.9075604684</v>
      </c>
      <c r="K70" s="39">
        <f t="shared" si="30"/>
        <v>127578.82561385918</v>
      </c>
      <c r="L70" s="39">
        <f t="shared" si="30"/>
        <v>113482.21013617676</v>
      </c>
      <c r="M70" s="39">
        <f t="shared" si="30"/>
        <v>3373296.654651819</v>
      </c>
      <c r="O70" s="195"/>
      <c r="P70" s="155"/>
      <c r="Q70" s="156"/>
      <c r="R70" s="156"/>
      <c r="S70" s="156"/>
      <c r="T70" s="156"/>
    </row>
    <row r="71" spans="1:20" ht="12.75" customHeight="1">
      <c r="A71" s="90">
        <f>ROW()</f>
        <v>71</v>
      </c>
      <c r="C71" s="30"/>
      <c r="D71" s="30"/>
      <c r="E71" s="30"/>
      <c r="F71" s="30"/>
      <c r="G71" s="30"/>
      <c r="H71" s="39"/>
      <c r="I71" s="39"/>
      <c r="J71" s="39"/>
      <c r="K71" s="39"/>
      <c r="L71" s="39"/>
      <c r="M71" s="39"/>
      <c r="O71" s="195"/>
      <c r="P71" s="155"/>
      <c r="Q71" s="156"/>
      <c r="R71" s="156"/>
      <c r="S71" s="156"/>
      <c r="T71" s="156"/>
    </row>
    <row r="72" spans="1:20" ht="12.75">
      <c r="A72" s="90">
        <f>ROW()</f>
        <v>72</v>
      </c>
      <c r="C72" s="30" t="s">
        <v>33</v>
      </c>
      <c r="D72" s="30"/>
      <c r="E72" s="30"/>
      <c r="F72" s="30"/>
      <c r="G72" s="33">
        <f>+G67</f>
        <v>-2494489.585</v>
      </c>
      <c r="H72" s="32"/>
      <c r="O72" s="195"/>
      <c r="P72" s="155"/>
      <c r="Q72" s="156"/>
      <c r="R72" s="156"/>
      <c r="S72" s="156"/>
      <c r="T72" s="156"/>
    </row>
    <row r="73" spans="1:20" ht="12.75" thickBot="1">
      <c r="A73" s="90">
        <f>ROW()</f>
        <v>73</v>
      </c>
      <c r="C73" s="30" t="s">
        <v>34</v>
      </c>
      <c r="D73" s="30"/>
      <c r="E73" s="30"/>
      <c r="F73" s="30"/>
      <c r="G73" s="28">
        <f>+G70+G72</f>
        <v>1538130.7642624686</v>
      </c>
      <c r="O73" s="195"/>
      <c r="P73" s="155"/>
      <c r="Q73" s="156"/>
      <c r="R73" s="156"/>
      <c r="S73" s="156"/>
      <c r="T73" s="156"/>
    </row>
    <row r="74" spans="1:20" ht="14.25" customHeight="1" thickBot="1" thickTop="1">
      <c r="A74" s="90">
        <f>ROW()</f>
        <v>74</v>
      </c>
      <c r="C74" s="30"/>
      <c r="D74" s="30"/>
      <c r="E74" s="30"/>
      <c r="F74" s="30"/>
      <c r="G74" s="34"/>
      <c r="H74" s="32"/>
      <c r="O74" s="195"/>
      <c r="P74" s="155"/>
      <c r="Q74" s="156"/>
      <c r="R74" s="156"/>
      <c r="S74" s="156"/>
      <c r="T74" s="156"/>
    </row>
    <row r="75" spans="1:20" ht="12.75" customHeight="1" thickBot="1">
      <c r="A75" s="90">
        <f>ROW()</f>
        <v>75</v>
      </c>
      <c r="C75" s="30" t="s">
        <v>35</v>
      </c>
      <c r="D75" s="30"/>
      <c r="E75" s="30"/>
      <c r="F75" s="30"/>
      <c r="G75" s="52">
        <f>IRR(G67:M67)</f>
        <v>0.24054471644315778</v>
      </c>
      <c r="O75" s="196"/>
      <c r="P75" s="155"/>
      <c r="Q75" s="156"/>
      <c r="R75" s="156"/>
      <c r="S75" s="156"/>
      <c r="T75" s="156"/>
    </row>
    <row r="76" spans="1:20" ht="12.75" thickBot="1">
      <c r="A76" s="90">
        <f>ROW()</f>
        <v>76</v>
      </c>
      <c r="O76" s="150"/>
      <c r="P76" s="150"/>
      <c r="Q76" s="150"/>
      <c r="R76" s="150"/>
      <c r="S76" s="150"/>
      <c r="T76" s="150"/>
    </row>
    <row r="77" spans="1:19" ht="15" customHeight="1" thickBot="1">
      <c r="A77" s="90">
        <f>ROW()</f>
        <v>77</v>
      </c>
      <c r="C77" s="48" t="s">
        <v>105</v>
      </c>
      <c r="D77" s="48"/>
      <c r="E77" s="48"/>
      <c r="F77" s="48"/>
      <c r="G77" s="49"/>
      <c r="H77" s="49"/>
      <c r="I77" s="49"/>
      <c r="J77" s="49"/>
      <c r="K77" s="49"/>
      <c r="L77" s="49"/>
      <c r="M77" s="50"/>
      <c r="N77" s="51"/>
      <c r="O77" s="49"/>
      <c r="P77" s="49"/>
      <c r="Q77" s="49"/>
      <c r="R77" s="49"/>
      <c r="S77" s="49"/>
    </row>
    <row r="78" spans="1:13" ht="16.5" customHeight="1">
      <c r="A78" s="90">
        <f>ROW()</f>
        <v>78</v>
      </c>
      <c r="C78" s="1" t="s">
        <v>39</v>
      </c>
      <c r="D78" s="1"/>
      <c r="E78" s="1"/>
      <c r="F78" s="1"/>
      <c r="G78" s="86" t="s">
        <v>25</v>
      </c>
      <c r="H78" s="87" t="s">
        <v>19</v>
      </c>
      <c r="I78" s="87" t="s">
        <v>20</v>
      </c>
      <c r="J78" s="87" t="s">
        <v>21</v>
      </c>
      <c r="K78" s="87" t="s">
        <v>22</v>
      </c>
      <c r="L78" s="87" t="s">
        <v>23</v>
      </c>
      <c r="M78" s="86" t="s">
        <v>12</v>
      </c>
    </row>
    <row r="79" spans="1:13" ht="12.75" thickBot="1">
      <c r="A79" s="90">
        <f>ROW()</f>
        <v>79</v>
      </c>
      <c r="G79" s="91">
        <v>2014</v>
      </c>
      <c r="H79" s="89">
        <f>+G79+1</f>
        <v>2015</v>
      </c>
      <c r="I79" s="89">
        <f>+H79+1</f>
        <v>2016</v>
      </c>
      <c r="J79" s="89">
        <f>+I79+1</f>
        <v>2017</v>
      </c>
      <c r="K79" s="89">
        <f>+J79+1</f>
        <v>2018</v>
      </c>
      <c r="L79" s="89">
        <f>+K79+1</f>
        <v>2019</v>
      </c>
      <c r="M79" s="88">
        <f>+L79+1</f>
        <v>2020</v>
      </c>
    </row>
    <row r="80" spans="1:20" ht="12.75">
      <c r="A80" s="90">
        <f>ROW()</f>
        <v>80</v>
      </c>
      <c r="O80" s="150"/>
      <c r="P80" s="150"/>
      <c r="Q80" s="150"/>
      <c r="R80" s="150"/>
      <c r="S80" s="150"/>
      <c r="T80" s="150"/>
    </row>
    <row r="81" spans="1:13" ht="12.75">
      <c r="A81" s="90">
        <f>ROW()</f>
        <v>81</v>
      </c>
      <c r="C81" s="173" t="s">
        <v>106</v>
      </c>
      <c r="G81" s="17">
        <f aca="true" t="shared" si="31" ref="G81:L81">+G20</f>
        <v>1000000</v>
      </c>
      <c r="H81" s="17">
        <f t="shared" si="31"/>
        <v>1000000</v>
      </c>
      <c r="I81" s="17">
        <f t="shared" si="31"/>
        <v>990000</v>
      </c>
      <c r="J81" s="17">
        <f t="shared" si="31"/>
        <v>980000</v>
      </c>
      <c r="K81" s="17">
        <f t="shared" si="31"/>
        <v>960000</v>
      </c>
      <c r="L81" s="17">
        <f t="shared" si="31"/>
        <v>910000</v>
      </c>
      <c r="M81" s="17">
        <f>+M20</f>
        <v>810000</v>
      </c>
    </row>
    <row r="82" spans="1:13" ht="12.75">
      <c r="A82" s="90">
        <f>ROW()</f>
        <v>82</v>
      </c>
      <c r="C82" s="173" t="s">
        <v>18</v>
      </c>
      <c r="G82" s="17">
        <f aca="true" t="shared" si="32" ref="G82:L82">+G35</f>
        <v>1300000</v>
      </c>
      <c r="H82" s="17">
        <f t="shared" si="32"/>
        <v>1300000</v>
      </c>
      <c r="I82" s="17">
        <f t="shared" si="32"/>
        <v>1290000</v>
      </c>
      <c r="J82" s="17">
        <f t="shared" si="32"/>
        <v>1280000</v>
      </c>
      <c r="K82" s="17">
        <f t="shared" si="32"/>
        <v>1260000</v>
      </c>
      <c r="L82" s="17">
        <f t="shared" si="32"/>
        <v>1210000</v>
      </c>
      <c r="M82" s="17">
        <f>+M35</f>
        <v>1110000</v>
      </c>
    </row>
    <row r="83" spans="1:13" ht="12.75">
      <c r="A83" s="90">
        <f>ROW()</f>
        <v>83</v>
      </c>
      <c r="C83" s="173" t="s">
        <v>107</v>
      </c>
      <c r="H83" s="17">
        <f>-H46</f>
        <v>0</v>
      </c>
      <c r="I83" s="17">
        <f>-I46</f>
        <v>0</v>
      </c>
      <c r="J83" s="17">
        <f>-J46</f>
        <v>0</v>
      </c>
      <c r="K83" s="17">
        <f>-K46</f>
        <v>0</v>
      </c>
      <c r="L83" s="17">
        <f>-L46</f>
        <v>0</v>
      </c>
      <c r="M83" s="17">
        <f>-M46</f>
        <v>0</v>
      </c>
    </row>
    <row r="84" ht="12.75">
      <c r="A84" s="90">
        <f>ROW()</f>
        <v>84</v>
      </c>
    </row>
    <row r="85" spans="1:13" ht="12.75">
      <c r="A85" s="90">
        <f>ROW()</f>
        <v>85</v>
      </c>
      <c r="C85" s="173" t="s">
        <v>85</v>
      </c>
      <c r="G85" s="17">
        <f aca="true" t="shared" si="33" ref="G85:L85">+G59</f>
        <v>214206</v>
      </c>
      <c r="H85" s="17">
        <f t="shared" si="33"/>
        <v>343830.30000000005</v>
      </c>
      <c r="I85" s="17">
        <f t="shared" si="33"/>
        <v>378213.3300000001</v>
      </c>
      <c r="J85" s="17">
        <f t="shared" si="33"/>
        <v>416034.6630000001</v>
      </c>
      <c r="K85" s="17">
        <f t="shared" si="33"/>
        <v>457638.12930000015</v>
      </c>
      <c r="L85" s="17">
        <f t="shared" si="33"/>
        <v>503401.9422300002</v>
      </c>
      <c r="M85" s="17">
        <f>+M59</f>
        <v>553742.1364530002</v>
      </c>
    </row>
    <row r="86" ht="12.75">
      <c r="A86" s="90">
        <f>ROW()</f>
        <v>86</v>
      </c>
    </row>
    <row r="87" spans="1:13" ht="12.75">
      <c r="A87" s="90">
        <f>ROW()</f>
        <v>87</v>
      </c>
      <c r="C87" s="173" t="s">
        <v>108</v>
      </c>
      <c r="G87" s="176">
        <f>+G81/G85</f>
        <v>4.668403312698991</v>
      </c>
      <c r="H87" s="176">
        <f aca="true" t="shared" si="34" ref="H87:M87">+H81/H85</f>
        <v>2.908411504163536</v>
      </c>
      <c r="I87" s="176">
        <f t="shared" si="34"/>
        <v>2.6175703537471824</v>
      </c>
      <c r="J87" s="176">
        <f t="shared" si="34"/>
        <v>2.355572953785343</v>
      </c>
      <c r="K87" s="176">
        <f t="shared" si="34"/>
        <v>2.0977273057828656</v>
      </c>
      <c r="L87" s="176">
        <f t="shared" si="34"/>
        <v>1.8077006138848555</v>
      </c>
      <c r="M87" s="176">
        <f t="shared" si="34"/>
        <v>1.4627747225242087</v>
      </c>
    </row>
    <row r="88" spans="1:13" ht="12.75">
      <c r="A88" s="90">
        <f>ROW()</f>
        <v>88</v>
      </c>
      <c r="C88" s="173" t="s">
        <v>109</v>
      </c>
      <c r="G88" s="176">
        <f aca="true" t="shared" si="35" ref="G88:L88">+G82/G59</f>
        <v>6.068924306508688</v>
      </c>
      <c r="H88" s="176">
        <f t="shared" si="35"/>
        <v>3.780934955412597</v>
      </c>
      <c r="I88" s="176">
        <f t="shared" si="35"/>
        <v>3.4107734912463283</v>
      </c>
      <c r="J88" s="176">
        <f t="shared" si="35"/>
        <v>3.0766667151482032</v>
      </c>
      <c r="K88" s="176">
        <f t="shared" si="35"/>
        <v>2.753267088840011</v>
      </c>
      <c r="L88" s="176">
        <f t="shared" si="35"/>
        <v>2.4036458712095334</v>
      </c>
      <c r="M88" s="176">
        <f>+M82/M59</f>
        <v>2.004543138273916</v>
      </c>
    </row>
    <row r="89" spans="1:13" ht="12.75">
      <c r="A89" s="90">
        <f>ROW()</f>
        <v>89</v>
      </c>
      <c r="C89" s="173" t="s">
        <v>110</v>
      </c>
      <c r="G89" s="176"/>
      <c r="H89" s="176" t="e">
        <f>+H59/-H46</f>
        <v>#DIV/0!</v>
      </c>
      <c r="I89" s="176" t="e">
        <f>+I59/-I46</f>
        <v>#DIV/0!</v>
      </c>
      <c r="J89" s="176" t="e">
        <f>+J59/-J46</f>
        <v>#DIV/0!</v>
      </c>
      <c r="K89" s="176" t="e">
        <f>+K59/-K46</f>
        <v>#DIV/0!</v>
      </c>
      <c r="L89" s="176" t="e">
        <f>+L59/-L46</f>
        <v>#DIV/0!</v>
      </c>
      <c r="M89" s="176" t="e">
        <f>+M59/-M46</f>
        <v>#DIV/0!</v>
      </c>
    </row>
    <row r="90" spans="1:13" ht="12.75">
      <c r="A90" s="90">
        <f>ROW()</f>
        <v>90</v>
      </c>
      <c r="C90" s="173" t="s">
        <v>111</v>
      </c>
      <c r="G90" s="176"/>
      <c r="H90" s="176">
        <f>+H54/-H56</f>
        <v>3.5588171357142855</v>
      </c>
      <c r="I90" s="176">
        <f>+I54/-I56</f>
        <v>3.18597076984127</v>
      </c>
      <c r="J90" s="176">
        <f>+J54/-J56</f>
        <v>3.1367644236409613</v>
      </c>
      <c r="K90" s="176">
        <f>+K54/-K56</f>
        <v>3.122378382676783</v>
      </c>
      <c r="L90" s="176">
        <f>+L54/-L56</f>
        <v>2.6630498223525896</v>
      </c>
      <c r="M90" s="176">
        <f>+M54/-M56</f>
        <v>2.1610105531402386</v>
      </c>
    </row>
    <row r="91" spans="1:14" ht="12.75" thickBot="1">
      <c r="A91" s="90">
        <f>ROW()</f>
        <v>91</v>
      </c>
      <c r="H91" s="18"/>
      <c r="J91" s="18"/>
      <c r="K91" s="18"/>
      <c r="L91" s="18"/>
      <c r="M91" s="18"/>
      <c r="N91" s="18"/>
    </row>
    <row r="92" spans="1:19" ht="15" customHeight="1" thickBot="1">
      <c r="A92" s="90">
        <f>ROW()</f>
        <v>92</v>
      </c>
      <c r="C92" s="48" t="s">
        <v>100</v>
      </c>
      <c r="D92" s="48"/>
      <c r="E92" s="48"/>
      <c r="F92" s="48"/>
      <c r="G92" s="49"/>
      <c r="H92" s="49"/>
      <c r="I92" s="49"/>
      <c r="J92" s="49"/>
      <c r="K92" s="49"/>
      <c r="L92" s="49"/>
      <c r="M92" s="50"/>
      <c r="N92" s="51"/>
      <c r="O92" s="49"/>
      <c r="P92" s="49"/>
      <c r="Q92" s="49"/>
      <c r="R92" s="49"/>
      <c r="S92" s="49"/>
    </row>
    <row r="93" spans="1:14" ht="12.75">
      <c r="A93" s="90">
        <f>ROW()</f>
        <v>93</v>
      </c>
      <c r="C93" s="173" t="s">
        <v>103</v>
      </c>
      <c r="D93" s="174" t="s">
        <v>104</v>
      </c>
      <c r="H93" s="18"/>
      <c r="J93" s="18"/>
      <c r="K93" s="18"/>
      <c r="L93" s="18"/>
      <c r="M93" s="18"/>
      <c r="N93" s="18"/>
    </row>
    <row r="94" spans="1:14" ht="12.75">
      <c r="A94" s="90">
        <f>ROW()</f>
        <v>94</v>
      </c>
      <c r="C94" s="173" t="s">
        <v>99</v>
      </c>
      <c r="D94" s="174" t="s">
        <v>98</v>
      </c>
      <c r="H94" s="18"/>
      <c r="J94" s="18"/>
      <c r="K94" s="18"/>
      <c r="L94" s="18"/>
      <c r="M94" s="18"/>
      <c r="N94" s="18"/>
    </row>
    <row r="95" spans="1:10" ht="12.75">
      <c r="A95" s="90">
        <f>ROW()</f>
        <v>95</v>
      </c>
      <c r="C95" s="173" t="s">
        <v>102</v>
      </c>
      <c r="D95" s="174" t="s">
        <v>101</v>
      </c>
      <c r="H95" s="18"/>
      <c r="J95" s="18"/>
    </row>
    <row r="96" spans="1:8" ht="12.75">
      <c r="A96" s="90">
        <f>ROW()</f>
        <v>96</v>
      </c>
      <c r="H96" s="18"/>
    </row>
    <row r="97" spans="1:8" ht="12.75">
      <c r="A97" s="90">
        <f>ROW()</f>
        <v>97</v>
      </c>
      <c r="H97" s="18"/>
    </row>
    <row r="98" spans="1:8" ht="12.75">
      <c r="A98" s="90">
        <f>ROW()</f>
        <v>98</v>
      </c>
      <c r="H98" s="18"/>
    </row>
    <row r="99" spans="1:8" ht="12.75">
      <c r="A99" s="90">
        <f>ROW()</f>
        <v>99</v>
      </c>
      <c r="H99" s="18"/>
    </row>
    <row r="100" spans="1:8" ht="12.75">
      <c r="A100" s="90">
        <f>ROW()</f>
        <v>100</v>
      </c>
      <c r="H100" s="18"/>
    </row>
    <row r="101" spans="1:8" ht="12.75">
      <c r="A101" s="90">
        <f>ROW()</f>
        <v>101</v>
      </c>
      <c r="H101" s="18"/>
    </row>
    <row r="102" spans="1:8" ht="12.75">
      <c r="A102" s="90">
        <f>ROW()</f>
        <v>102</v>
      </c>
      <c r="H102" s="18"/>
    </row>
    <row r="103" spans="1:8" ht="12.75">
      <c r="A103" s="90">
        <f>ROW()</f>
        <v>103</v>
      </c>
      <c r="H103" s="18"/>
    </row>
    <row r="104" spans="1:8" ht="12.75">
      <c r="A104" s="90">
        <f>ROW()</f>
        <v>104</v>
      </c>
      <c r="H104" s="18"/>
    </row>
    <row r="105" spans="1:8" ht="12.75">
      <c r="A105" s="90">
        <f>ROW()</f>
        <v>105</v>
      </c>
      <c r="H105" s="18"/>
    </row>
    <row r="106" spans="1:8" ht="12.75">
      <c r="A106" s="90">
        <f>ROW()</f>
        <v>106</v>
      </c>
      <c r="H106" s="18"/>
    </row>
    <row r="107" spans="1:8" ht="12.75">
      <c r="A107" s="90">
        <f>ROW()</f>
        <v>107</v>
      </c>
      <c r="H107" s="18"/>
    </row>
    <row r="108" spans="1:8" ht="12.75">
      <c r="A108" s="90">
        <f>ROW()</f>
        <v>108</v>
      </c>
      <c r="H108" s="18"/>
    </row>
    <row r="109" spans="1:8" ht="12.75">
      <c r="A109" s="90">
        <f>ROW()</f>
        <v>109</v>
      </c>
      <c r="H109" s="18"/>
    </row>
    <row r="110" spans="1:8" ht="12.75">
      <c r="A110" s="90">
        <f>ROW()</f>
        <v>110</v>
      </c>
      <c r="H110" s="18"/>
    </row>
    <row r="111" spans="1:8" ht="12.75">
      <c r="A111" s="90">
        <f>ROW()</f>
        <v>111</v>
      </c>
      <c r="H111" s="18"/>
    </row>
    <row r="112" spans="1:8" ht="12.75">
      <c r="A112" s="90">
        <f>ROW()</f>
        <v>112</v>
      </c>
      <c r="H112" s="18"/>
    </row>
    <row r="113" spans="1:8" ht="12.75">
      <c r="A113" s="90">
        <f>ROW()</f>
        <v>113</v>
      </c>
      <c r="H113" s="18"/>
    </row>
    <row r="114" spans="1:8" ht="12.75">
      <c r="A114" s="90">
        <f>ROW()</f>
        <v>114</v>
      </c>
      <c r="H114" s="18"/>
    </row>
    <row r="115" spans="1:8" ht="12.75">
      <c r="A115" s="90">
        <f>ROW()</f>
        <v>115</v>
      </c>
      <c r="H115" s="18"/>
    </row>
    <row r="116" spans="1:8" ht="12.75">
      <c r="A116" s="90">
        <f>ROW()</f>
        <v>116</v>
      </c>
      <c r="H116" s="18"/>
    </row>
    <row r="117" spans="1:8" ht="12.75">
      <c r="A117" s="90">
        <f>ROW()</f>
        <v>117</v>
      </c>
      <c r="H117" s="18"/>
    </row>
    <row r="118" spans="1:8" ht="12.75">
      <c r="A118" s="90">
        <f>ROW()</f>
        <v>118</v>
      </c>
      <c r="H118" s="18"/>
    </row>
    <row r="119" spans="1:8" ht="12.75">
      <c r="A119" s="90">
        <f>ROW()</f>
        <v>119</v>
      </c>
      <c r="H119" s="18"/>
    </row>
    <row r="120" ht="12.75">
      <c r="H120" s="18"/>
    </row>
    <row r="121" ht="12.75">
      <c r="H121" s="18"/>
    </row>
    <row r="122" ht="12.75">
      <c r="H122" s="18"/>
    </row>
    <row r="123" ht="12.75">
      <c r="H123" s="18"/>
    </row>
    <row r="124" ht="12.75">
      <c r="H124" s="18"/>
    </row>
    <row r="125" ht="12.75">
      <c r="H125" s="18"/>
    </row>
  </sheetData>
  <sheetProtection/>
  <mergeCells count="7">
    <mergeCell ref="O66:O75"/>
    <mergeCell ref="O64:P64"/>
    <mergeCell ref="P4:R4"/>
    <mergeCell ref="M11:O11"/>
    <mergeCell ref="M8:O8"/>
    <mergeCell ref="M4:O4"/>
    <mergeCell ref="O63:T63"/>
  </mergeCells>
  <hyperlinks>
    <hyperlink ref="D94" r:id="rId1" display="http://www.treasury.gov/resource-center/data-chart-center/interest-rates/Pages/TextView.aspx?data=yield "/>
    <hyperlink ref="D93" r:id="rId2" display="http://finance.yahoo.com/"/>
    <hyperlink ref="D95" r:id="rId3" display="http://www.bankrate.com/rates/interest-rates/libor.aspx?ec_id=m1118120&amp;s_kwcid=AL!1325!3!41196777488!e!!g!!libor%20rate&amp;ef_id=Ux9NKQAAAcXzBiC8:20150227133807:s "/>
    <hyperlink ref="I1" r:id="rId4" display="https://finance.yahoo.com/quote/AIN?p=AIN"/>
  </hyperlinks>
  <printOptions/>
  <pageMargins left="0.2" right="0.2" top="0.34" bottom="0.17" header="0.53" footer="0.17"/>
  <pageSetup fitToHeight="0" fitToWidth="1" horizontalDpi="1200" verticalDpi="1200" orientation="landscape" scale="51" r:id="rId6"/>
  <rowBreaks count="1" manualBreakCount="1">
    <brk id="76" max="20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 Droussiotis</cp:lastModifiedBy>
  <cp:lastPrinted>2016-02-16T13:18:45Z</cp:lastPrinted>
  <dcterms:created xsi:type="dcterms:W3CDTF">2007-12-04T14:52:44Z</dcterms:created>
  <dcterms:modified xsi:type="dcterms:W3CDTF">2021-03-25T19:14:32Z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