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'Sheet1'!$A$4:$L$169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<sst xmlns="http://schemas.openxmlformats.org/spreadsheetml/2006/main" count="274" uniqueCount="228">
  <si>
    <t>Calculations</t>
  </si>
  <si>
    <t>SP</t>
  </si>
  <si>
    <t>SO</t>
  </si>
  <si>
    <t>SP * SO = EQ</t>
  </si>
  <si>
    <t>D</t>
  </si>
  <si>
    <t>C</t>
  </si>
  <si>
    <t>EQ + D - C = EV</t>
  </si>
  <si>
    <t>Company</t>
  </si>
  <si>
    <t>Symbol</t>
  </si>
  <si>
    <t>Stocks Outstanding ($000)</t>
  </si>
  <si>
    <t>Equity Value
 ($000)</t>
  </si>
  <si>
    <t>Debt (ST&amp;LT)
($000)</t>
  </si>
  <si>
    <t>Cash
 ($000)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</si>
  <si>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</si>
  <si>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</si>
  <si>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</si>
  <si>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</si>
  <si>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</si>
  <si>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</si>
  <si>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</si>
  <si>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</si>
  <si>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</si>
  <si>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</si>
  <si>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</si>
  <si>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</si>
  <si>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</si>
  <si>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</si>
  <si>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</si>
  <si>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</si>
  <si>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</si>
  <si>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HOT</t>
  </si>
  <si>
    <t>E</t>
  </si>
  <si>
    <t>EV / E</t>
  </si>
  <si>
    <t>EBITDA Multiple</t>
  </si>
  <si>
    <t>Beta</t>
  </si>
  <si>
    <t>Intercontinental Hotel</t>
  </si>
  <si>
    <t>IHG</t>
  </si>
  <si>
    <t>WYN</t>
  </si>
  <si>
    <t>Average</t>
  </si>
  <si>
    <t>EBITDA * Average Multiple</t>
  </si>
  <si>
    <t>Outliers</t>
  </si>
  <si>
    <t>AP</t>
  </si>
  <si>
    <t>AP * SO = EQ</t>
  </si>
  <si>
    <t xml:space="preserve">Target </t>
  </si>
  <si>
    <t>Acquirer</t>
  </si>
  <si>
    <t>Acquisition Price /Share</t>
  </si>
  <si>
    <t>Shares Outstanding</t>
  </si>
  <si>
    <t>Equity Value ($mm)</t>
  </si>
  <si>
    <t>EBITDA (last reported)</t>
  </si>
  <si>
    <t>Four Seasons*</t>
  </si>
  <si>
    <t>Fairmont/Rafles</t>
  </si>
  <si>
    <t>Kingtom Hotels Int'l</t>
  </si>
  <si>
    <t>Hilton International</t>
  </si>
  <si>
    <t>Hilton Hotels Corp.</t>
  </si>
  <si>
    <t>Starwood Hotels</t>
  </si>
  <si>
    <t>Host Marriott</t>
  </si>
  <si>
    <t>Wynham Int'l</t>
  </si>
  <si>
    <t>Blackstone Group</t>
  </si>
  <si>
    <t>JQH Acquisition LLC</t>
  </si>
  <si>
    <t>Societe du Louvre</t>
  </si>
  <si>
    <t>Starwood Capital</t>
  </si>
  <si>
    <t>Intercontinental Hotels</t>
  </si>
  <si>
    <t>LRG</t>
  </si>
  <si>
    <t>Boca Resorts</t>
  </si>
  <si>
    <t>Prime Hospitality</t>
  </si>
  <si>
    <t>Extended Stay</t>
  </si>
  <si>
    <t>Adjust. Outlier</t>
  </si>
  <si>
    <t xml:space="preserve">  year =</t>
  </si>
  <si>
    <t>Discout Cash Flow Valuation Analysis</t>
  </si>
  <si>
    <t>Projected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</si>
  <si>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</si>
  <si>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</si>
  <si>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</si>
  <si>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</si>
  <si>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</si>
  <si>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</si>
  <si>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 xml:space="preserve"> EBIT</t>
  </si>
  <si>
    <t>Plus Depreciation</t>
  </si>
  <si>
    <t xml:space="preserve">Less Capex </t>
  </si>
  <si>
    <t>Cash Flow</t>
  </si>
  <si>
    <t>EBITDA</t>
  </si>
  <si>
    <t>Terminal Value</t>
  </si>
  <si>
    <t xml:space="preserve">  EBITDA Multiple Method</t>
  </si>
  <si>
    <t>(EBITDA x EBITDA Multiple)</t>
  </si>
  <si>
    <t xml:space="preserve">  Perpetuity Method </t>
  </si>
  <si>
    <t>Less Debt Outstanding (at Exit)</t>
  </si>
  <si>
    <t>Plus Cash (at Exit)</t>
  </si>
  <si>
    <t>Equity Value at Terminal</t>
  </si>
  <si>
    <t>Equity Cash Flows</t>
  </si>
  <si>
    <t>PV (1) =</t>
  </si>
  <si>
    <t>PV (2) =</t>
  </si>
  <si>
    <t>PV (3) =</t>
  </si>
  <si>
    <t>PV (4) =</t>
  </si>
  <si>
    <t>PV (5) =</t>
  </si>
  <si>
    <t>PV=</t>
  </si>
  <si>
    <t>PV of Equity + PV of Debt</t>
  </si>
  <si>
    <t xml:space="preserve">PV of Equity = </t>
  </si>
  <si>
    <t>Cost of Equity Calc</t>
  </si>
  <si>
    <t xml:space="preserve">+ PV of Debt = </t>
  </si>
  <si>
    <t>Premium based on MC =</t>
  </si>
  <si>
    <t>Expected Equity Return =</t>
  </si>
  <si>
    <t>EV</t>
  </si>
  <si>
    <t>Debt</t>
  </si>
  <si>
    <t>Cash</t>
  </si>
  <si>
    <t>Eq Value</t>
  </si>
  <si>
    <t>Shares Outs</t>
  </si>
  <si>
    <t>Stock Price</t>
  </si>
  <si>
    <t xml:space="preserve">  Average of other methods</t>
  </si>
  <si>
    <t xml:space="preserve">+ PV of Cash = </t>
  </si>
  <si>
    <t>H</t>
  </si>
  <si>
    <t>Market Capitalization (Equity Value)</t>
  </si>
  <si>
    <t>Dividends/Share</t>
  </si>
  <si>
    <t>General Information</t>
  </si>
  <si>
    <t>Profitability</t>
  </si>
  <si>
    <t>ROE %</t>
  </si>
  <si>
    <t>ROA%</t>
  </si>
  <si>
    <t>Expected HPR = E 9r) = [E (d1) + (E(p1) - P0) / P0</t>
  </si>
  <si>
    <t>Dividend (d1)</t>
  </si>
  <si>
    <t>P1 = P0+D</t>
  </si>
  <si>
    <t>P0</t>
  </si>
  <si>
    <t>Exp. HPR=</t>
  </si>
  <si>
    <t>Risk Free =</t>
  </si>
  <si>
    <t>Beta =</t>
  </si>
  <si>
    <t>Premium=</t>
  </si>
  <si>
    <t>RoR =</t>
  </si>
  <si>
    <t>Intrinsic Value = V0 = [ E(D1) + E (P1)] / (1+k)</t>
  </si>
  <si>
    <t>D1=</t>
  </si>
  <si>
    <t>k=</t>
  </si>
  <si>
    <t>V0=</t>
  </si>
  <si>
    <t>D1 =</t>
  </si>
  <si>
    <t>Book Value of Assets</t>
  </si>
  <si>
    <t>Book Value of Equity</t>
  </si>
  <si>
    <t>Common Shares Outstanding (000's)</t>
  </si>
  <si>
    <t>Revenues (LTM)</t>
  </si>
  <si>
    <t>Operating Expenses (Excl. Non-rec.)</t>
  </si>
  <si>
    <t>Current Market Price</t>
  </si>
  <si>
    <t>Intrinsic Value Price</t>
  </si>
  <si>
    <t>Comparable Trading Multiples</t>
  </si>
  <si>
    <t>Comparable Acquisition Multiples</t>
  </si>
  <si>
    <t>DCF Analysis</t>
  </si>
  <si>
    <t>Less Taxes (tax rate x of EBIT)</t>
  </si>
  <si>
    <t>Growth</t>
  </si>
  <si>
    <t>Total Net Debt ($mm)</t>
  </si>
  <si>
    <t>ND</t>
  </si>
  <si>
    <t>EQ + ND = EV</t>
  </si>
  <si>
    <t xml:space="preserve"> Next Year's Cash Flow / (Discount Rate - Growth)</t>
  </si>
  <si>
    <t>ENTERPRISE VALUATION ANALYSIS</t>
  </si>
  <si>
    <t>Enterprise Value =</t>
  </si>
  <si>
    <t>Enterprise Value (EV)</t>
  </si>
  <si>
    <t>EBITDA 
($mm)</t>
  </si>
  <si>
    <t>Wyndham Worldwide</t>
  </si>
  <si>
    <t>EBITDA (LTM)</t>
  </si>
  <si>
    <t>Net Income (LTM)</t>
  </si>
  <si>
    <t>Risk Free Rate (5 year)</t>
  </si>
  <si>
    <t>Using CAPM = k = Rf + ( Beta * Premium )</t>
  </si>
  <si>
    <t>Exp (P1)=</t>
  </si>
  <si>
    <t>Historical</t>
  </si>
  <si>
    <t>Kingtom Hotels Int'l / 
Gates' Cascade</t>
  </si>
  <si>
    <t xml:space="preserve">Analyst Est. </t>
  </si>
  <si>
    <t xml:space="preserve"> (Average Earnings per share)</t>
  </si>
  <si>
    <t>PE Multiple</t>
  </si>
  <si>
    <t>Hilton Worldwide Holdings Inc.</t>
  </si>
  <si>
    <t>Belmond (A/K Orient Express Hotels Ltd)</t>
  </si>
  <si>
    <t>BEL</t>
  </si>
  <si>
    <t>Hyatt Hotels Corporation</t>
  </si>
  <si>
    <t>Debt (ST&amp;LT)
9/30/2017
($000)</t>
  </si>
  <si>
    <t>Cash
9/30/2017
 ($000)</t>
  </si>
  <si>
    <t>Equity 
Value
 ($000)</t>
  </si>
  <si>
    <t>Park Hotels &amp; Resorts Inc.</t>
  </si>
  <si>
    <t>PK</t>
  </si>
  <si>
    <t>Hyatt Beta =</t>
  </si>
  <si>
    <t>WACC Calc:</t>
  </si>
  <si>
    <t xml:space="preserve">  % Cap</t>
  </si>
  <si>
    <t xml:space="preserve"> AT RoR</t>
  </si>
  <si>
    <t>Debt (assuming 5% reduction of intial principal per year)</t>
  </si>
  <si>
    <t>WACC</t>
  </si>
  <si>
    <t>80% of WACC</t>
  </si>
  <si>
    <t>Rate</t>
  </si>
  <si>
    <t>BV Equity</t>
  </si>
  <si>
    <t>Hyatt's Enterprise Value</t>
  </si>
  <si>
    <t>METHOD #1 - Market Value / Using the Stock Price</t>
  </si>
  <si>
    <t>Hyatt's Enteprise Value</t>
  </si>
  <si>
    <t>Haytt's Enteprise Value</t>
  </si>
  <si>
    <t>MARKET VALUE METHODS</t>
  </si>
  <si>
    <t>BOOK VALUE</t>
  </si>
  <si>
    <t>Book Value of Equity / Shares</t>
  </si>
  <si>
    <t>MV / BV</t>
  </si>
  <si>
    <t>Tobin's Q Ratio (EV/ Total Assets)</t>
  </si>
  <si>
    <t>Market Value to Book Value Relationship</t>
  </si>
  <si>
    <t>Per Share</t>
  </si>
  <si>
    <t>Price / Earnings</t>
  </si>
  <si>
    <t>Price / Sales</t>
  </si>
  <si>
    <t>Price / EBITDA</t>
  </si>
  <si>
    <t>Hotel Industry</t>
  </si>
  <si>
    <t>Equity MV / BV</t>
  </si>
  <si>
    <t>Assets</t>
  </si>
  <si>
    <t>Equity</t>
  </si>
  <si>
    <t>Net Income</t>
  </si>
  <si>
    <t>Revenue</t>
  </si>
  <si>
    <t>EV / Total Assets</t>
  </si>
  <si>
    <t xml:space="preserve">Price / Earnings </t>
  </si>
  <si>
    <t>(EPS)</t>
  </si>
  <si>
    <t>Price / Revenue</t>
  </si>
  <si>
    <t>EPS</t>
  </si>
  <si>
    <t>Hyatt</t>
  </si>
  <si>
    <t>Over/Under %</t>
  </si>
  <si>
    <t>Less Working Capital</t>
  </si>
  <si>
    <t xml:space="preserve"> (80% of WACC)</t>
  </si>
  <si>
    <t>CORPORATE VALUATIONS</t>
  </si>
  <si>
    <t>(No growth)</t>
  </si>
  <si>
    <t>Expected Equity Return (k)=</t>
  </si>
  <si>
    <t>Expected Growth (g) =</t>
  </si>
  <si>
    <t>METHOD #2- Intrinsic Value</t>
  </si>
  <si>
    <t>METHOD #3- Dividend Discount Model (DDM)</t>
  </si>
  <si>
    <t xml:space="preserve">METHOD #4 -Average  EBITDA  Industry Trading Multiples </t>
  </si>
  <si>
    <t>Constant-Growth DDM (Gordon Model) V0 = D1 / (k-g)</t>
  </si>
  <si>
    <t>Market Return (Rf + Premium)=</t>
  </si>
  <si>
    <t>METHOD #5 - Using Averge EBITDA Transaction Multiples (M&amp;A Comparable Method)</t>
  </si>
  <si>
    <t>METHOD #6 - Discount Cash Flow Valuation Analysis</t>
  </si>
  <si>
    <t>Dividend Discount Model</t>
  </si>
  <si>
    <t>Book Value Equity</t>
  </si>
  <si>
    <t>PV (for $1)</t>
  </si>
  <si>
    <t>METHOD #5 - Using Averge EBITDA Transaction Multiples</t>
  </si>
  <si>
    <t>Last Reported Performance (6/30/2018 ($ 000's) - LTM</t>
  </si>
  <si>
    <t>Stock Price 
(as of 9/21/2018)</t>
  </si>
  <si>
    <t>(Avg Target by Analysts for 9/19)</t>
  </si>
  <si>
    <t>6/30/2018</t>
  </si>
  <si>
    <t>Interest 6/18 LTM ($ 000s)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</si>
</sst>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0\x"/>
    <numFmt numFmtId="167" formatCode="0.0%"/>
    <numFmt numFmtId="168" formatCode="0.0\x"/>
    <numFmt numFmtId="169" formatCode="_(* #,##0.0000000_);_(* \(#,##0.0000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0.000%"/>
    <numFmt numFmtId="174" formatCode="&quot;$&quot;0.00"/>
    <numFmt numFmtId="175" formatCode="&quot;$&quot;#,##0.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8.5"/>
      <color indexed="8"/>
      <name val="Arial"/>
      <family val="0"/>
    </font>
    <font>
      <sz val="10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44" fontId="5" fillId="0" borderId="16" xfId="44" applyFont="1" applyBorder="1" applyAlignment="1">
      <alignment/>
    </xf>
    <xf numFmtId="164" fontId="5" fillId="0" borderId="16" xfId="42" applyNumberFormat="1" applyFont="1" applyBorder="1" applyAlignment="1">
      <alignment/>
    </xf>
    <xf numFmtId="43" fontId="5" fillId="0" borderId="16" xfId="42" applyNumberFormat="1" applyFont="1" applyBorder="1" applyAlignment="1">
      <alignment/>
    </xf>
    <xf numFmtId="43" fontId="5" fillId="0" borderId="17" xfId="42" applyNumberFormat="1" applyFont="1" applyBorder="1" applyAlignment="1">
      <alignment/>
    </xf>
    <xf numFmtId="43" fontId="5" fillId="0" borderId="18" xfId="42" applyNumberFormat="1" applyFont="1" applyBorder="1" applyAlignment="1">
      <alignment/>
    </xf>
    <xf numFmtId="43" fontId="7" fillId="33" borderId="19" xfId="42" applyNumberFormat="1" applyFont="1" applyFill="1" applyBorder="1" applyAlignment="1">
      <alignment/>
    </xf>
    <xf numFmtId="0" fontId="6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/>
    </xf>
    <xf numFmtId="44" fontId="5" fillId="0" borderId="21" xfId="44" applyFont="1" applyBorder="1" applyAlignment="1">
      <alignment/>
    </xf>
    <xf numFmtId="164" fontId="5" fillId="0" borderId="21" xfId="42" applyNumberFormat="1" applyFont="1" applyBorder="1" applyAlignment="1">
      <alignment/>
    </xf>
    <xf numFmtId="43" fontId="5" fillId="0" borderId="22" xfId="42" applyNumberFormat="1" applyFont="1" applyBorder="1" applyAlignment="1">
      <alignment/>
    </xf>
    <xf numFmtId="43" fontId="5" fillId="0" borderId="23" xfId="42" applyNumberFormat="1" applyFont="1" applyBorder="1" applyAlignment="1">
      <alignment/>
    </xf>
    <xf numFmtId="43" fontId="7" fillId="33" borderId="24" xfId="42" applyNumberFormat="1" applyFont="1" applyFill="1" applyBorder="1" applyAlignment="1">
      <alignment/>
    </xf>
    <xf numFmtId="44" fontId="5" fillId="0" borderId="21" xfId="44" applyFont="1" applyFill="1" applyBorder="1" applyAlignment="1">
      <alignment/>
    </xf>
    <xf numFmtId="44" fontId="5" fillId="4" borderId="21" xfId="44" applyFont="1" applyFill="1" applyBorder="1" applyAlignment="1">
      <alignment horizontal="center"/>
    </xf>
    <xf numFmtId="165" fontId="5" fillId="4" borderId="21" xfId="42" applyNumberFormat="1" applyFont="1" applyFill="1" applyBorder="1" applyAlignment="1">
      <alignment/>
    </xf>
    <xf numFmtId="165" fontId="5" fillId="0" borderId="16" xfId="42" applyNumberFormat="1" applyFont="1" applyBorder="1" applyAlignment="1">
      <alignment/>
    </xf>
    <xf numFmtId="165" fontId="7" fillId="33" borderId="24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0" fontId="8" fillId="32" borderId="25" xfId="0" applyFont="1" applyFill="1" applyBorder="1" applyAlignment="1">
      <alignment horizontal="left" vertical="center" wrapText="1"/>
    </xf>
    <xf numFmtId="165" fontId="2" fillId="32" borderId="2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4" fontId="5" fillId="0" borderId="11" xfId="44" applyFont="1" applyFill="1" applyBorder="1" applyAlignment="1">
      <alignment horizontal="center"/>
    </xf>
    <xf numFmtId="44" fontId="5" fillId="0" borderId="11" xfId="44" applyFont="1" applyFill="1" applyBorder="1" applyAlignment="1">
      <alignment horizontal="right"/>
    </xf>
    <xf numFmtId="165" fontId="5" fillId="0" borderId="11" xfId="42" applyNumberFormat="1" applyFont="1" applyBorder="1" applyAlignment="1">
      <alignment/>
    </xf>
    <xf numFmtId="165" fontId="5" fillId="0" borderId="12" xfId="42" applyNumberFormat="1" applyFont="1" applyBorder="1" applyAlignment="1">
      <alignment/>
    </xf>
    <xf numFmtId="165" fontId="5" fillId="0" borderId="13" xfId="42" applyNumberFormat="1" applyFont="1" applyBorder="1" applyAlignment="1">
      <alignment/>
    </xf>
    <xf numFmtId="165" fontId="7" fillId="33" borderId="14" xfId="42" applyNumberFormat="1" applyFont="1" applyFill="1" applyBorder="1" applyAlignment="1">
      <alignment/>
    </xf>
    <xf numFmtId="166" fontId="7" fillId="33" borderId="14" xfId="42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center" wrapText="1"/>
    </xf>
    <xf numFmtId="166" fontId="2" fillId="0" borderId="0" xfId="0" applyNumberFormat="1" applyFont="1" applyBorder="1" applyAlignment="1">
      <alignment/>
    </xf>
    <xf numFmtId="0" fontId="2" fillId="32" borderId="0" xfId="0" applyFont="1" applyFill="1" applyAlignment="1">
      <alignment horizontal="center"/>
    </xf>
    <xf numFmtId="0" fontId="2" fillId="32" borderId="27" xfId="0" applyFont="1" applyFill="1" applyBorder="1" applyAlignment="1">
      <alignment horizontal="center"/>
    </xf>
    <xf numFmtId="165" fontId="0" fillId="0" borderId="28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28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165" fontId="2" fillId="0" borderId="29" xfId="42" applyNumberFormat="1" applyFont="1" applyBorder="1" applyAlignment="1">
      <alignment/>
    </xf>
    <xf numFmtId="165" fontId="2" fillId="0" borderId="30" xfId="42" applyNumberFormat="1" applyFont="1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/>
    </xf>
    <xf numFmtId="0" fontId="2" fillId="0" borderId="27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65" fontId="0" fillId="0" borderId="28" xfId="0" applyNumberFormat="1" applyBorder="1" applyAlignment="1">
      <alignment/>
    </xf>
    <xf numFmtId="10" fontId="11" fillId="0" borderId="0" xfId="0" applyNumberFormat="1" applyFont="1" applyAlignment="1">
      <alignment/>
    </xf>
    <xf numFmtId="165" fontId="0" fillId="0" borderId="31" xfId="42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2" fillId="0" borderId="30" xfId="0" applyNumberFormat="1" applyFont="1" applyBorder="1" applyAlignment="1">
      <alignment/>
    </xf>
    <xf numFmtId="0" fontId="0" fillId="0" borderId="0" xfId="0" applyAlignment="1" quotePrefix="1">
      <alignment/>
    </xf>
    <xf numFmtId="6" fontId="2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5" fontId="2" fillId="0" borderId="0" xfId="0" applyNumberFormat="1" applyFont="1" applyAlignment="1">
      <alignment/>
    </xf>
    <xf numFmtId="0" fontId="0" fillId="32" borderId="32" xfId="0" applyFill="1" applyBorder="1" applyAlignment="1">
      <alignment/>
    </xf>
    <xf numFmtId="0" fontId="0" fillId="0" borderId="33" xfId="0" applyBorder="1" applyAlignment="1">
      <alignment/>
    </xf>
    <xf numFmtId="0" fontId="2" fillId="32" borderId="14" xfId="0" applyFont="1" applyFill="1" applyBorder="1" applyAlignment="1">
      <alignment horizontal="center"/>
    </xf>
    <xf numFmtId="0" fontId="0" fillId="0" borderId="34" xfId="0" applyBorder="1" applyAlignment="1">
      <alignment/>
    </xf>
    <xf numFmtId="165" fontId="0" fillId="0" borderId="18" xfId="0" applyNumberFormat="1" applyBorder="1" applyAlignment="1">
      <alignment/>
    </xf>
    <xf numFmtId="44" fontId="0" fillId="0" borderId="19" xfId="44" applyNumberFormat="1" applyFont="1" applyBorder="1" applyAlignment="1">
      <alignment/>
    </xf>
    <xf numFmtId="0" fontId="0" fillId="0" borderId="35" xfId="0" applyBorder="1" applyAlignment="1">
      <alignment/>
    </xf>
    <xf numFmtId="165" fontId="0" fillId="0" borderId="23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2" fillId="0" borderId="33" xfId="0" applyFont="1" applyBorder="1" applyAlignment="1">
      <alignment/>
    </xf>
    <xf numFmtId="165" fontId="2" fillId="0" borderId="30" xfId="0" applyNumberFormat="1" applyFont="1" applyBorder="1" applyAlignment="1">
      <alignment/>
    </xf>
    <xf numFmtId="44" fontId="2" fillId="0" borderId="36" xfId="44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9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34" borderId="34" xfId="0" applyFill="1" applyBorder="1" applyAlignment="1">
      <alignment/>
    </xf>
    <xf numFmtId="165" fontId="0" fillId="34" borderId="18" xfId="0" applyNumberFormat="1" applyFill="1" applyBorder="1" applyAlignment="1">
      <alignment/>
    </xf>
    <xf numFmtId="44" fontId="0" fillId="34" borderId="19" xfId="44" applyNumberFormat="1" applyFont="1" applyFill="1" applyBorder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" fillId="0" borderId="29" xfId="42" applyNumberFormat="1" applyFont="1" applyFill="1" applyBorder="1" applyAlignment="1">
      <alignment/>
    </xf>
    <xf numFmtId="8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10" fontId="2" fillId="34" borderId="26" xfId="57" applyNumberFormat="1" applyFont="1" applyFill="1" applyBorder="1" applyAlignment="1">
      <alignment/>
    </xf>
    <xf numFmtId="167" fontId="2" fillId="34" borderId="26" xfId="57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44" fontId="2" fillId="34" borderId="26" xfId="44" applyFont="1" applyFill="1" applyBorder="1" applyAlignment="1">
      <alignment/>
    </xf>
    <xf numFmtId="166" fontId="15" fillId="33" borderId="14" xfId="42" applyNumberFormat="1" applyFont="1" applyFill="1" applyBorder="1" applyAlignment="1">
      <alignment/>
    </xf>
    <xf numFmtId="165" fontId="11" fillId="0" borderId="28" xfId="42" applyNumberFormat="1" applyFont="1" applyBorder="1" applyAlignment="1">
      <alignment/>
    </xf>
    <xf numFmtId="165" fontId="11" fillId="0" borderId="19" xfId="42" applyNumberFormat="1" applyFont="1" applyBorder="1" applyAlignment="1">
      <alignment/>
    </xf>
    <xf numFmtId="0" fontId="5" fillId="0" borderId="0" xfId="0" applyFont="1" applyAlignment="1">
      <alignment/>
    </xf>
    <xf numFmtId="14" fontId="2" fillId="32" borderId="27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165" fontId="2" fillId="0" borderId="39" xfId="0" applyNumberFormat="1" applyFont="1" applyFill="1" applyBorder="1" applyAlignment="1">
      <alignment/>
    </xf>
    <xf numFmtId="165" fontId="2" fillId="0" borderId="39" xfId="0" applyNumberFormat="1" applyFont="1" applyBorder="1" applyAlignment="1">
      <alignment/>
    </xf>
    <xf numFmtId="165" fontId="2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167" fontId="14" fillId="0" borderId="0" xfId="57" applyNumberFormat="1" applyFont="1" applyBorder="1" applyAlignment="1">
      <alignment/>
    </xf>
    <xf numFmtId="167" fontId="14" fillId="0" borderId="28" xfId="57" applyNumberFormat="1" applyFont="1" applyBorder="1" applyAlignment="1">
      <alignment/>
    </xf>
    <xf numFmtId="44" fontId="0" fillId="0" borderId="0" xfId="0" applyNumberFormat="1" applyAlignment="1">
      <alignment/>
    </xf>
    <xf numFmtId="8" fontId="11" fillId="0" borderId="0" xfId="0" applyNumberFormat="1" applyFont="1" applyAlignment="1">
      <alignment/>
    </xf>
    <xf numFmtId="6" fontId="11" fillId="0" borderId="0" xfId="0" applyNumberFormat="1" applyFont="1" applyAlignment="1">
      <alignment/>
    </xf>
    <xf numFmtId="14" fontId="13" fillId="32" borderId="40" xfId="0" applyNumberFormat="1" applyFont="1" applyFill="1" applyBorder="1" applyAlignment="1" quotePrefix="1">
      <alignment horizontal="center"/>
    </xf>
    <xf numFmtId="0" fontId="2" fillId="0" borderId="27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 quotePrefix="1">
      <alignment horizontal="center" vertical="center"/>
    </xf>
    <xf numFmtId="165" fontId="14" fillId="0" borderId="22" xfId="42" applyNumberFormat="1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2" fillId="32" borderId="1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44" fontId="5" fillId="4" borderId="16" xfId="44" applyFont="1" applyFill="1" applyBorder="1" applyAlignment="1">
      <alignment/>
    </xf>
    <xf numFmtId="165" fontId="14" fillId="0" borderId="16" xfId="42" applyNumberFormat="1" applyFont="1" applyBorder="1" applyAlignment="1">
      <alignment/>
    </xf>
    <xf numFmtId="165" fontId="14" fillId="0" borderId="17" xfId="42" applyNumberFormat="1" applyFont="1" applyBorder="1" applyAlignment="1">
      <alignment/>
    </xf>
    <xf numFmtId="165" fontId="14" fillId="0" borderId="41" xfId="42" applyNumberFormat="1" applyFont="1" applyBorder="1" applyAlignment="1">
      <alignment/>
    </xf>
    <xf numFmtId="165" fontId="7" fillId="33" borderId="19" xfId="42" applyNumberFormat="1" applyFont="1" applyFill="1" applyBorder="1" applyAlignment="1">
      <alignment/>
    </xf>
    <xf numFmtId="166" fontId="7" fillId="33" borderId="19" xfId="42" applyNumberFormat="1" applyFont="1" applyFill="1" applyBorder="1" applyAlignment="1">
      <alignment/>
    </xf>
    <xf numFmtId="166" fontId="15" fillId="33" borderId="19" xfId="42" applyNumberFormat="1" applyFont="1" applyFill="1" applyBorder="1" applyAlignment="1">
      <alignment/>
    </xf>
    <xf numFmtId="0" fontId="5" fillId="0" borderId="21" xfId="0" applyFont="1" applyBorder="1" applyAlignment="1">
      <alignment horizontal="center"/>
    </xf>
    <xf numFmtId="44" fontId="5" fillId="4" borderId="21" xfId="44" applyFont="1" applyFill="1" applyBorder="1" applyAlignment="1">
      <alignment/>
    </xf>
    <xf numFmtId="165" fontId="14" fillId="0" borderId="21" xfId="42" applyNumberFormat="1" applyFont="1" applyBorder="1" applyAlignment="1">
      <alignment/>
    </xf>
    <xf numFmtId="165" fontId="14" fillId="0" borderId="22" xfId="42" applyNumberFormat="1" applyFont="1" applyBorder="1" applyAlignment="1">
      <alignment/>
    </xf>
    <xf numFmtId="165" fontId="14" fillId="0" borderId="42" xfId="42" applyNumberFormat="1" applyFont="1" applyBorder="1" applyAlignment="1">
      <alignment/>
    </xf>
    <xf numFmtId="44" fontId="5" fillId="0" borderId="21" xfId="44" applyFont="1" applyBorder="1" applyAlignment="1">
      <alignment horizontal="center"/>
    </xf>
    <xf numFmtId="44" fontId="5" fillId="0" borderId="21" xfId="44" applyFont="1" applyFill="1" applyBorder="1" applyAlignment="1">
      <alignment horizontal="center"/>
    </xf>
    <xf numFmtId="0" fontId="6" fillId="0" borderId="43" xfId="0" applyFont="1" applyBorder="1" applyAlignment="1">
      <alignment horizontal="left" vertical="center" wrapText="1"/>
    </xf>
    <xf numFmtId="44" fontId="5" fillId="0" borderId="44" xfId="44" applyFont="1" applyFill="1" applyBorder="1" applyAlignment="1">
      <alignment horizontal="center"/>
    </xf>
    <xf numFmtId="44" fontId="5" fillId="4" borderId="44" xfId="44" applyFont="1" applyFill="1" applyBorder="1" applyAlignment="1">
      <alignment/>
    </xf>
    <xf numFmtId="165" fontId="14" fillId="0" borderId="44" xfId="42" applyNumberFormat="1" applyFont="1" applyBorder="1" applyAlignment="1">
      <alignment/>
    </xf>
    <xf numFmtId="165" fontId="5" fillId="0" borderId="45" xfId="42" applyNumberFormat="1" applyFont="1" applyBorder="1" applyAlignment="1">
      <alignment/>
    </xf>
    <xf numFmtId="165" fontId="14" fillId="0" borderId="46" xfId="42" applyNumberFormat="1" applyFont="1" applyBorder="1" applyAlignment="1">
      <alignment/>
    </xf>
    <xf numFmtId="165" fontId="14" fillId="0" borderId="47" xfId="42" applyNumberFormat="1" applyFont="1" applyBorder="1" applyAlignment="1">
      <alignment/>
    </xf>
    <xf numFmtId="165" fontId="7" fillId="33" borderId="40" xfId="42" applyNumberFormat="1" applyFont="1" applyFill="1" applyBorder="1" applyAlignment="1">
      <alignment/>
    </xf>
    <xf numFmtId="166" fontId="7" fillId="33" borderId="40" xfId="42" applyNumberFormat="1" applyFont="1" applyFill="1" applyBorder="1" applyAlignment="1">
      <alignment/>
    </xf>
    <xf numFmtId="166" fontId="15" fillId="33" borderId="40" xfId="42" applyNumberFormat="1" applyFont="1" applyFill="1" applyBorder="1" applyAlignment="1">
      <alignment/>
    </xf>
    <xf numFmtId="44" fontId="0" fillId="0" borderId="0" xfId="44" applyFont="1" applyAlignment="1">
      <alignment horizontal="right"/>
    </xf>
    <xf numFmtId="165" fontId="0" fillId="0" borderId="48" xfId="42" applyNumberFormat="1" applyFont="1" applyBorder="1" applyAlignment="1">
      <alignment/>
    </xf>
    <xf numFmtId="167" fontId="14" fillId="0" borderId="48" xfId="57" applyNumberFormat="1" applyFont="1" applyBorder="1" applyAlignment="1">
      <alignment/>
    </xf>
    <xf numFmtId="165" fontId="0" fillId="0" borderId="49" xfId="42" applyNumberFormat="1" applyFont="1" applyBorder="1" applyAlignment="1">
      <alignment/>
    </xf>
    <xf numFmtId="165" fontId="2" fillId="0" borderId="50" xfId="42" applyNumberFormat="1" applyFont="1" applyBorder="1" applyAlignment="1">
      <alignment/>
    </xf>
    <xf numFmtId="165" fontId="2" fillId="0" borderId="51" xfId="0" applyNumberFormat="1" applyFont="1" applyBorder="1" applyAlignment="1">
      <alignment/>
    </xf>
    <xf numFmtId="165" fontId="2" fillId="0" borderId="49" xfId="42" applyNumberFormat="1" applyFont="1" applyBorder="1" applyAlignment="1">
      <alignment/>
    </xf>
    <xf numFmtId="14" fontId="2" fillId="32" borderId="40" xfId="0" applyNumberFormat="1" applyFont="1" applyFill="1" applyBorder="1" applyAlignment="1">
      <alignment horizontal="right"/>
    </xf>
    <xf numFmtId="0" fontId="5" fillId="0" borderId="0" xfId="0" applyFont="1" applyAlignment="1" quotePrefix="1">
      <alignment/>
    </xf>
    <xf numFmtId="0" fontId="2" fillId="32" borderId="52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9" fontId="11" fillId="0" borderId="52" xfId="0" applyNumberFormat="1" applyFont="1" applyBorder="1" applyAlignment="1">
      <alignment horizontal="center"/>
    </xf>
    <xf numFmtId="167" fontId="11" fillId="0" borderId="52" xfId="0" applyNumberFormat="1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2" fillId="32" borderId="19" xfId="0" applyFont="1" applyFill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44" fontId="5" fillId="0" borderId="16" xfId="44" applyFont="1" applyFill="1" applyBorder="1" applyAlignment="1">
      <alignment vertical="center"/>
    </xf>
    <xf numFmtId="165" fontId="5" fillId="0" borderId="16" xfId="42" applyNumberFormat="1" applyFont="1" applyFill="1" applyBorder="1" applyAlignment="1">
      <alignment vertical="center"/>
    </xf>
    <xf numFmtId="44" fontId="5" fillId="0" borderId="16" xfId="0" applyNumberFormat="1" applyFont="1" applyFill="1" applyBorder="1" applyAlignment="1">
      <alignment vertical="center"/>
    </xf>
    <xf numFmtId="166" fontId="5" fillId="0" borderId="41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6" xfId="44" applyFont="1" applyBorder="1" applyAlignment="1">
      <alignment/>
    </xf>
    <xf numFmtId="165" fontId="5" fillId="0" borderId="16" xfId="42" applyNumberFormat="1" applyFont="1" applyBorder="1" applyAlignment="1">
      <alignment/>
    </xf>
    <xf numFmtId="44" fontId="5" fillId="0" borderId="16" xfId="0" applyNumberFormat="1" applyFont="1" applyBorder="1" applyAlignment="1">
      <alignment/>
    </xf>
    <xf numFmtId="166" fontId="5" fillId="0" borderId="41" xfId="0" applyNumberFormat="1" applyFont="1" applyBorder="1" applyAlignment="1">
      <alignment/>
    </xf>
    <xf numFmtId="14" fontId="5" fillId="0" borderId="53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4" fontId="5" fillId="0" borderId="21" xfId="44" applyFont="1" applyBorder="1" applyAlignment="1">
      <alignment/>
    </xf>
    <xf numFmtId="165" fontId="5" fillId="0" borderId="21" xfId="42" applyNumberFormat="1" applyFont="1" applyBorder="1" applyAlignment="1">
      <alignment/>
    </xf>
    <xf numFmtId="44" fontId="5" fillId="0" borderId="21" xfId="0" applyNumberFormat="1" applyFont="1" applyBorder="1" applyAlignment="1">
      <alignment/>
    </xf>
    <xf numFmtId="166" fontId="5" fillId="0" borderId="42" xfId="0" applyNumberFormat="1" applyFont="1" applyBorder="1" applyAlignment="1">
      <alignment/>
    </xf>
    <xf numFmtId="0" fontId="5" fillId="0" borderId="44" xfId="0" applyFont="1" applyBorder="1" applyAlignment="1">
      <alignment/>
    </xf>
    <xf numFmtId="44" fontId="5" fillId="0" borderId="44" xfId="44" applyFont="1" applyBorder="1" applyAlignment="1">
      <alignment/>
    </xf>
    <xf numFmtId="165" fontId="5" fillId="0" borderId="44" xfId="42" applyNumberFormat="1" applyFont="1" applyBorder="1" applyAlignment="1">
      <alignment/>
    </xf>
    <xf numFmtId="44" fontId="5" fillId="0" borderId="44" xfId="0" applyNumberFormat="1" applyFont="1" applyBorder="1" applyAlignment="1">
      <alignment/>
    </xf>
    <xf numFmtId="166" fontId="5" fillId="0" borderId="47" xfId="0" applyNumberFormat="1" applyFont="1" applyBorder="1" applyAlignment="1">
      <alignment/>
    </xf>
    <xf numFmtId="0" fontId="5" fillId="0" borderId="0" xfId="0" applyFont="1" applyAlignment="1" quotePrefix="1">
      <alignment/>
    </xf>
    <xf numFmtId="167" fontId="11" fillId="0" borderId="0" xfId="57" applyNumberFormat="1" applyFont="1" applyAlignment="1">
      <alignment/>
    </xf>
    <xf numFmtId="44" fontId="5" fillId="0" borderId="21" xfId="44" applyFont="1" applyFill="1" applyBorder="1" applyAlignment="1">
      <alignment/>
    </xf>
    <xf numFmtId="44" fontId="5" fillId="0" borderId="21" xfId="44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2" fillId="0" borderId="48" xfId="0" applyNumberFormat="1" applyFont="1" applyFill="1" applyBorder="1" applyAlignment="1">
      <alignment/>
    </xf>
    <xf numFmtId="10" fontId="17" fillId="0" borderId="48" xfId="0" applyNumberFormat="1" applyFont="1" applyFill="1" applyBorder="1" applyAlignment="1">
      <alignment/>
    </xf>
    <xf numFmtId="166" fontId="2" fillId="0" borderId="48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67" fontId="2" fillId="0" borderId="14" xfId="57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7" fontId="2" fillId="0" borderId="0" xfId="57" applyNumberFormat="1" applyFont="1" applyFill="1" applyBorder="1" applyAlignment="1">
      <alignment/>
    </xf>
    <xf numFmtId="173" fontId="2" fillId="0" borderId="0" xfId="57" applyNumberFormat="1" applyFont="1" applyFill="1" applyBorder="1" applyAlignment="1">
      <alignment/>
    </xf>
    <xf numFmtId="173" fontId="2" fillId="0" borderId="48" xfId="57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67" fontId="2" fillId="0" borderId="54" xfId="57" applyNumberFormat="1" applyFont="1" applyFill="1" applyBorder="1" applyAlignment="1">
      <alignment/>
    </xf>
    <xf numFmtId="0" fontId="2" fillId="0" borderId="54" xfId="0" applyFont="1" applyFill="1" applyBorder="1" applyAlignment="1">
      <alignment/>
    </xf>
    <xf numFmtId="173" fontId="2" fillId="0" borderId="55" xfId="0" applyNumberFormat="1" applyFont="1" applyFill="1" applyBorder="1" applyAlignment="1">
      <alignment/>
    </xf>
    <xf numFmtId="165" fontId="0" fillId="0" borderId="33" xfId="42" applyNumberFormat="1" applyFont="1" applyBorder="1" applyAlignment="1">
      <alignment/>
    </xf>
    <xf numFmtId="0" fontId="0" fillId="0" borderId="48" xfId="0" applyBorder="1" applyAlignment="1">
      <alignment/>
    </xf>
    <xf numFmtId="10" fontId="0" fillId="0" borderId="33" xfId="57" applyNumberFormat="1" applyFont="1" applyBorder="1" applyAlignment="1">
      <alignment/>
    </xf>
    <xf numFmtId="0" fontId="0" fillId="0" borderId="48" xfId="0" applyFont="1" applyBorder="1" applyAlignment="1">
      <alignment/>
    </xf>
    <xf numFmtId="0" fontId="8" fillId="32" borderId="25" xfId="0" applyFont="1" applyFill="1" applyBorder="1" applyAlignment="1">
      <alignment horizontal="left" vertical="center"/>
    </xf>
    <xf numFmtId="0" fontId="8" fillId="32" borderId="32" xfId="0" applyFont="1" applyFill="1" applyBorder="1" applyAlignment="1">
      <alignment horizontal="left" vertical="center"/>
    </xf>
    <xf numFmtId="0" fontId="8" fillId="32" borderId="26" xfId="0" applyFont="1" applyFill="1" applyBorder="1" applyAlignment="1">
      <alignment horizontal="left" vertical="center"/>
    </xf>
    <xf numFmtId="0" fontId="8" fillId="32" borderId="32" xfId="0" applyFont="1" applyFill="1" applyBorder="1" applyAlignment="1">
      <alignment horizontal="right" vertical="center"/>
    </xf>
    <xf numFmtId="0" fontId="8" fillId="32" borderId="26" xfId="0" applyFont="1" applyFill="1" applyBorder="1" applyAlignment="1">
      <alignment horizontal="right" vertical="center"/>
    </xf>
    <xf numFmtId="0" fontId="18" fillId="32" borderId="25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left" vertical="center"/>
    </xf>
    <xf numFmtId="0" fontId="60" fillId="35" borderId="0" xfId="0" applyFont="1" applyFill="1" applyAlignment="1">
      <alignment horizontal="left"/>
    </xf>
    <xf numFmtId="0" fontId="61" fillId="35" borderId="0" xfId="0" applyFont="1" applyFill="1" applyAlignment="1">
      <alignment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0" fillId="35" borderId="0" xfId="0" applyFill="1" applyAlignment="1">
      <alignment/>
    </xf>
    <xf numFmtId="6" fontId="61" fillId="35" borderId="0" xfId="0" applyNumberFormat="1" applyFont="1" applyFill="1" applyAlignment="1">
      <alignment/>
    </xf>
    <xf numFmtId="0" fontId="61" fillId="35" borderId="0" xfId="0" applyFont="1" applyFill="1" applyBorder="1" applyAlignment="1">
      <alignment/>
    </xf>
    <xf numFmtId="0" fontId="19" fillId="0" borderId="0" xfId="0" applyFont="1" applyAlignment="1">
      <alignment/>
    </xf>
    <xf numFmtId="0" fontId="60" fillId="35" borderId="0" xfId="0" applyFont="1" applyFill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 horizontal="left"/>
    </xf>
    <xf numFmtId="0" fontId="0" fillId="36" borderId="32" xfId="0" applyFill="1" applyBorder="1" applyAlignment="1">
      <alignment/>
    </xf>
    <xf numFmtId="0" fontId="2" fillId="0" borderId="30" xfId="0" applyFont="1" applyBorder="1" applyAlignment="1">
      <alignment horizontal="center"/>
    </xf>
    <xf numFmtId="174" fontId="0" fillId="0" borderId="0" xfId="44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57" applyNumberFormat="1" applyFont="1" applyBorder="1" applyAlignment="1">
      <alignment horizontal="center"/>
    </xf>
    <xf numFmtId="0" fontId="60" fillId="35" borderId="0" xfId="0" applyFont="1" applyFill="1" applyBorder="1" applyAlignment="1">
      <alignment/>
    </xf>
    <xf numFmtId="0" fontId="0" fillId="0" borderId="30" xfId="0" applyBorder="1" applyAlignment="1">
      <alignment/>
    </xf>
    <xf numFmtId="167" fontId="2" fillId="0" borderId="30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0" fontId="0" fillId="0" borderId="0" xfId="0" applyFont="1" applyAlignment="1" quotePrefix="1">
      <alignment shrinkToFit="1"/>
    </xf>
    <xf numFmtId="0" fontId="5" fillId="0" borderId="0" xfId="0" applyFont="1" applyAlignment="1" quotePrefix="1">
      <alignment shrinkToFit="1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8" fontId="1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3" fillId="0" borderId="34" xfId="0" applyFont="1" applyBorder="1" applyAlignment="1">
      <alignment/>
    </xf>
    <xf numFmtId="165" fontId="63" fillId="0" borderId="18" xfId="0" applyNumberFormat="1" applyFont="1" applyBorder="1" applyAlignment="1">
      <alignment/>
    </xf>
    <xf numFmtId="44" fontId="63" fillId="0" borderId="19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0" fillId="0" borderId="56" xfId="0" applyBorder="1" applyAlignment="1">
      <alignment/>
    </xf>
    <xf numFmtId="169" fontId="2" fillId="0" borderId="52" xfId="42" applyNumberFormat="1" applyFont="1" applyBorder="1" applyAlignment="1">
      <alignment/>
    </xf>
    <xf numFmtId="0" fontId="2" fillId="32" borderId="21" xfId="0" applyFont="1" applyFill="1" applyBorder="1" applyAlignment="1">
      <alignment horizontal="center" wrapText="1"/>
    </xf>
    <xf numFmtId="165" fontId="0" fillId="0" borderId="21" xfId="42" applyNumberFormat="1" applyFont="1" applyBorder="1" applyAlignment="1">
      <alignment/>
    </xf>
    <xf numFmtId="43" fontId="0" fillId="0" borderId="21" xfId="42" applyNumberFormat="1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2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Valuation Methods</a:t>
            </a:r>
          </a:p>
        </c:rich>
      </c:tx>
      <c:layout>
        <c:manualLayout>
          <c:xMode val="factor"/>
          <c:yMode val="factor"/>
          <c:x val="-0.05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3425"/>
          <c:w val="0.97575"/>
          <c:h val="0.949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Sheet1!$N$174:$N$179</c:f>
              <c:strCache/>
            </c:strRef>
          </c:cat>
          <c:val>
            <c:numRef>
              <c:f>Sheet1!$O$174:$O$179</c:f>
              <c:numCache/>
            </c:numRef>
          </c:val>
        </c:ser>
        <c:overlap val="100"/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153</xdr:row>
      <xdr:rowOff>0</xdr:rowOff>
    </xdr:from>
    <xdr:to>
      <xdr:col>6</xdr:col>
      <xdr:colOff>400050</xdr:colOff>
      <xdr:row>154</xdr:row>
      <xdr:rowOff>95250</xdr:rowOff>
    </xdr:to>
    <xdr:sp>
      <xdr:nvSpPr>
        <xdr:cNvPr id="1" name="Line 1"/>
        <xdr:cNvSpPr>
          <a:spLocks/>
        </xdr:cNvSpPr>
      </xdr:nvSpPr>
      <xdr:spPr>
        <a:xfrm>
          <a:off x="7581900" y="26365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153</xdr:row>
      <xdr:rowOff>0</xdr:rowOff>
    </xdr:from>
    <xdr:to>
      <xdr:col>7</xdr:col>
      <xdr:colOff>352425</xdr:colOff>
      <xdr:row>155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8391525" y="26365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153</xdr:row>
      <xdr:rowOff>0</xdr:rowOff>
    </xdr:from>
    <xdr:to>
      <xdr:col>8</xdr:col>
      <xdr:colOff>400050</xdr:colOff>
      <xdr:row>156</xdr:row>
      <xdr:rowOff>76200</xdr:rowOff>
    </xdr:to>
    <xdr:sp>
      <xdr:nvSpPr>
        <xdr:cNvPr id="3" name="Line 3"/>
        <xdr:cNvSpPr>
          <a:spLocks/>
        </xdr:cNvSpPr>
      </xdr:nvSpPr>
      <xdr:spPr>
        <a:xfrm>
          <a:off x="9210675" y="263652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153</xdr:row>
      <xdr:rowOff>0</xdr:rowOff>
    </xdr:from>
    <xdr:to>
      <xdr:col>9</xdr:col>
      <xdr:colOff>400050</xdr:colOff>
      <xdr:row>157</xdr:row>
      <xdr:rowOff>95250</xdr:rowOff>
    </xdr:to>
    <xdr:sp>
      <xdr:nvSpPr>
        <xdr:cNvPr id="4" name="Line 4"/>
        <xdr:cNvSpPr>
          <a:spLocks/>
        </xdr:cNvSpPr>
      </xdr:nvSpPr>
      <xdr:spPr>
        <a:xfrm>
          <a:off x="10153650" y="263652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153</xdr:row>
      <xdr:rowOff>57150</xdr:rowOff>
    </xdr:from>
    <xdr:to>
      <xdr:col>5</xdr:col>
      <xdr:colOff>476250</xdr:colOff>
      <xdr:row>153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6353175" y="26422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154</xdr:row>
      <xdr:rowOff>95250</xdr:rowOff>
    </xdr:from>
    <xdr:to>
      <xdr:col>6</xdr:col>
      <xdr:colOff>400050</xdr:colOff>
      <xdr:row>154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6353175" y="266319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95250</xdr:rowOff>
    </xdr:from>
    <xdr:to>
      <xdr:col>7</xdr:col>
      <xdr:colOff>352425</xdr:colOff>
      <xdr:row>155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6353175" y="267938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156</xdr:row>
      <xdr:rowOff>66675</xdr:rowOff>
    </xdr:from>
    <xdr:to>
      <xdr:col>8</xdr:col>
      <xdr:colOff>400050</xdr:colOff>
      <xdr:row>156</xdr:row>
      <xdr:rowOff>66675</xdr:rowOff>
    </xdr:to>
    <xdr:sp>
      <xdr:nvSpPr>
        <xdr:cNvPr id="8" name="Line 9"/>
        <xdr:cNvSpPr>
          <a:spLocks/>
        </xdr:cNvSpPr>
      </xdr:nvSpPr>
      <xdr:spPr>
        <a:xfrm flipH="1">
          <a:off x="6353175" y="2692717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157</xdr:row>
      <xdr:rowOff>85725</xdr:rowOff>
    </xdr:from>
    <xdr:to>
      <xdr:col>9</xdr:col>
      <xdr:colOff>409575</xdr:colOff>
      <xdr:row>157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6353175" y="27108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153</xdr:row>
      <xdr:rowOff>0</xdr:rowOff>
    </xdr:from>
    <xdr:to>
      <xdr:col>5</xdr:col>
      <xdr:colOff>466725</xdr:colOff>
      <xdr:row>153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6819900" y="263652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45</xdr:row>
      <xdr:rowOff>190500</xdr:rowOff>
    </xdr:from>
    <xdr:to>
      <xdr:col>2</xdr:col>
      <xdr:colOff>523875</xdr:colOff>
      <xdr:row>45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1076325" y="88582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57</xdr:row>
      <xdr:rowOff>19050</xdr:rowOff>
    </xdr:from>
    <xdr:to>
      <xdr:col>8</xdr:col>
      <xdr:colOff>428625</xdr:colOff>
      <xdr:row>59</xdr:row>
      <xdr:rowOff>152400</xdr:rowOff>
    </xdr:to>
    <xdr:sp>
      <xdr:nvSpPr>
        <xdr:cNvPr id="12" name="Line 15"/>
        <xdr:cNvSpPr>
          <a:spLocks/>
        </xdr:cNvSpPr>
      </xdr:nvSpPr>
      <xdr:spPr>
        <a:xfrm flipV="1">
          <a:off x="4629150" y="9858375"/>
          <a:ext cx="4610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15</xdr:row>
      <xdr:rowOff>28575</xdr:rowOff>
    </xdr:from>
    <xdr:to>
      <xdr:col>3</xdr:col>
      <xdr:colOff>666750</xdr:colOff>
      <xdr:row>27</xdr:row>
      <xdr:rowOff>76200</xdr:rowOff>
    </xdr:to>
    <xdr:graphicFrame>
      <xdr:nvGraphicFramePr>
        <xdr:cNvPr id="13" name="Chart 20"/>
        <xdr:cNvGraphicFramePr/>
      </xdr:nvGraphicFramePr>
      <xdr:xfrm>
        <a:off x="190500" y="2828925"/>
        <a:ext cx="50958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447675</xdr:colOff>
      <xdr:row>143</xdr:row>
      <xdr:rowOff>85725</xdr:rowOff>
    </xdr:from>
    <xdr:to>
      <xdr:col>10</xdr:col>
      <xdr:colOff>447675</xdr:colOff>
      <xdr:row>146</xdr:row>
      <xdr:rowOff>114300</xdr:rowOff>
    </xdr:to>
    <xdr:sp>
      <xdr:nvSpPr>
        <xdr:cNvPr id="14" name="Line 21"/>
        <xdr:cNvSpPr>
          <a:spLocks/>
        </xdr:cNvSpPr>
      </xdr:nvSpPr>
      <xdr:spPr>
        <a:xfrm flipV="1">
          <a:off x="11010900" y="248793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146</xdr:row>
      <xdr:rowOff>95250</xdr:rowOff>
    </xdr:from>
    <xdr:to>
      <xdr:col>10</xdr:col>
      <xdr:colOff>457200</xdr:colOff>
      <xdr:row>146</xdr:row>
      <xdr:rowOff>95250</xdr:rowOff>
    </xdr:to>
    <xdr:sp>
      <xdr:nvSpPr>
        <xdr:cNvPr id="15" name="Line 22"/>
        <xdr:cNvSpPr>
          <a:spLocks/>
        </xdr:cNvSpPr>
      </xdr:nvSpPr>
      <xdr:spPr>
        <a:xfrm>
          <a:off x="10572750" y="253174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leritymoment.com/sitebuildercontent/sitebuilderfiles/Valuation%20Spreadsheet%20update%2010-2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2">
        <row r="10"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6"/>
  <sheetViews>
    <sheetView tabSelected="1" zoomScalePageLayoutView="0" workbookViewId="0" topLeftCell="A4">
      <selection activeCell="K36" sqref="K36"/>
    </sheetView>
  </sheetViews>
  <sheetFormatPr defaultColWidth="9.140625" defaultRowHeight="12.75"/>
  <cols>
    <col min="1" max="1" width="4.7109375" style="8" customWidth="1"/>
    <col min="2" max="2" width="48.421875" style="0" customWidth="1"/>
    <col min="3" max="3" width="16.140625" style="0" customWidth="1"/>
    <col min="4" max="5" width="13.00390625" style="0" customWidth="1"/>
    <col min="6" max="6" width="12.421875" style="0" customWidth="1"/>
    <col min="7" max="7" width="12.8515625" style="0" customWidth="1"/>
    <col min="8" max="8" width="11.57421875" style="0" customWidth="1"/>
    <col min="9" max="9" width="14.140625" style="0" customWidth="1"/>
    <col min="10" max="10" width="12.140625" style="0" customWidth="1"/>
    <col min="11" max="11" width="14.421875" style="0" customWidth="1"/>
    <col min="12" max="12" width="8.140625" style="0" customWidth="1"/>
    <col min="13" max="13" width="8.8515625" style="0" customWidth="1"/>
    <col min="14" max="14" width="23.7109375" style="0" customWidth="1"/>
    <col min="15" max="15" width="10.00390625" style="0" bestFit="1" customWidth="1"/>
    <col min="16" max="17" width="11.00390625" style="0" bestFit="1" customWidth="1"/>
    <col min="18" max="18" width="10.00390625" style="0" bestFit="1" customWidth="1"/>
    <col min="19" max="19" width="12.421875" style="0" customWidth="1"/>
  </cols>
  <sheetData>
    <row r="1" spans="2:10" ht="20.25">
      <c r="B1" s="6" t="s">
        <v>164</v>
      </c>
      <c r="C1" s="3"/>
      <c r="J1" s="4"/>
    </row>
    <row r="2" spans="2:10" ht="10.5" customHeight="1">
      <c r="B2" s="270" t="s">
        <v>208</v>
      </c>
      <c r="C2" s="3"/>
      <c r="J2" s="4"/>
    </row>
    <row r="3" spans="2:9" ht="16.5" customHeight="1">
      <c r="B3" s="269"/>
      <c r="D3" s="109"/>
      <c r="E3" s="109"/>
      <c r="F3" s="109"/>
      <c r="G3" s="109"/>
      <c r="H3" s="109"/>
      <c r="I3" s="109"/>
    </row>
    <row r="4" spans="1:7" ht="18.75" customHeight="1">
      <c r="A4" s="8">
        <f>ROW()</f>
        <v>4</v>
      </c>
      <c r="B4" s="254" t="s">
        <v>184</v>
      </c>
      <c r="D4" s="109"/>
      <c r="G4" s="109"/>
    </row>
    <row r="5" spans="2:7" ht="7.5" customHeight="1">
      <c r="B5" s="254"/>
      <c r="D5" s="109"/>
      <c r="G5" s="109"/>
    </row>
    <row r="6" spans="1:7" ht="14.25" customHeight="1" thickBot="1">
      <c r="A6" s="8">
        <f>ROW()</f>
        <v>6</v>
      </c>
      <c r="B6" s="83" t="s">
        <v>223</v>
      </c>
      <c r="D6" s="259" t="s">
        <v>189</v>
      </c>
      <c r="F6" s="83" t="s">
        <v>113</v>
      </c>
      <c r="G6" s="109"/>
    </row>
    <row r="7" spans="1:8" ht="14.25" customHeight="1" thickTop="1">
      <c r="A7" s="8">
        <f>ROW()</f>
        <v>7</v>
      </c>
      <c r="B7" s="109" t="s">
        <v>133</v>
      </c>
      <c r="C7" s="110">
        <f>+E131</f>
        <v>2613000</v>
      </c>
      <c r="D7" s="260">
        <f>+C7/$H$18</f>
        <v>22.248083242059145</v>
      </c>
      <c r="F7" s="109" t="s">
        <v>114</v>
      </c>
      <c r="H7" s="113">
        <f>+C9/C12</f>
        <v>0.15723951285520973</v>
      </c>
    </row>
    <row r="8" spans="1:8" ht="14.25" customHeight="1">
      <c r="A8" s="8">
        <f>ROW()</f>
        <v>8</v>
      </c>
      <c r="B8" s="109" t="s">
        <v>151</v>
      </c>
      <c r="C8" s="110">
        <f>+E142</f>
        <v>657000</v>
      </c>
      <c r="D8" s="260">
        <f>+C8/$H$18</f>
        <v>5.593949747429337</v>
      </c>
      <c r="F8" s="109" t="s">
        <v>115</v>
      </c>
      <c r="H8" s="113">
        <f>+C9/C11</f>
        <v>0.07941498086386004</v>
      </c>
    </row>
    <row r="9" spans="1:8" ht="14.25" customHeight="1">
      <c r="A9" s="8">
        <f>ROW()</f>
        <v>9</v>
      </c>
      <c r="B9" s="109" t="s">
        <v>152</v>
      </c>
      <c r="C9" s="140">
        <f>(77+411+76+17)*1000</f>
        <v>581000</v>
      </c>
      <c r="D9" s="260">
        <f>+C9/$H$18</f>
        <v>4.946856625961103</v>
      </c>
      <c r="E9" s="79" t="s">
        <v>201</v>
      </c>
      <c r="F9" s="256" t="s">
        <v>185</v>
      </c>
      <c r="H9" s="115">
        <f>+C12/H18</f>
        <v>31.46064583980426</v>
      </c>
    </row>
    <row r="10" ht="16.5" customHeight="1">
      <c r="A10" s="8">
        <f>ROW()</f>
        <v>10</v>
      </c>
    </row>
    <row r="11" spans="1:4" ht="16.5" customHeight="1">
      <c r="A11" s="8">
        <f>ROW()</f>
        <v>11</v>
      </c>
      <c r="B11" s="109" t="s">
        <v>130</v>
      </c>
      <c r="C11" s="140">
        <v>7316000</v>
      </c>
      <c r="D11" s="260">
        <f>+C11/$H$18</f>
        <v>62.29122732449472</v>
      </c>
    </row>
    <row r="12" spans="1:4" ht="16.5" customHeight="1">
      <c r="A12" s="8">
        <f>ROW()</f>
        <v>12</v>
      </c>
      <c r="B12" s="109" t="s">
        <v>131</v>
      </c>
      <c r="C12" s="140">
        <v>3695000</v>
      </c>
      <c r="D12" s="260">
        <f>+C12/$H$18</f>
        <v>31.46064583980426</v>
      </c>
    </row>
    <row r="13" spans="2:12" ht="7.5" customHeight="1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2:10" ht="16.5" customHeight="1">
      <c r="B14" s="109"/>
      <c r="C14" s="113"/>
      <c r="J14" s="4"/>
    </row>
    <row r="15" spans="2:10" ht="16.5" customHeight="1">
      <c r="B15" s="254" t="s">
        <v>183</v>
      </c>
      <c r="C15" s="3"/>
      <c r="J15" s="4"/>
    </row>
    <row r="16" spans="2:10" ht="16.5" customHeight="1">
      <c r="B16" s="6"/>
      <c r="C16" s="3"/>
      <c r="E16" s="83" t="s">
        <v>112</v>
      </c>
      <c r="J16" s="4"/>
    </row>
    <row r="17" spans="2:10" ht="16.5" customHeight="1">
      <c r="B17" s="6"/>
      <c r="C17" s="3"/>
      <c r="E17" s="109" t="str">
        <f>+D48</f>
        <v>Stock Price 
(as of 9/21/2018)</v>
      </c>
      <c r="H17" s="175">
        <f>+D57</f>
        <v>77.93</v>
      </c>
      <c r="J17" s="4"/>
    </row>
    <row r="18" spans="2:10" ht="16.5" customHeight="1">
      <c r="B18" s="6"/>
      <c r="C18" s="3"/>
      <c r="E18" s="109" t="s">
        <v>132</v>
      </c>
      <c r="H18" s="110">
        <f>+E57</f>
        <v>117448.32</v>
      </c>
      <c r="J18" s="4"/>
    </row>
    <row r="19" spans="2:10" ht="16.5" customHeight="1">
      <c r="B19" s="6"/>
      <c r="C19" s="3"/>
      <c r="E19" s="109" t="s">
        <v>110</v>
      </c>
      <c r="H19" s="108">
        <f>+H18*H17</f>
        <v>9152747.5776</v>
      </c>
      <c r="J19" s="4"/>
    </row>
    <row r="20" spans="2:10" ht="16.5" customHeight="1">
      <c r="B20" s="6"/>
      <c r="C20" s="3"/>
      <c r="E20" s="109" t="s">
        <v>111</v>
      </c>
      <c r="H20" s="272">
        <f>0.6*3</f>
        <v>1.7999999999999998</v>
      </c>
      <c r="I20" s="257">
        <v>43361</v>
      </c>
      <c r="J20" s="4"/>
    </row>
    <row r="21" spans="2:10" ht="16.5" customHeight="1">
      <c r="B21" s="6"/>
      <c r="C21" s="3"/>
      <c r="J21" s="4"/>
    </row>
    <row r="22" spans="2:10" ht="16.5" customHeight="1" thickBot="1">
      <c r="B22" s="6"/>
      <c r="C22" s="3"/>
      <c r="E22" s="83" t="s">
        <v>188</v>
      </c>
      <c r="H22" s="259" t="s">
        <v>204</v>
      </c>
      <c r="I22" s="259" t="s">
        <v>193</v>
      </c>
      <c r="J22" s="259" t="s">
        <v>205</v>
      </c>
    </row>
    <row r="23" spans="2:10" ht="16.5" customHeight="1" thickTop="1">
      <c r="B23" s="6"/>
      <c r="C23" s="3"/>
      <c r="E23" s="256" t="s">
        <v>194</v>
      </c>
      <c r="H23" s="261">
        <f>+H17/H9</f>
        <v>2.477062943870095</v>
      </c>
      <c r="I23" s="261">
        <f>+T100</f>
        <v>2.1259636681080147</v>
      </c>
      <c r="J23" s="262">
        <f>+H23/I23-1</f>
        <v>0.16514829534906328</v>
      </c>
    </row>
    <row r="24" spans="2:10" ht="16.5" customHeight="1">
      <c r="B24" s="6"/>
      <c r="C24" s="3"/>
      <c r="E24" s="256" t="s">
        <v>187</v>
      </c>
      <c r="H24" s="261">
        <f>+I57/C11</f>
        <v>1.3277402375068343</v>
      </c>
      <c r="I24" s="261">
        <f>+U100</f>
        <v>2.5442996964615645</v>
      </c>
      <c r="J24" s="262">
        <f>+H24/I24-1</f>
        <v>-0.4781510058137556</v>
      </c>
    </row>
    <row r="25" spans="2:10" ht="16.5" customHeight="1">
      <c r="B25" s="6"/>
      <c r="C25" s="3"/>
      <c r="E25" s="256" t="s">
        <v>200</v>
      </c>
      <c r="H25" s="261">
        <f>+H17/D9</f>
        <v>15.753438171428575</v>
      </c>
      <c r="I25" s="261">
        <f>+W100</f>
        <v>36.27405842990056</v>
      </c>
      <c r="J25" s="262">
        <f>+H25/I25-1</f>
        <v>-0.5657106248016881</v>
      </c>
    </row>
    <row r="26" spans="2:10" ht="16.5" customHeight="1">
      <c r="B26" s="6"/>
      <c r="C26" s="3"/>
      <c r="E26" s="256" t="s">
        <v>191</v>
      </c>
      <c r="H26" s="261">
        <f>+H17/D7</f>
        <v>3.5027736615384617</v>
      </c>
      <c r="I26" s="261">
        <f>+X100</f>
        <v>3.3291324514349343</v>
      </c>
      <c r="J26" s="262">
        <f>+H26/I26-1</f>
        <v>0.052158096031500234</v>
      </c>
    </row>
    <row r="27" spans="2:10" ht="16.5" customHeight="1">
      <c r="B27" s="6"/>
      <c r="C27" s="3"/>
      <c r="E27" s="256" t="s">
        <v>192</v>
      </c>
      <c r="H27" s="261">
        <f>+H17/D8</f>
        <v>13.931122644748859</v>
      </c>
      <c r="I27" s="261">
        <f>+Y100</f>
        <v>12.213406682153492</v>
      </c>
      <c r="J27" s="262">
        <f>+H27/I27-1</f>
        <v>0.14064183788339202</v>
      </c>
    </row>
    <row r="28" spans="2:10" ht="16.5" customHeight="1">
      <c r="B28" s="6"/>
      <c r="C28" s="3"/>
      <c r="J28" s="4"/>
    </row>
    <row r="29" spans="1:12" ht="16.5" customHeight="1" thickBot="1">
      <c r="A29" s="8">
        <f>ROW()</f>
        <v>29</v>
      </c>
      <c r="B29" s="263" t="s">
        <v>146</v>
      </c>
      <c r="C29" s="253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8" ht="16.5" customHeight="1" thickBot="1">
      <c r="A30" s="8">
        <f>ROW()</f>
        <v>30</v>
      </c>
      <c r="B30" s="88"/>
      <c r="C30" s="57" t="s">
        <v>101</v>
      </c>
      <c r="D30" s="57" t="s">
        <v>102</v>
      </c>
      <c r="E30" s="57" t="s">
        <v>103</v>
      </c>
      <c r="F30" s="57" t="s">
        <v>104</v>
      </c>
      <c r="G30" s="57" t="s">
        <v>105</v>
      </c>
      <c r="H30" s="89" t="s">
        <v>106</v>
      </c>
    </row>
    <row r="31" spans="1:8" ht="16.5" customHeight="1">
      <c r="A31" s="8">
        <f>ROW()</f>
        <v>31</v>
      </c>
      <c r="B31" s="90" t="s">
        <v>220</v>
      </c>
      <c r="C31" s="91">
        <f>+F31+D31-E31</f>
        <v>4256000</v>
      </c>
      <c r="D31" s="91">
        <f>+D33</f>
        <v>1440000</v>
      </c>
      <c r="E31" s="91">
        <f>+E33</f>
        <v>879000</v>
      </c>
      <c r="F31" s="91">
        <f>+C12</f>
        <v>3695000</v>
      </c>
      <c r="G31" s="91">
        <f>+G33</f>
        <v>117448.32</v>
      </c>
      <c r="H31" s="92">
        <f>+F31/G31</f>
        <v>31.46064583980426</v>
      </c>
    </row>
    <row r="32" spans="2:8" ht="9" customHeight="1">
      <c r="B32" s="90"/>
      <c r="C32" s="91"/>
      <c r="D32" s="91"/>
      <c r="E32" s="91"/>
      <c r="F32" s="91"/>
      <c r="G32" s="91"/>
      <c r="H32" s="92"/>
    </row>
    <row r="33" spans="1:8" ht="16.5" customHeight="1">
      <c r="A33" s="8">
        <f>ROW()</f>
        <v>33</v>
      </c>
      <c r="B33" s="274" t="s">
        <v>180</v>
      </c>
      <c r="C33" s="275">
        <f>+C60</f>
        <v>9713747.5776</v>
      </c>
      <c r="D33" s="275">
        <f>+G57</f>
        <v>1440000</v>
      </c>
      <c r="E33" s="275">
        <f>+$H$100</f>
        <v>879000</v>
      </c>
      <c r="F33" s="275">
        <f>+C33-D33+E33</f>
        <v>9152747.5776</v>
      </c>
      <c r="G33" s="275">
        <f>+$E$57</f>
        <v>117448.32</v>
      </c>
      <c r="H33" s="276">
        <f>+F33/G33</f>
        <v>77.92999999999999</v>
      </c>
    </row>
    <row r="34" spans="2:8" ht="9" customHeight="1">
      <c r="B34" s="90"/>
      <c r="C34" s="91"/>
      <c r="D34" s="91"/>
      <c r="E34" s="91"/>
      <c r="F34" s="91"/>
      <c r="G34" s="91"/>
      <c r="H34" s="92"/>
    </row>
    <row r="35" spans="1:8" ht="16.5" customHeight="1">
      <c r="A35" s="8">
        <f>ROW()</f>
        <v>35</v>
      </c>
      <c r="B35" s="90" t="s">
        <v>212</v>
      </c>
      <c r="C35" s="91">
        <f>+F35+D35-E35</f>
        <v>10321478.795073979</v>
      </c>
      <c r="D35" s="91">
        <f>+D33</f>
        <v>1440000</v>
      </c>
      <c r="E35" s="91">
        <f>+E33</f>
        <v>879000</v>
      </c>
      <c r="F35" s="91">
        <f>+H35*G35</f>
        <v>9760478.795073979</v>
      </c>
      <c r="G35" s="91">
        <f>+G33</f>
        <v>117448.32</v>
      </c>
      <c r="H35" s="92">
        <f>+G71</f>
        <v>83.10445645432799</v>
      </c>
    </row>
    <row r="36" spans="1:8" ht="16.5" customHeight="1">
      <c r="A36" s="8">
        <f>ROW()</f>
        <v>36</v>
      </c>
      <c r="B36" s="90" t="s">
        <v>213</v>
      </c>
      <c r="C36" s="91">
        <f>+F36+D36-E36</f>
        <v>8663706.39721255</v>
      </c>
      <c r="D36" s="91">
        <f>+D35</f>
        <v>1440000</v>
      </c>
      <c r="E36" s="91">
        <f>+E35</f>
        <v>879000</v>
      </c>
      <c r="F36" s="91">
        <f>+G36*H36</f>
        <v>8102706.397212551</v>
      </c>
      <c r="G36" s="91">
        <f>+G35</f>
        <v>117448.32</v>
      </c>
      <c r="H36" s="92">
        <f>+C81</f>
        <v>68.98954703832759</v>
      </c>
    </row>
    <row r="37" spans="1:8" ht="16.5" customHeight="1">
      <c r="A37" s="8">
        <f>ROW()</f>
        <v>37</v>
      </c>
      <c r="B37" s="93" t="s">
        <v>214</v>
      </c>
      <c r="C37" s="94">
        <f>+C104</f>
        <v>10295586.13762733</v>
      </c>
      <c r="D37" s="91">
        <f>+D33</f>
        <v>1440000</v>
      </c>
      <c r="E37" s="91">
        <f>+$H$100</f>
        <v>879000</v>
      </c>
      <c r="F37" s="91">
        <f>+C37-D37+E37</f>
        <v>9734586.13762733</v>
      </c>
      <c r="G37" s="91">
        <f>+$E$57</f>
        <v>117448.32</v>
      </c>
      <c r="H37" s="92">
        <f>+F37/G37</f>
        <v>82.88399644735088</v>
      </c>
    </row>
    <row r="38" spans="1:8" ht="16.5" customHeight="1">
      <c r="A38" s="8">
        <f>ROW()</f>
        <v>38</v>
      </c>
      <c r="B38" s="93" t="s">
        <v>222</v>
      </c>
      <c r="C38" s="94">
        <f>+C125</f>
        <v>8664383.771276802</v>
      </c>
      <c r="D38" s="91">
        <f>+D33</f>
        <v>1440000</v>
      </c>
      <c r="E38" s="91">
        <f>+$H$100</f>
        <v>879000</v>
      </c>
      <c r="F38" s="91">
        <f>+C38-D38+E38</f>
        <v>8103383.771276802</v>
      </c>
      <c r="G38" s="91">
        <f>+$E$57</f>
        <v>117448.32</v>
      </c>
      <c r="H38" s="92">
        <f>+F38/G38</f>
        <v>68.99531446066493</v>
      </c>
    </row>
    <row r="39" spans="1:8" ht="16.5" customHeight="1">
      <c r="A39" s="8">
        <f>ROW()</f>
        <v>39</v>
      </c>
      <c r="B39" s="105" t="s">
        <v>218</v>
      </c>
      <c r="C39" s="106">
        <f>+E165</f>
        <v>10603669.291752804</v>
      </c>
      <c r="D39" s="106">
        <f>+D33</f>
        <v>1440000</v>
      </c>
      <c r="E39" s="106">
        <f>+$H$100</f>
        <v>879000</v>
      </c>
      <c r="F39" s="106">
        <f>+C39-D39+E39</f>
        <v>10042669.291752804</v>
      </c>
      <c r="G39" s="106">
        <f>+$E$57</f>
        <v>117448.32</v>
      </c>
      <c r="H39" s="107">
        <f>+F39/G39</f>
        <v>85.50713447201973</v>
      </c>
    </row>
    <row r="40" spans="2:8" ht="7.5" customHeight="1">
      <c r="B40" s="88"/>
      <c r="C40" s="73"/>
      <c r="D40" s="73"/>
      <c r="E40" s="73"/>
      <c r="F40" s="73"/>
      <c r="G40" s="73"/>
      <c r="H40" s="95"/>
    </row>
    <row r="41" spans="1:8" ht="16.5" customHeight="1" thickBot="1">
      <c r="A41" s="8">
        <f>ROW()</f>
        <v>41</v>
      </c>
      <c r="B41" s="96" t="s">
        <v>107</v>
      </c>
      <c r="C41" s="97">
        <f>AVERAGE(C33:C39)</f>
        <v>9710428.661757244</v>
      </c>
      <c r="D41" s="97">
        <f>AVERAGE(D33:D39)</f>
        <v>1440000</v>
      </c>
      <c r="E41" s="97">
        <f>AVERAGE(E33:E39)</f>
        <v>879000</v>
      </c>
      <c r="F41" s="97">
        <f>AVERAGE(F33:F39)</f>
        <v>9149428.661757244</v>
      </c>
      <c r="G41" s="97"/>
      <c r="H41" s="98">
        <f>AVERAGE(H30:H39)</f>
        <v>71.26729924464219</v>
      </c>
    </row>
    <row r="42" spans="1:8" ht="16.5" customHeight="1" thickBot="1" thickTop="1">
      <c r="A42" s="8">
        <f>ROW()</f>
        <v>42</v>
      </c>
      <c r="B42" s="99"/>
      <c r="C42" s="100"/>
      <c r="D42" s="100"/>
      <c r="E42" s="100"/>
      <c r="F42" s="100"/>
      <c r="G42" s="100"/>
      <c r="H42" s="101"/>
    </row>
    <row r="43" ht="16.5" customHeight="1">
      <c r="A43" s="8">
        <f>ROW()</f>
        <v>43</v>
      </c>
    </row>
    <row r="44" spans="2:12" ht="15.75">
      <c r="B44" s="247" t="s">
        <v>180</v>
      </c>
      <c r="C44" s="252"/>
      <c r="D44" s="248"/>
      <c r="E44" s="248"/>
      <c r="F44" s="248"/>
      <c r="G44" s="248"/>
      <c r="H44" s="248"/>
      <c r="I44" s="248"/>
      <c r="J44" s="253"/>
      <c r="K44" s="248"/>
      <c r="L44" s="248"/>
    </row>
    <row r="45" ht="8.25" customHeight="1">
      <c r="J45" s="4"/>
    </row>
    <row r="46" spans="1:10" ht="21" customHeight="1">
      <c r="A46" s="8">
        <f>ROW()</f>
        <v>46</v>
      </c>
      <c r="B46" t="s">
        <v>0</v>
      </c>
      <c r="D46" s="144" t="s">
        <v>1</v>
      </c>
      <c r="E46" s="144" t="s">
        <v>2</v>
      </c>
      <c r="F46" s="144" t="s">
        <v>3</v>
      </c>
      <c r="G46" s="144" t="s">
        <v>4</v>
      </c>
      <c r="H46" s="144" t="s">
        <v>5</v>
      </c>
      <c r="I46" s="145" t="s">
        <v>6</v>
      </c>
      <c r="J46" s="7"/>
    </row>
    <row r="47" spans="4:10" ht="9.75" customHeight="1" thickBot="1">
      <c r="D47" s="8"/>
      <c r="E47" s="8"/>
      <c r="F47" s="8"/>
      <c r="G47" s="8"/>
      <c r="H47" s="8"/>
      <c r="I47" s="9"/>
      <c r="J47" s="7"/>
    </row>
    <row r="48" spans="1:10" ht="45.75" customHeight="1" thickBot="1">
      <c r="A48" s="8">
        <f>ROW()</f>
        <v>48</v>
      </c>
      <c r="B48" s="11" t="s">
        <v>7</v>
      </c>
      <c r="C48" s="12" t="s">
        <v>8</v>
      </c>
      <c r="D48" s="13" t="s">
        <v>224</v>
      </c>
      <c r="E48" s="13" t="s">
        <v>9</v>
      </c>
      <c r="F48" s="13" t="s">
        <v>167</v>
      </c>
      <c r="G48" s="14" t="s">
        <v>165</v>
      </c>
      <c r="H48" s="15" t="s">
        <v>166</v>
      </c>
      <c r="I48" s="16" t="s">
        <v>13</v>
      </c>
      <c r="J48" s="4"/>
    </row>
    <row r="49" spans="1:10" ht="15.75" customHeight="1" hidden="1">
      <c r="A49" s="8">
        <f>ROW()</f>
        <v>49</v>
      </c>
      <c r="B49" s="17" t="s">
        <v>14</v>
      </c>
      <c r="C49" s="18" t="s">
        <v>15</v>
      </c>
      <c r="D49" s="19">
        <v>64.37</v>
      </c>
      <c r="E49" s="20">
        <v>32.696</v>
      </c>
      <c r="F49" s="21">
        <v>2104.64152</v>
      </c>
      <c r="G49" s="22">
        <v>328.71</v>
      </c>
      <c r="H49" s="23"/>
      <c r="I49" s="24">
        <v>2433.35152</v>
      </c>
      <c r="J49" s="4"/>
    </row>
    <row r="50" spans="1:10" ht="15.75" customHeight="1" hidden="1">
      <c r="A50" s="8">
        <f>ROW()</f>
        <v>50</v>
      </c>
      <c r="B50" s="25" t="s">
        <v>16</v>
      </c>
      <c r="C50" s="26" t="s">
        <v>17</v>
      </c>
      <c r="D50" s="27">
        <v>30.76</v>
      </c>
      <c r="E50" s="28">
        <v>74.518</v>
      </c>
      <c r="F50" s="21">
        <v>2292.1736800000003</v>
      </c>
      <c r="G50" s="29">
        <v>402.1</v>
      </c>
      <c r="H50" s="30"/>
      <c r="I50" s="31">
        <v>2694.2736800000002</v>
      </c>
      <c r="J50" s="4"/>
    </row>
    <row r="51" spans="1:10" ht="15.75" customHeight="1" hidden="1">
      <c r="A51" s="8">
        <f>ROW()</f>
        <v>51</v>
      </c>
      <c r="B51" s="25" t="s">
        <v>18</v>
      </c>
      <c r="C51" s="26" t="s">
        <v>19</v>
      </c>
      <c r="D51" s="27">
        <v>24.35</v>
      </c>
      <c r="E51" s="28">
        <v>380.965</v>
      </c>
      <c r="F51" s="21">
        <v>9276.49775</v>
      </c>
      <c r="G51" s="29">
        <v>3647</v>
      </c>
      <c r="H51" s="30"/>
      <c r="I51" s="31">
        <v>12923.49775</v>
      </c>
      <c r="J51" s="4"/>
    </row>
    <row r="52" spans="1:10" ht="15.75" customHeight="1" hidden="1">
      <c r="A52" s="8">
        <f>ROW()</f>
        <v>52</v>
      </c>
      <c r="B52" s="25" t="s">
        <v>20</v>
      </c>
      <c r="C52" s="26" t="s">
        <v>21</v>
      </c>
      <c r="D52" s="27">
        <v>23.6</v>
      </c>
      <c r="E52" s="28">
        <v>5.253</v>
      </c>
      <c r="F52" s="21">
        <v>123.97080000000001</v>
      </c>
      <c r="G52" s="29">
        <v>765.2</v>
      </c>
      <c r="H52" s="30"/>
      <c r="I52" s="31">
        <v>889.1708000000001</v>
      </c>
      <c r="J52" s="4"/>
    </row>
    <row r="53" spans="1:10" ht="15.75" customHeight="1" hidden="1">
      <c r="A53" s="8">
        <f>ROW()</f>
        <v>53</v>
      </c>
      <c r="B53" s="25" t="s">
        <v>22</v>
      </c>
      <c r="C53" s="26" t="s">
        <v>23</v>
      </c>
      <c r="D53" s="27">
        <v>8.52</v>
      </c>
      <c r="E53" s="28">
        <v>201.8</v>
      </c>
      <c r="F53" s="21">
        <v>1719.336</v>
      </c>
      <c r="G53" s="29">
        <v>925.61</v>
      </c>
      <c r="H53" s="30"/>
      <c r="I53" s="31">
        <v>2644.946</v>
      </c>
      <c r="J53" s="4"/>
    </row>
    <row r="54" spans="1:10" ht="15.75" customHeight="1" hidden="1">
      <c r="A54" s="8">
        <f>ROW()</f>
        <v>54</v>
      </c>
      <c r="B54" s="25" t="s">
        <v>24</v>
      </c>
      <c r="C54" s="27" t="s">
        <v>25</v>
      </c>
      <c r="D54" s="27">
        <v>19.92</v>
      </c>
      <c r="E54" s="28">
        <v>21.282</v>
      </c>
      <c r="F54" s="21">
        <v>423.93744000000004</v>
      </c>
      <c r="G54" s="29">
        <v>198.43</v>
      </c>
      <c r="H54" s="30"/>
      <c r="I54" s="31">
        <v>622.36744</v>
      </c>
      <c r="J54" s="4"/>
    </row>
    <row r="55" spans="1:10" ht="15.75" customHeight="1" hidden="1">
      <c r="A55" s="8">
        <f>ROW()</f>
        <v>55</v>
      </c>
      <c r="B55" s="25" t="s">
        <v>26</v>
      </c>
      <c r="C55" s="27" t="s">
        <v>27</v>
      </c>
      <c r="D55" s="27">
        <v>67.51</v>
      </c>
      <c r="E55" s="28">
        <v>216.711</v>
      </c>
      <c r="F55" s="21">
        <v>14630.159610000002</v>
      </c>
      <c r="G55" s="29">
        <v>1325</v>
      </c>
      <c r="H55" s="30"/>
      <c r="I55" s="31">
        <v>15955.159610000002</v>
      </c>
      <c r="J55" s="4"/>
    </row>
    <row r="56" spans="1:10" ht="15.75" customHeight="1" hidden="1">
      <c r="A56" s="8">
        <f>ROW()</f>
        <v>56</v>
      </c>
      <c r="B56" s="25" t="s">
        <v>28</v>
      </c>
      <c r="C56" s="32" t="s">
        <v>29</v>
      </c>
      <c r="D56" s="27">
        <v>28.92</v>
      </c>
      <c r="E56" s="28">
        <v>31.791</v>
      </c>
      <c r="F56" s="21">
        <v>919.3957200000001</v>
      </c>
      <c r="G56" s="29">
        <v>626.63</v>
      </c>
      <c r="H56" s="30"/>
      <c r="I56" s="31">
        <v>1546.02572</v>
      </c>
      <c r="J56" s="4"/>
    </row>
    <row r="57" spans="1:10" ht="15.75" customHeight="1">
      <c r="A57" s="8">
        <f>ROW()</f>
        <v>57</v>
      </c>
      <c r="B57" s="25" t="s">
        <v>204</v>
      </c>
      <c r="C57" s="217" t="s">
        <v>109</v>
      </c>
      <c r="D57" s="33">
        <v>77.93</v>
      </c>
      <c r="E57" s="34">
        <f>44220*2.656</f>
        <v>117448.32</v>
      </c>
      <c r="F57" s="35">
        <f>+E57*D57</f>
        <v>9152747.5776</v>
      </c>
      <c r="G57" s="146">
        <v>1440000</v>
      </c>
      <c r="H57" s="146">
        <v>879000</v>
      </c>
      <c r="I57" s="36">
        <f>+F57+G57-H57</f>
        <v>9713747.5776</v>
      </c>
      <c r="J57" s="4"/>
    </row>
    <row r="58" spans="1:10" ht="5.25" customHeight="1">
      <c r="A58" s="8">
        <f>ROW()</f>
        <v>58</v>
      </c>
      <c r="D58" s="37"/>
      <c r="F58" s="37"/>
      <c r="G58" s="37"/>
      <c r="H58" s="37"/>
      <c r="I58" s="37"/>
      <c r="J58" s="4"/>
    </row>
    <row r="59" spans="1:10" ht="13.5" thickBot="1">
      <c r="A59" s="8">
        <f>ROW()</f>
        <v>59</v>
      </c>
      <c r="J59" s="4"/>
    </row>
    <row r="60" spans="2:10" ht="15" thickBot="1">
      <c r="B60" s="38" t="s">
        <v>181</v>
      </c>
      <c r="C60" s="39">
        <f>+I57</f>
        <v>9713747.5776</v>
      </c>
      <c r="J60" s="4"/>
    </row>
    <row r="61" spans="1:10" ht="12.75">
      <c r="A61" s="8">
        <f>ROW()</f>
        <v>61</v>
      </c>
      <c r="I61" s="1"/>
      <c r="J61" s="40"/>
    </row>
    <row r="62" spans="1:10" ht="12.75">
      <c r="A62" s="8">
        <f>ROW()</f>
        <v>62</v>
      </c>
      <c r="I62" s="1"/>
      <c r="J62" s="40"/>
    </row>
    <row r="63" spans="1:12" ht="15.75">
      <c r="A63" s="8">
        <f>ROW()</f>
        <v>63</v>
      </c>
      <c r="B63" s="247" t="s">
        <v>212</v>
      </c>
      <c r="C63" s="248"/>
      <c r="D63" s="248"/>
      <c r="E63" s="248"/>
      <c r="F63" s="248"/>
      <c r="G63" s="248"/>
      <c r="H63" s="248"/>
      <c r="I63" s="249"/>
      <c r="J63" s="250"/>
      <c r="K63" s="248"/>
      <c r="L63" s="248"/>
    </row>
    <row r="64" spans="1:10" ht="15.75">
      <c r="A64" s="8">
        <f>ROW()</f>
        <v>64</v>
      </c>
      <c r="B64" s="5"/>
      <c r="I64" s="1"/>
      <c r="J64" s="40"/>
    </row>
    <row r="65" spans="1:6" ht="16.5" customHeight="1">
      <c r="A65" s="8">
        <f>ROW()</f>
        <v>65</v>
      </c>
      <c r="B65" s="117" t="s">
        <v>154</v>
      </c>
      <c r="C65" s="109"/>
      <c r="D65" s="4"/>
      <c r="E65" s="117" t="s">
        <v>125</v>
      </c>
      <c r="F65" s="109"/>
    </row>
    <row r="66" spans="1:9" ht="16.5" customHeight="1">
      <c r="A66" s="8">
        <f>ROW()</f>
        <v>66</v>
      </c>
      <c r="B66" s="116" t="s">
        <v>121</v>
      </c>
      <c r="C66" s="113">
        <v>0.0225</v>
      </c>
      <c r="D66" s="4"/>
      <c r="E66" s="116" t="s">
        <v>126</v>
      </c>
      <c r="G66" s="112">
        <f>+G78</f>
        <v>1.7999999999999998</v>
      </c>
      <c r="I66" s="4"/>
    </row>
    <row r="67" spans="1:9" ht="16.5" customHeight="1">
      <c r="A67" s="8">
        <f>ROW()</f>
        <v>67</v>
      </c>
      <c r="B67" s="116" t="s">
        <v>122</v>
      </c>
      <c r="C67" s="114">
        <f>+L100</f>
        <v>1.18</v>
      </c>
      <c r="D67" s="4"/>
      <c r="E67" s="116" t="s">
        <v>158</v>
      </c>
      <c r="G67" s="139">
        <v>1.64</v>
      </c>
      <c r="H67" s="183" t="s">
        <v>159</v>
      </c>
      <c r="I67" s="4"/>
    </row>
    <row r="68" spans="1:9" ht="16.5" customHeight="1">
      <c r="A68" s="8">
        <f>ROW()</f>
        <v>68</v>
      </c>
      <c r="B68" s="116" t="s">
        <v>123</v>
      </c>
      <c r="C68" s="113">
        <f>+I161</f>
        <v>0.09</v>
      </c>
      <c r="D68" s="4"/>
      <c r="E68" s="116" t="s">
        <v>160</v>
      </c>
      <c r="G68" s="52">
        <f>+H25</f>
        <v>15.753438171428575</v>
      </c>
      <c r="I68" s="4"/>
    </row>
    <row r="69" spans="1:9" ht="16.5" customHeight="1">
      <c r="A69" s="8">
        <f>ROW()</f>
        <v>69</v>
      </c>
      <c r="B69" s="273" t="s">
        <v>216</v>
      </c>
      <c r="C69" s="271">
        <f>+C68+C66</f>
        <v>0.11249999999999999</v>
      </c>
      <c r="D69" s="4"/>
      <c r="E69" s="116" t="s">
        <v>155</v>
      </c>
      <c r="G69" s="139">
        <v>92</v>
      </c>
      <c r="H69" s="215" t="s">
        <v>225</v>
      </c>
      <c r="I69" s="4"/>
    </row>
    <row r="70" spans="1:9" ht="16.5" customHeight="1" thickBot="1">
      <c r="A70" s="8">
        <f>ROW()</f>
        <v>70</v>
      </c>
      <c r="B70" s="6"/>
      <c r="C70" s="3"/>
      <c r="E70" s="116" t="s">
        <v>127</v>
      </c>
      <c r="G70" s="121">
        <f>+C71</f>
        <v>0.12869999999999998</v>
      </c>
      <c r="I70" s="4"/>
    </row>
    <row r="71" spans="1:9" ht="16.5" customHeight="1" thickBot="1">
      <c r="A71" s="8">
        <f>ROW()</f>
        <v>71</v>
      </c>
      <c r="B71" s="118" t="s">
        <v>124</v>
      </c>
      <c r="C71" s="120">
        <f>+C66+(C67*C68)</f>
        <v>0.12869999999999998</v>
      </c>
      <c r="D71" s="4"/>
      <c r="E71" s="118" t="s">
        <v>128</v>
      </c>
      <c r="F71" s="258"/>
      <c r="G71" s="122">
        <f>+(G69+G66)/(1+(G70))</f>
        <v>83.10445645432799</v>
      </c>
      <c r="H71" s="183"/>
      <c r="I71" s="4"/>
    </row>
    <row r="72" spans="1:4" ht="16.5" customHeight="1" thickBot="1">
      <c r="A72" s="8">
        <f>ROW()</f>
        <v>72</v>
      </c>
      <c r="D72" s="4"/>
    </row>
    <row r="73" spans="1:4" ht="16.5" customHeight="1" thickBot="1">
      <c r="A73" s="8">
        <f>ROW()</f>
        <v>73</v>
      </c>
      <c r="B73" s="38" t="s">
        <v>181</v>
      </c>
      <c r="C73" s="39">
        <f>+C35</f>
        <v>10321478.795073979</v>
      </c>
      <c r="D73" s="4"/>
    </row>
    <row r="74" spans="1:4" ht="16.5" customHeight="1">
      <c r="A74" s="8">
        <f>ROW()</f>
        <v>74</v>
      </c>
      <c r="D74" s="4"/>
    </row>
    <row r="75" spans="1:12" ht="15.75">
      <c r="A75" s="8">
        <f>ROW()</f>
        <v>75</v>
      </c>
      <c r="B75" s="247" t="s">
        <v>213</v>
      </c>
      <c r="C75" s="248"/>
      <c r="D75" s="248"/>
      <c r="E75" s="248"/>
      <c r="F75" s="248"/>
      <c r="G75" s="248"/>
      <c r="H75" s="248"/>
      <c r="I75" s="249"/>
      <c r="J75" s="250"/>
      <c r="K75" s="248"/>
      <c r="L75" s="248"/>
    </row>
    <row r="76" spans="1:9" ht="12.75">
      <c r="A76" s="8">
        <f>ROW()</f>
        <v>76</v>
      </c>
      <c r="I76" s="4"/>
    </row>
    <row r="77" spans="1:9" ht="12.75">
      <c r="A77" s="8">
        <f>ROW()</f>
        <v>77</v>
      </c>
      <c r="B77" s="83" t="s">
        <v>215</v>
      </c>
      <c r="C77" s="109"/>
      <c r="E77" s="83" t="s">
        <v>116</v>
      </c>
      <c r="F77" s="109"/>
      <c r="I77" s="4"/>
    </row>
    <row r="78" spans="1:9" ht="12.75">
      <c r="A78" s="8">
        <f>ROW()</f>
        <v>78</v>
      </c>
      <c r="B78" s="109" t="s">
        <v>129</v>
      </c>
      <c r="C78" s="112">
        <f>+G78</f>
        <v>1.7999999999999998</v>
      </c>
      <c r="E78" s="109" t="s">
        <v>117</v>
      </c>
      <c r="G78" s="112">
        <f>+H20</f>
        <v>1.7999999999999998</v>
      </c>
      <c r="H78" s="79" t="s">
        <v>209</v>
      </c>
      <c r="I78" s="4"/>
    </row>
    <row r="79" spans="1:9" ht="12.75">
      <c r="A79" s="8">
        <f>ROW()</f>
        <v>79</v>
      </c>
      <c r="B79" s="256" t="s">
        <v>210</v>
      </c>
      <c r="C79" s="121">
        <f>+C71</f>
        <v>0.12869999999999998</v>
      </c>
      <c r="E79" s="109" t="s">
        <v>118</v>
      </c>
      <c r="G79" s="112">
        <f>+H17+G78</f>
        <v>79.73</v>
      </c>
      <c r="I79" s="4"/>
    </row>
    <row r="80" spans="1:10" ht="13.5" thickBot="1">
      <c r="A80" s="8">
        <f>ROW()</f>
        <v>80</v>
      </c>
      <c r="B80" s="256" t="s">
        <v>211</v>
      </c>
      <c r="C80" s="216">
        <v>0.1</v>
      </c>
      <c r="E80" s="109" t="s">
        <v>119</v>
      </c>
      <c r="G80" s="115">
        <f>+H17</f>
        <v>77.93</v>
      </c>
      <c r="J80" s="4"/>
    </row>
    <row r="81" spans="1:10" ht="13.5" thickBot="1">
      <c r="A81" s="8">
        <f>ROW()</f>
        <v>81</v>
      </c>
      <c r="B81" s="118" t="s">
        <v>128</v>
      </c>
      <c r="C81" s="122">
        <f>+(C78*(1+C80))/(C79-C80)</f>
        <v>68.98954703832759</v>
      </c>
      <c r="E81" s="118" t="s">
        <v>120</v>
      </c>
      <c r="F81" s="258"/>
      <c r="G81" s="119">
        <f>+(G78+(G79-G80))/G80</f>
        <v>0.04619530347747974</v>
      </c>
      <c r="J81" s="4"/>
    </row>
    <row r="82" spans="1:10" ht="13.5" thickBot="1">
      <c r="A82" s="8">
        <f>ROW()</f>
        <v>82</v>
      </c>
      <c r="J82" s="4"/>
    </row>
    <row r="83" spans="1:10" ht="15" thickBot="1">
      <c r="A83" s="8">
        <f>ROW()</f>
        <v>83</v>
      </c>
      <c r="B83" s="38" t="s">
        <v>181</v>
      </c>
      <c r="C83" s="39">
        <f>+C36</f>
        <v>8663706.39721255</v>
      </c>
      <c r="J83" s="4"/>
    </row>
    <row r="84" spans="1:10" ht="12.75">
      <c r="A84" s="8">
        <f>ROW()</f>
        <v>84</v>
      </c>
      <c r="J84" s="4"/>
    </row>
    <row r="85" spans="1:10" ht="12.75">
      <c r="A85" s="8">
        <f>ROW()</f>
        <v>85</v>
      </c>
      <c r="J85" s="4"/>
    </row>
    <row r="86" spans="1:12" ht="15.75">
      <c r="A86" s="8">
        <f>ROW()</f>
        <v>86</v>
      </c>
      <c r="B86" s="247" t="s">
        <v>214</v>
      </c>
      <c r="C86" s="248"/>
      <c r="D86" s="248"/>
      <c r="E86" s="248"/>
      <c r="F86" s="248"/>
      <c r="G86" s="248"/>
      <c r="H86" s="248"/>
      <c r="I86" s="248"/>
      <c r="J86" s="248"/>
      <c r="K86" s="248"/>
      <c r="L86" s="248"/>
    </row>
    <row r="87" spans="1:2" ht="8.25" customHeight="1">
      <c r="A87" s="8">
        <f>ROW()</f>
        <v>87</v>
      </c>
      <c r="B87" s="2"/>
    </row>
    <row r="88" spans="1:11" ht="11.25" customHeight="1">
      <c r="A88" s="8">
        <f>ROW()</f>
        <v>88</v>
      </c>
      <c r="B88" s="1"/>
      <c r="D88" s="144" t="s">
        <v>1</v>
      </c>
      <c r="E88" s="144" t="s">
        <v>2</v>
      </c>
      <c r="F88" s="144" t="s">
        <v>3</v>
      </c>
      <c r="G88" s="144" t="s">
        <v>4</v>
      </c>
      <c r="H88" s="144" t="s">
        <v>5</v>
      </c>
      <c r="I88" s="145" t="s">
        <v>6</v>
      </c>
      <c r="J88" s="144" t="s">
        <v>31</v>
      </c>
      <c r="K88" s="144" t="s">
        <v>32</v>
      </c>
    </row>
    <row r="89" spans="2:8" ht="7.5" customHeight="1" thickBot="1">
      <c r="B89" s="1"/>
      <c r="D89" s="8"/>
      <c r="E89" s="8"/>
      <c r="F89" s="8"/>
      <c r="G89" s="8"/>
      <c r="H89" s="8"/>
    </row>
    <row r="90" spans="1:25" ht="39" thickBot="1">
      <c r="A90" s="8">
        <f>ROW()</f>
        <v>90</v>
      </c>
      <c r="B90" s="11" t="s">
        <v>7</v>
      </c>
      <c r="C90" s="147" t="s">
        <v>8</v>
      </c>
      <c r="D90" s="13" t="str">
        <f>+D48</f>
        <v>Stock Price 
(as of 9/21/2018)</v>
      </c>
      <c r="E90" s="13" t="s">
        <v>9</v>
      </c>
      <c r="F90" s="13" t="s">
        <v>10</v>
      </c>
      <c r="G90" s="14" t="s">
        <v>11</v>
      </c>
      <c r="H90" s="15" t="s">
        <v>12</v>
      </c>
      <c r="I90" s="16" t="s">
        <v>13</v>
      </c>
      <c r="J90" s="14" t="s">
        <v>149</v>
      </c>
      <c r="K90" s="148" t="s">
        <v>33</v>
      </c>
      <c r="L90" s="149" t="s">
        <v>34</v>
      </c>
      <c r="O90" s="281" t="s">
        <v>196</v>
      </c>
      <c r="P90" s="281" t="s">
        <v>195</v>
      </c>
      <c r="Q90" s="281" t="s">
        <v>198</v>
      </c>
      <c r="R90" s="281" t="s">
        <v>197</v>
      </c>
      <c r="S90" s="281" t="s">
        <v>80</v>
      </c>
      <c r="T90" s="281" t="s">
        <v>186</v>
      </c>
      <c r="U90" s="281" t="s">
        <v>199</v>
      </c>
      <c r="V90" s="281" t="s">
        <v>203</v>
      </c>
      <c r="W90" s="281" t="s">
        <v>190</v>
      </c>
      <c r="X90" s="281" t="s">
        <v>202</v>
      </c>
      <c r="Y90" s="281" t="s">
        <v>192</v>
      </c>
    </row>
    <row r="91" spans="2:25" ht="12.75">
      <c r="B91" s="17" t="s">
        <v>14</v>
      </c>
      <c r="C91" s="150" t="s">
        <v>15</v>
      </c>
      <c r="D91" s="151">
        <v>83.2</v>
      </c>
      <c r="E91" s="152">
        <f>4390000/77.6</f>
        <v>56572.16494845361</v>
      </c>
      <c r="F91" s="35">
        <f aca="true" t="shared" si="0" ref="F91:F97">+E91*D91</f>
        <v>4706804.12371134</v>
      </c>
      <c r="G91" s="153">
        <v>796200</v>
      </c>
      <c r="H91" s="154">
        <v>37150</v>
      </c>
      <c r="I91" s="155">
        <f aca="true" t="shared" si="1" ref="I91:I97">+F91+G91-H91</f>
        <v>5465854.12371134</v>
      </c>
      <c r="J91" s="153">
        <v>335560</v>
      </c>
      <c r="K91" s="156">
        <f aca="true" t="shared" si="2" ref="K91:K97">+I91/J91</f>
        <v>16.288753497768923</v>
      </c>
      <c r="L91" s="157">
        <v>1.13</v>
      </c>
      <c r="O91" s="282">
        <v>-200380</v>
      </c>
      <c r="P91" s="282">
        <v>961192</v>
      </c>
      <c r="Q91" s="282">
        <f>250086+276799+197898+208195</f>
        <v>932978</v>
      </c>
      <c r="R91" s="282">
        <f>47321+44136+26664+32107</f>
        <v>150228</v>
      </c>
      <c r="S91" s="282">
        <f>+J91</f>
        <v>335560</v>
      </c>
      <c r="T91" s="283">
        <f>+F91/O91</f>
        <v>-23.489390776082146</v>
      </c>
      <c r="U91" s="283">
        <f>+I91/P91</f>
        <v>5.686537261765953</v>
      </c>
      <c r="V91" s="284">
        <f>+R91/E91</f>
        <v>2.655510888382688</v>
      </c>
      <c r="W91" s="285">
        <f>+D91/V91</f>
        <v>31.331070930261607</v>
      </c>
      <c r="X91" s="284">
        <f>+D91/(Q91/E91)</f>
        <v>5.044925093315534</v>
      </c>
      <c r="Y91" s="284">
        <f>+D91/(J91/E91)</f>
        <v>14.026713922134165</v>
      </c>
    </row>
    <row r="92" spans="1:25" ht="12.75">
      <c r="A92" s="8">
        <f>ROW()</f>
        <v>92</v>
      </c>
      <c r="B92" s="17" t="s">
        <v>161</v>
      </c>
      <c r="C92" s="150" t="s">
        <v>19</v>
      </c>
      <c r="D92" s="151">
        <v>80.96</v>
      </c>
      <c r="E92" s="152">
        <v>298190</v>
      </c>
      <c r="F92" s="35">
        <f t="shared" si="0"/>
        <v>24141462.4</v>
      </c>
      <c r="G92" s="153">
        <v>7580000</v>
      </c>
      <c r="H92" s="154">
        <v>423000</v>
      </c>
      <c r="I92" s="155">
        <f t="shared" si="1"/>
        <v>31298462.4</v>
      </c>
      <c r="J92" s="153">
        <v>1760000</v>
      </c>
      <c r="K92" s="156">
        <f t="shared" si="2"/>
        <v>17.78321727272727</v>
      </c>
      <c r="L92" s="157">
        <v>1.45</v>
      </c>
      <c r="O92" s="282">
        <v>1447000</v>
      </c>
      <c r="P92" s="282">
        <v>14223000</v>
      </c>
      <c r="Q92" s="282">
        <f>2354000+2346000+2161000+6120000</f>
        <v>12981000</v>
      </c>
      <c r="R92" s="282">
        <f>181000+167000+75000-24000</f>
        <v>399000</v>
      </c>
      <c r="S92" s="282">
        <f aca="true" t="shared" si="3" ref="S92:S98">+J92</f>
        <v>1760000</v>
      </c>
      <c r="T92" s="283">
        <f aca="true" t="shared" si="4" ref="T92:T98">+F92/O92</f>
        <v>16.68380262612301</v>
      </c>
      <c r="U92" s="283">
        <f aca="true" t="shared" si="5" ref="U92:U98">+I92/P92</f>
        <v>2.200552794769036</v>
      </c>
      <c r="V92" s="284">
        <f aca="true" t="shared" si="6" ref="V92:V98">+R92/E92</f>
        <v>1.3380730406787618</v>
      </c>
      <c r="W92" s="285">
        <f aca="true" t="shared" si="7" ref="W92:W98">+D92/V92</f>
        <v>60.50491829573935</v>
      </c>
      <c r="X92" s="284">
        <f aca="true" t="shared" si="8" ref="X92:X98">+D92/(Q92/E92)</f>
        <v>1.8597536707495568</v>
      </c>
      <c r="Y92" s="284">
        <f aca="true" t="shared" si="9" ref="Y92:Y98">+D92/(J92/E92)</f>
        <v>13.716739999999998</v>
      </c>
    </row>
    <row r="93" spans="1:25" ht="12.75">
      <c r="A93" s="8">
        <f>ROW()</f>
        <v>93</v>
      </c>
      <c r="B93" s="25" t="s">
        <v>35</v>
      </c>
      <c r="C93" s="158" t="s">
        <v>36</v>
      </c>
      <c r="D93" s="159">
        <v>62.58</v>
      </c>
      <c r="E93" s="160">
        <v>190000</v>
      </c>
      <c r="F93" s="35">
        <f t="shared" si="0"/>
        <v>11890200</v>
      </c>
      <c r="G93" s="161">
        <v>2040000</v>
      </c>
      <c r="H93" s="162">
        <v>233000</v>
      </c>
      <c r="I93" s="155">
        <f t="shared" si="1"/>
        <v>13697200</v>
      </c>
      <c r="J93" s="161">
        <v>843000</v>
      </c>
      <c r="K93" s="156">
        <f t="shared" si="2"/>
        <v>16.248161328588374</v>
      </c>
      <c r="L93" s="157">
        <v>1.59</v>
      </c>
      <c r="O93" s="282">
        <v>-767000</v>
      </c>
      <c r="P93" s="282">
        <v>2927000</v>
      </c>
      <c r="Q93" s="282">
        <v>1715000</v>
      </c>
      <c r="R93" s="282">
        <v>415000</v>
      </c>
      <c r="S93" s="282">
        <f t="shared" si="3"/>
        <v>843000</v>
      </c>
      <c r="T93" s="283">
        <f t="shared" si="4"/>
        <v>-15.502216427640157</v>
      </c>
      <c r="U93" s="283">
        <f t="shared" si="5"/>
        <v>4.679603689784763</v>
      </c>
      <c r="V93" s="284">
        <f t="shared" si="6"/>
        <v>2.1842105263157894</v>
      </c>
      <c r="W93" s="285">
        <f t="shared" si="7"/>
        <v>28.6510843373494</v>
      </c>
      <c r="X93" s="284">
        <f t="shared" si="8"/>
        <v>6.933061224489795</v>
      </c>
      <c r="Y93" s="284">
        <f t="shared" si="9"/>
        <v>14.104626334519573</v>
      </c>
    </row>
    <row r="94" spans="1:25" ht="12.75">
      <c r="A94" s="8">
        <f>ROW()</f>
        <v>94</v>
      </c>
      <c r="B94" s="25" t="s">
        <v>24</v>
      </c>
      <c r="C94" s="163" t="s">
        <v>25</v>
      </c>
      <c r="D94" s="159">
        <v>40.8</v>
      </c>
      <c r="E94" s="160">
        <v>19680</v>
      </c>
      <c r="F94" s="35">
        <f t="shared" si="0"/>
        <v>802944</v>
      </c>
      <c r="G94" s="161">
        <v>317420</v>
      </c>
      <c r="H94" s="162">
        <v>18070</v>
      </c>
      <c r="I94" s="155">
        <f t="shared" si="1"/>
        <v>1102294</v>
      </c>
      <c r="J94" s="161">
        <v>139930</v>
      </c>
      <c r="K94" s="156">
        <f t="shared" si="2"/>
        <v>7.877467305081112</v>
      </c>
      <c r="L94" s="157">
        <v>0.32</v>
      </c>
      <c r="O94" s="282">
        <v>415203</v>
      </c>
      <c r="P94" s="282">
        <v>983860</v>
      </c>
      <c r="Q94" s="282">
        <f>153818+152775+157954+138747</f>
        <v>603294</v>
      </c>
      <c r="R94" s="282">
        <f>10966+10156+9508</f>
        <v>30630</v>
      </c>
      <c r="S94" s="282">
        <f t="shared" si="3"/>
        <v>139930</v>
      </c>
      <c r="T94" s="283">
        <f t="shared" si="4"/>
        <v>1.9338588594013049</v>
      </c>
      <c r="U94" s="283">
        <f t="shared" si="5"/>
        <v>1.120376882889842</v>
      </c>
      <c r="V94" s="284">
        <f t="shared" si="6"/>
        <v>1.5564024390243902</v>
      </c>
      <c r="W94" s="285">
        <f t="shared" si="7"/>
        <v>26.21429970617042</v>
      </c>
      <c r="X94" s="284">
        <f t="shared" si="8"/>
        <v>1.3309331768590438</v>
      </c>
      <c r="Y94" s="284">
        <f t="shared" si="9"/>
        <v>5.7381833774029865</v>
      </c>
    </row>
    <row r="95" spans="1:25" ht="12.75">
      <c r="A95" s="8">
        <f>ROW()</f>
        <v>95</v>
      </c>
      <c r="B95" s="25" t="s">
        <v>26</v>
      </c>
      <c r="C95" s="163" t="s">
        <v>27</v>
      </c>
      <c r="D95" s="159">
        <v>130.9</v>
      </c>
      <c r="E95" s="160">
        <v>346990</v>
      </c>
      <c r="F95" s="35">
        <f t="shared" si="0"/>
        <v>45420991</v>
      </c>
      <c r="G95" s="161">
        <v>8990000</v>
      </c>
      <c r="H95" s="162">
        <v>366000</v>
      </c>
      <c r="I95" s="155">
        <f t="shared" si="1"/>
        <v>54044991</v>
      </c>
      <c r="J95" s="161">
        <v>2850000</v>
      </c>
      <c r="K95" s="156">
        <f t="shared" si="2"/>
        <v>18.963154736842107</v>
      </c>
      <c r="L95" s="157">
        <v>1.36</v>
      </c>
      <c r="O95" s="282">
        <v>4512000</v>
      </c>
      <c r="P95" s="282">
        <v>24236000</v>
      </c>
      <c r="Q95" s="282">
        <f>5663000+5795000+5561000+5456000</f>
        <v>22475000</v>
      </c>
      <c r="R95" s="282">
        <f>398+426000+376000+246000</f>
        <v>1048398</v>
      </c>
      <c r="S95" s="282">
        <f t="shared" si="3"/>
        <v>2850000</v>
      </c>
      <c r="T95" s="283">
        <f t="shared" si="4"/>
        <v>10.06670899822695</v>
      </c>
      <c r="U95" s="283">
        <f t="shared" si="5"/>
        <v>2.2299468146558836</v>
      </c>
      <c r="V95" s="284">
        <f t="shared" si="6"/>
        <v>3.0214069569728235</v>
      </c>
      <c r="W95" s="285">
        <f t="shared" si="7"/>
        <v>43.32418699768599</v>
      </c>
      <c r="X95" s="284">
        <f t="shared" si="8"/>
        <v>2.0209562180200225</v>
      </c>
      <c r="Y95" s="284">
        <f t="shared" si="9"/>
        <v>15.937189824561404</v>
      </c>
    </row>
    <row r="96" spans="1:25" ht="12.75">
      <c r="A96" s="8">
        <f>ROW()</f>
        <v>96</v>
      </c>
      <c r="B96" s="25" t="s">
        <v>168</v>
      </c>
      <c r="C96" s="218" t="s">
        <v>169</v>
      </c>
      <c r="D96" s="159">
        <v>32.89</v>
      </c>
      <c r="E96" s="160">
        <v>201180</v>
      </c>
      <c r="F96" s="35">
        <f t="shared" si="0"/>
        <v>6616810.2</v>
      </c>
      <c r="G96" s="161">
        <v>3080000</v>
      </c>
      <c r="H96" s="162">
        <v>421000</v>
      </c>
      <c r="I96" s="155">
        <f t="shared" si="1"/>
        <v>9275810.2</v>
      </c>
      <c r="J96" s="161">
        <v>734000</v>
      </c>
      <c r="K96" s="156">
        <f t="shared" si="2"/>
        <v>12.637343596730243</v>
      </c>
      <c r="L96" s="157"/>
      <c r="O96" s="282">
        <v>6070000</v>
      </c>
      <c r="P96" s="282">
        <v>9817000</v>
      </c>
      <c r="Q96" s="282">
        <f>688000+733000+684000+666000</f>
        <v>2771000</v>
      </c>
      <c r="R96" s="282">
        <f>109000+120000+69000+75000</f>
        <v>373000</v>
      </c>
      <c r="S96" s="282">
        <f t="shared" si="3"/>
        <v>734000</v>
      </c>
      <c r="T96" s="283">
        <f t="shared" si="4"/>
        <v>1.0900840527182867</v>
      </c>
      <c r="U96" s="283">
        <f t="shared" si="5"/>
        <v>0.944872180910665</v>
      </c>
      <c r="V96" s="284">
        <f t="shared" si="6"/>
        <v>1.8540610398647976</v>
      </c>
      <c r="W96" s="285">
        <f t="shared" si="7"/>
        <v>17.739437533512064</v>
      </c>
      <c r="X96" s="284">
        <f t="shared" si="8"/>
        <v>2.387878094550704</v>
      </c>
      <c r="Y96" s="284">
        <f t="shared" si="9"/>
        <v>9.014727792915531</v>
      </c>
    </row>
    <row r="97" spans="1:25" ht="12.75">
      <c r="A97" s="8">
        <f>ROW()</f>
        <v>97</v>
      </c>
      <c r="B97" s="25" t="s">
        <v>162</v>
      </c>
      <c r="C97" s="164" t="s">
        <v>163</v>
      </c>
      <c r="D97" s="159">
        <v>17</v>
      </c>
      <c r="E97" s="160">
        <v>102960</v>
      </c>
      <c r="F97" s="35">
        <f t="shared" si="0"/>
        <v>1750320</v>
      </c>
      <c r="G97" s="161">
        <v>785170</v>
      </c>
      <c r="H97" s="162">
        <v>162010</v>
      </c>
      <c r="I97" s="155">
        <f t="shared" si="1"/>
        <v>2373480</v>
      </c>
      <c r="J97" s="161">
        <v>103750</v>
      </c>
      <c r="K97" s="156">
        <f t="shared" si="2"/>
        <v>22.876915662650603</v>
      </c>
      <c r="L97" s="157">
        <v>1.51</v>
      </c>
      <c r="O97" s="282">
        <v>723327</v>
      </c>
      <c r="P97" s="282">
        <v>1718445</v>
      </c>
      <c r="Q97" s="282">
        <f>182973+98525+49442+60557</f>
        <v>391497</v>
      </c>
      <c r="R97" s="282">
        <f>8993+7867+7676+6129</f>
        <v>30665</v>
      </c>
      <c r="S97" s="282">
        <f t="shared" si="3"/>
        <v>103750</v>
      </c>
      <c r="T97" s="283">
        <f t="shared" si="4"/>
        <v>2.4198184223732833</v>
      </c>
      <c r="U97" s="283">
        <f t="shared" si="5"/>
        <v>1.3811789146583102</v>
      </c>
      <c r="V97" s="284">
        <f t="shared" si="6"/>
        <v>0.29783411033411034</v>
      </c>
      <c r="W97" s="285">
        <f t="shared" si="7"/>
        <v>57.07875428012392</v>
      </c>
      <c r="X97" s="284">
        <f t="shared" si="8"/>
        <v>4.470838857002735</v>
      </c>
      <c r="Y97" s="284">
        <f t="shared" si="9"/>
        <v>16.87055421686747</v>
      </c>
    </row>
    <row r="98" spans="1:25" ht="13.5" thickBot="1">
      <c r="A98" s="8">
        <f>ROW()</f>
        <v>98</v>
      </c>
      <c r="B98" s="165" t="s">
        <v>150</v>
      </c>
      <c r="C98" s="166" t="s">
        <v>37</v>
      </c>
      <c r="D98" s="167">
        <v>136.73</v>
      </c>
      <c r="E98" s="168">
        <v>108640</v>
      </c>
      <c r="F98" s="169">
        <f>+E98*D98</f>
        <v>14854347.2</v>
      </c>
      <c r="G98" s="170">
        <v>8310000</v>
      </c>
      <c r="H98" s="171">
        <v>1500000</v>
      </c>
      <c r="I98" s="172">
        <f>+F98+G98-H98</f>
        <v>21664347.2</v>
      </c>
      <c r="J98" s="170">
        <v>1790000</v>
      </c>
      <c r="K98" s="173">
        <f>+I98/J98</f>
        <v>12.102987262569831</v>
      </c>
      <c r="L98" s="174">
        <v>1.33</v>
      </c>
      <c r="O98" s="282">
        <v>624000</v>
      </c>
      <c r="P98" s="282">
        <v>10261000</v>
      </c>
      <c r="Q98" s="282">
        <f>1629000+1479000+1319000+1320000</f>
        <v>5747000</v>
      </c>
      <c r="R98" s="282">
        <f>203000+78000+141000+164000</f>
        <v>586000</v>
      </c>
      <c r="S98" s="282">
        <f t="shared" si="3"/>
        <v>1790000</v>
      </c>
      <c r="T98" s="283">
        <f t="shared" si="4"/>
        <v>23.805043589743587</v>
      </c>
      <c r="U98" s="283">
        <f t="shared" si="5"/>
        <v>2.1113290322580642</v>
      </c>
      <c r="V98" s="284">
        <f t="shared" si="6"/>
        <v>5.3939617083946985</v>
      </c>
      <c r="W98" s="285">
        <f t="shared" si="7"/>
        <v>25.348715358361773</v>
      </c>
      <c r="X98" s="284">
        <f t="shared" si="8"/>
        <v>2.5847132764920824</v>
      </c>
      <c r="Y98" s="284">
        <f t="shared" si="9"/>
        <v>8.298517988826815</v>
      </c>
    </row>
    <row r="99" ht="6" customHeight="1" thickBot="1">
      <c r="A99" s="8">
        <f>ROW()</f>
        <v>99</v>
      </c>
    </row>
    <row r="100" spans="1:25" ht="13.5" thickBot="1">
      <c r="A100" s="8">
        <f>ROW()</f>
        <v>100</v>
      </c>
      <c r="B100" s="41" t="s">
        <v>204</v>
      </c>
      <c r="C100" s="42" t="s">
        <v>30</v>
      </c>
      <c r="D100" s="43">
        <f>+D57</f>
        <v>77.93</v>
      </c>
      <c r="E100" s="44">
        <f>+E57</f>
        <v>117448.32</v>
      </c>
      <c r="F100" s="44">
        <f>+E100*D100</f>
        <v>9152747.5776</v>
      </c>
      <c r="G100" s="45">
        <f>+G57</f>
        <v>1440000</v>
      </c>
      <c r="H100" s="46">
        <f>+H57</f>
        <v>879000</v>
      </c>
      <c r="I100" s="47">
        <f>+G100+F100-H100</f>
        <v>9713747.5776</v>
      </c>
      <c r="J100" s="45">
        <f>+E142</f>
        <v>657000</v>
      </c>
      <c r="K100" s="48">
        <f>+I100/J100</f>
        <v>14.785003923287672</v>
      </c>
      <c r="L100" s="123">
        <v>1.18</v>
      </c>
      <c r="T100" s="77">
        <f aca="true" t="shared" si="10" ref="T100:Y100">AVERAGE(T91:T98)</f>
        <v>2.1259636681080147</v>
      </c>
      <c r="U100" s="77">
        <f t="shared" si="10"/>
        <v>2.5442996964615645</v>
      </c>
      <c r="V100" s="77">
        <f t="shared" si="10"/>
        <v>2.2876825887460073</v>
      </c>
      <c r="W100" s="77">
        <f t="shared" si="10"/>
        <v>36.27405842990056</v>
      </c>
      <c r="X100" s="77">
        <f t="shared" si="10"/>
        <v>3.3291324514349343</v>
      </c>
      <c r="Y100" s="77">
        <f t="shared" si="10"/>
        <v>12.213406682153492</v>
      </c>
    </row>
    <row r="101" spans="2:11" ht="12.75">
      <c r="B101" s="1"/>
      <c r="D101" s="37"/>
      <c r="E101" s="37"/>
      <c r="K101" s="49"/>
    </row>
    <row r="102" spans="1:12" ht="12.75">
      <c r="A102" s="8">
        <f>ROW()</f>
        <v>102</v>
      </c>
      <c r="B102" s="1" t="s">
        <v>39</v>
      </c>
      <c r="C102" s="51">
        <f>+J100</f>
        <v>657000</v>
      </c>
      <c r="D102" s="52">
        <f>+K103</f>
        <v>15.670602949204458</v>
      </c>
      <c r="J102" s="1" t="s">
        <v>38</v>
      </c>
      <c r="K102" s="50">
        <f>AVERAGE(K91:K98)</f>
        <v>15.597250082869808</v>
      </c>
      <c r="L102" s="50">
        <f>AVERAGE(L91:L100)</f>
        <v>1.2337500000000001</v>
      </c>
    </row>
    <row r="103" spans="1:11" ht="13.5" thickBot="1">
      <c r="A103" s="8">
        <f>ROW()</f>
        <v>103</v>
      </c>
      <c r="B103" s="1"/>
      <c r="F103" s="1"/>
      <c r="G103" s="50"/>
      <c r="H103" s="50"/>
      <c r="J103" t="s">
        <v>40</v>
      </c>
      <c r="K103" s="50">
        <f>+(SUM(K91:K98)-MIN(K91:K98)-MAX(K91:K98))/6</f>
        <v>15.670602949204458</v>
      </c>
    </row>
    <row r="104" spans="1:11" ht="15" thickBot="1">
      <c r="A104" s="8">
        <f>ROW()</f>
        <v>104</v>
      </c>
      <c r="B104" s="38" t="s">
        <v>181</v>
      </c>
      <c r="C104" s="39">
        <f>+C102*D102</f>
        <v>10295586.13762733</v>
      </c>
      <c r="F104" s="1"/>
      <c r="G104" s="50"/>
      <c r="H104" s="50"/>
      <c r="K104" s="126"/>
    </row>
    <row r="105" ht="12.75">
      <c r="A105" s="8">
        <f>ROW()</f>
        <v>105</v>
      </c>
    </row>
    <row r="106" spans="1:12" ht="15.75">
      <c r="A106" s="8">
        <f>ROW()</f>
        <v>106</v>
      </c>
      <c r="B106" s="255" t="s">
        <v>217</v>
      </c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</row>
    <row r="107" ht="4.5" customHeight="1">
      <c r="A107" s="8">
        <f>ROW()</f>
        <v>107</v>
      </c>
    </row>
    <row r="108" spans="1:14" ht="16.5" customHeight="1">
      <c r="A108" s="8">
        <f>ROW()</f>
        <v>108</v>
      </c>
      <c r="C108" t="s">
        <v>0</v>
      </c>
      <c r="D108" s="144" t="s">
        <v>41</v>
      </c>
      <c r="E108" s="144" t="s">
        <v>2</v>
      </c>
      <c r="F108" s="144" t="s">
        <v>42</v>
      </c>
      <c r="G108" s="144" t="s">
        <v>143</v>
      </c>
      <c r="H108" s="144" t="s">
        <v>144</v>
      </c>
      <c r="I108" s="144" t="s">
        <v>31</v>
      </c>
      <c r="J108" s="144" t="s">
        <v>32</v>
      </c>
      <c r="L108" s="8"/>
      <c r="M108" s="8"/>
      <c r="N108" s="8"/>
    </row>
    <row r="109" spans="4:14" ht="11.25" customHeight="1" thickBot="1">
      <c r="D109" s="8"/>
      <c r="E109" s="8"/>
      <c r="F109" s="8"/>
      <c r="G109" s="8"/>
      <c r="H109" s="8"/>
      <c r="I109" s="53"/>
      <c r="J109" s="8"/>
      <c r="K109" s="8"/>
      <c r="L109" s="8"/>
      <c r="M109" s="8"/>
      <c r="N109" s="8"/>
    </row>
    <row r="110" spans="1:12" ht="26.25" thickBot="1">
      <c r="A110" s="8">
        <f>ROW()</f>
        <v>110</v>
      </c>
      <c r="B110" s="13" t="s">
        <v>43</v>
      </c>
      <c r="C110" s="13" t="s">
        <v>44</v>
      </c>
      <c r="D110" s="13" t="s">
        <v>45</v>
      </c>
      <c r="E110" s="13" t="s">
        <v>46</v>
      </c>
      <c r="F110" s="13" t="s">
        <v>47</v>
      </c>
      <c r="G110" s="13" t="s">
        <v>142</v>
      </c>
      <c r="H110" s="13" t="s">
        <v>148</v>
      </c>
      <c r="I110" s="13" t="s">
        <v>48</v>
      </c>
      <c r="J110" s="54" t="s">
        <v>33</v>
      </c>
      <c r="K110" s="4"/>
      <c r="L110" s="4"/>
    </row>
    <row r="111" spans="1:12" s="10" customFormat="1" ht="15.75" customHeight="1">
      <c r="A111" s="8">
        <f>ROW()</f>
        <v>111</v>
      </c>
      <c r="B111" s="193" t="str">
        <f>+'[1]Method #3'!B10</f>
        <v>Hilton Hotels</v>
      </c>
      <c r="C111" s="193" t="str">
        <f>+'[1]Method #3'!C10</f>
        <v>Blackstone Group</v>
      </c>
      <c r="D111" s="194">
        <f>+'[1]Method #3'!D10</f>
        <v>47.5</v>
      </c>
      <c r="E111" s="195">
        <f>+'[1]Method #3'!E10</f>
        <v>390400000</v>
      </c>
      <c r="F111" s="196">
        <f>+'[1]Method #3'!F10</f>
        <v>18544</v>
      </c>
      <c r="G111" s="194">
        <f>+'[1]Method #3'!G10</f>
        <v>6180</v>
      </c>
      <c r="H111" s="196">
        <f>+'[1]Method #3'!H10</f>
        <v>24724</v>
      </c>
      <c r="I111" s="196">
        <f>+'[1]Method #3'!I10</f>
        <v>1680</v>
      </c>
      <c r="J111" s="197">
        <f>+'[1]Method #3'!J10</f>
        <v>14.716666666666667</v>
      </c>
      <c r="K111" s="198"/>
      <c r="L111" s="198"/>
    </row>
    <row r="112" spans="1:12" s="10" customFormat="1" ht="26.25" customHeight="1">
      <c r="A112" s="8">
        <f>ROW()</f>
        <v>112</v>
      </c>
      <c r="B112" s="193" t="s">
        <v>49</v>
      </c>
      <c r="C112" s="193" t="s">
        <v>157</v>
      </c>
      <c r="D112" s="194">
        <v>82</v>
      </c>
      <c r="E112" s="195">
        <v>33078000</v>
      </c>
      <c r="F112" s="196">
        <v>3300</v>
      </c>
      <c r="G112" s="194">
        <f>273.825+4.853</f>
        <v>278.678</v>
      </c>
      <c r="H112" s="196">
        <f>+G112+F112</f>
        <v>3578.678</v>
      </c>
      <c r="I112" s="196">
        <f>+H112/31.9</f>
        <v>112.18426332288401</v>
      </c>
      <c r="J112" s="197">
        <f>+H112/I112</f>
        <v>31.900000000000002</v>
      </c>
      <c r="K112" s="198"/>
      <c r="L112" s="198"/>
    </row>
    <row r="113" spans="1:12" s="10" customFormat="1" ht="12" customHeight="1">
      <c r="A113" s="8">
        <f>ROW()</f>
        <v>113</v>
      </c>
      <c r="B113" s="199" t="s">
        <v>50</v>
      </c>
      <c r="C113" s="199" t="s">
        <v>51</v>
      </c>
      <c r="D113" s="200">
        <v>45</v>
      </c>
      <c r="E113" s="201">
        <f>+F113/D113*1000000</f>
        <v>73333333.33333333</v>
      </c>
      <c r="F113" s="202">
        <v>3300</v>
      </c>
      <c r="G113" s="200">
        <v>123.5</v>
      </c>
      <c r="H113" s="202">
        <f>+G113+F113</f>
        <v>3423.5</v>
      </c>
      <c r="I113" s="202">
        <v>187.2</v>
      </c>
      <c r="J113" s="203">
        <f>+H113/I113</f>
        <v>18.287927350427353</v>
      </c>
      <c r="K113" s="198"/>
      <c r="L113" s="198"/>
    </row>
    <row r="114" spans="1:12" s="10" customFormat="1" ht="12" customHeight="1">
      <c r="A114" s="8">
        <f>ROW()</f>
        <v>114</v>
      </c>
      <c r="B114" s="199" t="s">
        <v>52</v>
      </c>
      <c r="C114" s="199" t="s">
        <v>53</v>
      </c>
      <c r="D114" s="200"/>
      <c r="E114" s="201"/>
      <c r="F114" s="202">
        <v>5578</v>
      </c>
      <c r="G114" s="200">
        <v>0</v>
      </c>
      <c r="H114" s="202">
        <f>+G114+F114</f>
        <v>5578</v>
      </c>
      <c r="I114" s="202">
        <v>504</v>
      </c>
      <c r="J114" s="203">
        <f aca="true" t="shared" si="11" ref="J114:J123">+H114/I114</f>
        <v>11.067460317460318</v>
      </c>
      <c r="K114" s="198"/>
      <c r="L114" s="198"/>
    </row>
    <row r="115" spans="1:12" s="10" customFormat="1" ht="12" customHeight="1">
      <c r="A115" s="8">
        <f>ROW()</f>
        <v>115</v>
      </c>
      <c r="B115" s="204" t="s">
        <v>54</v>
      </c>
      <c r="C115" s="199" t="s">
        <v>55</v>
      </c>
      <c r="D115" s="200"/>
      <c r="E115" s="201"/>
      <c r="F115" s="202"/>
      <c r="G115" s="200"/>
      <c r="H115" s="202">
        <v>4096</v>
      </c>
      <c r="I115" s="202">
        <f>+H115/13</f>
        <v>315.0769230769231</v>
      </c>
      <c r="J115" s="203">
        <f t="shared" si="11"/>
        <v>13</v>
      </c>
      <c r="K115" s="198"/>
      <c r="L115" s="198"/>
    </row>
    <row r="116" spans="1:12" s="10" customFormat="1" ht="12" customHeight="1">
      <c r="A116" s="8">
        <f>ROW()</f>
        <v>116</v>
      </c>
      <c r="B116" s="204" t="s">
        <v>22</v>
      </c>
      <c r="C116" s="193" t="str">
        <f>+C111</f>
        <v>Blackstone Group</v>
      </c>
      <c r="D116" s="200">
        <v>12.22</v>
      </c>
      <c r="E116" s="201">
        <v>202.5</v>
      </c>
      <c r="F116" s="202">
        <v>2474</v>
      </c>
      <c r="G116" s="200">
        <v>925.71</v>
      </c>
      <c r="H116" s="202">
        <v>3400</v>
      </c>
      <c r="I116" s="202">
        <v>229.7</v>
      </c>
      <c r="J116" s="203">
        <v>14.8</v>
      </c>
      <c r="K116" s="198"/>
      <c r="L116" s="198"/>
    </row>
    <row r="117" spans="1:12" s="10" customFormat="1" ht="12" customHeight="1">
      <c r="A117" s="8">
        <f>ROW()</f>
        <v>117</v>
      </c>
      <c r="B117" s="199" t="s">
        <v>56</v>
      </c>
      <c r="C117" s="199" t="s">
        <v>57</v>
      </c>
      <c r="D117" s="200">
        <v>1.15</v>
      </c>
      <c r="E117" s="201">
        <v>172053000</v>
      </c>
      <c r="F117" s="202">
        <f>+E117*D117/1000000</f>
        <v>197.86094999999997</v>
      </c>
      <c r="G117" s="200">
        <v>2681.96</v>
      </c>
      <c r="H117" s="202">
        <f>+G117+F117</f>
        <v>2879.82095</v>
      </c>
      <c r="I117" s="202">
        <v>275.18</v>
      </c>
      <c r="J117" s="203">
        <f t="shared" si="11"/>
        <v>10.465226215567991</v>
      </c>
      <c r="K117" s="198"/>
      <c r="L117" s="198"/>
    </row>
    <row r="118" spans="1:12" s="10" customFormat="1" ht="12" customHeight="1">
      <c r="A118" s="8">
        <f>ROW()</f>
        <v>118</v>
      </c>
      <c r="B118" s="199" t="s">
        <v>20</v>
      </c>
      <c r="C118" s="199" t="s">
        <v>58</v>
      </c>
      <c r="D118" s="200">
        <v>24</v>
      </c>
      <c r="E118" s="201">
        <v>19583</v>
      </c>
      <c r="F118" s="202">
        <v>470</v>
      </c>
      <c r="G118" s="200">
        <v>765.2</v>
      </c>
      <c r="H118" s="202">
        <v>1235</v>
      </c>
      <c r="I118" s="202">
        <v>123.07</v>
      </c>
      <c r="J118" s="203">
        <v>10</v>
      </c>
      <c r="K118" s="198"/>
      <c r="L118" s="198"/>
    </row>
    <row r="119" spans="1:12" s="10" customFormat="1" ht="12" customHeight="1">
      <c r="A119" s="8">
        <f>ROW()</f>
        <v>119</v>
      </c>
      <c r="B119" s="199" t="s">
        <v>59</v>
      </c>
      <c r="C119" s="199" t="s">
        <v>60</v>
      </c>
      <c r="D119" s="200"/>
      <c r="E119" s="201"/>
      <c r="F119" s="202"/>
      <c r="G119" s="200"/>
      <c r="H119" s="202">
        <v>1028.9</v>
      </c>
      <c r="I119" s="202">
        <f>+H119/11.3</f>
        <v>91.05309734513274</v>
      </c>
      <c r="J119" s="203">
        <f t="shared" si="11"/>
        <v>11.3</v>
      </c>
      <c r="K119" s="198"/>
      <c r="L119" s="198"/>
    </row>
    <row r="120" spans="1:12" s="10" customFormat="1" ht="12" customHeight="1">
      <c r="A120" s="8">
        <f>ROW()</f>
        <v>120</v>
      </c>
      <c r="B120" s="199" t="s">
        <v>61</v>
      </c>
      <c r="C120" s="199" t="s">
        <v>62</v>
      </c>
      <c r="D120" s="200"/>
      <c r="E120" s="201"/>
      <c r="F120" s="202"/>
      <c r="G120" s="200"/>
      <c r="H120" s="202">
        <v>981</v>
      </c>
      <c r="I120" s="202">
        <f>+H120/9.2</f>
        <v>106.6304347826087</v>
      </c>
      <c r="J120" s="203">
        <f t="shared" si="11"/>
        <v>9.2</v>
      </c>
      <c r="K120" s="198"/>
      <c r="L120" s="198"/>
    </row>
    <row r="121" spans="1:12" s="10" customFormat="1" ht="12" customHeight="1">
      <c r="A121" s="8">
        <f>ROW()</f>
        <v>121</v>
      </c>
      <c r="B121" s="199" t="s">
        <v>63</v>
      </c>
      <c r="C121" s="199" t="s">
        <v>57</v>
      </c>
      <c r="D121" s="200">
        <v>24</v>
      </c>
      <c r="E121" s="201">
        <v>40284000</v>
      </c>
      <c r="F121" s="202">
        <f>+E121*D121/1000000</f>
        <v>966.816</v>
      </c>
      <c r="G121" s="200">
        <v>217.29</v>
      </c>
      <c r="H121" s="202">
        <f>+G121+F121</f>
        <v>1184.106</v>
      </c>
      <c r="I121" s="202">
        <v>90.07</v>
      </c>
      <c r="J121" s="203">
        <f t="shared" si="11"/>
        <v>13.14650827134451</v>
      </c>
      <c r="K121" s="198"/>
      <c r="L121" s="198"/>
    </row>
    <row r="122" spans="1:12" s="10" customFormat="1" ht="12" customHeight="1">
      <c r="A122" s="8">
        <f>ROW()</f>
        <v>122</v>
      </c>
      <c r="B122" s="205" t="s">
        <v>64</v>
      </c>
      <c r="C122" s="205" t="s">
        <v>57</v>
      </c>
      <c r="D122" s="206">
        <v>12.25</v>
      </c>
      <c r="E122" s="207">
        <v>44808000</v>
      </c>
      <c r="F122" s="208">
        <f>+E122*D122/1000000</f>
        <v>548.898</v>
      </c>
      <c r="G122" s="206">
        <v>243.6</v>
      </c>
      <c r="H122" s="208">
        <f>+G122+F122</f>
        <v>792.498</v>
      </c>
      <c r="I122" s="208">
        <v>55.12</v>
      </c>
      <c r="J122" s="209">
        <f t="shared" si="11"/>
        <v>14.37768505079826</v>
      </c>
      <c r="K122" s="198"/>
      <c r="L122" s="198"/>
    </row>
    <row r="123" spans="1:12" s="10" customFormat="1" ht="12" customHeight="1" thickBot="1">
      <c r="A123" s="8">
        <f>ROW()</f>
        <v>123</v>
      </c>
      <c r="B123" s="210" t="s">
        <v>65</v>
      </c>
      <c r="C123" s="210" t="s">
        <v>57</v>
      </c>
      <c r="D123" s="211">
        <v>19.93</v>
      </c>
      <c r="E123" s="212">
        <v>95077000</v>
      </c>
      <c r="F123" s="213">
        <f>+E123*D123/1000000</f>
        <v>1894.88461</v>
      </c>
      <c r="G123" s="211">
        <v>1231.5</v>
      </c>
      <c r="H123" s="213">
        <f>+G123+F123</f>
        <v>3126.38461</v>
      </c>
      <c r="I123" s="213">
        <v>224.85</v>
      </c>
      <c r="J123" s="214">
        <f t="shared" si="11"/>
        <v>13.904312252612854</v>
      </c>
      <c r="K123" s="198"/>
      <c r="L123" s="198"/>
    </row>
    <row r="124" spans="1:14" ht="13.5" thickBot="1">
      <c r="A124" s="8">
        <f>ROW()</f>
        <v>124</v>
      </c>
      <c r="B124" s="4"/>
      <c r="C124" s="4"/>
      <c r="D124" s="4"/>
      <c r="E124" s="4"/>
      <c r="F124" s="4"/>
      <c r="G124" s="4"/>
      <c r="H124" s="4"/>
      <c r="I124" s="1" t="s">
        <v>38</v>
      </c>
      <c r="J124" s="50">
        <f>AVERAGE(J111:J123)</f>
        <v>14.32044508652907</v>
      </c>
      <c r="K124" s="55"/>
      <c r="L124" s="4"/>
      <c r="M124" s="4"/>
      <c r="N124" s="4"/>
    </row>
    <row r="125" spans="1:10" ht="15" thickBot="1">
      <c r="A125" s="8">
        <f>ROW()</f>
        <v>125</v>
      </c>
      <c r="B125" s="38" t="s">
        <v>182</v>
      </c>
      <c r="C125" s="39">
        <f>+F125*G125</f>
        <v>8664383.771276802</v>
      </c>
      <c r="E125" s="75" t="s">
        <v>39</v>
      </c>
      <c r="F125" s="51">
        <f>+C102</f>
        <v>657000</v>
      </c>
      <c r="G125" s="52">
        <f>+J125</f>
        <v>13.187798738625268</v>
      </c>
      <c r="I125" t="s">
        <v>66</v>
      </c>
      <c r="J125" s="50">
        <f>+(J111+SUM(J113:J119)+SUM(J121:J123))/11</f>
        <v>13.187798738625268</v>
      </c>
    </row>
    <row r="126" ht="12.75">
      <c r="A126" s="8">
        <f>ROW()</f>
        <v>126</v>
      </c>
    </row>
    <row r="127" spans="1:12" ht="15.75">
      <c r="A127" s="8">
        <f>ROW()</f>
        <v>127</v>
      </c>
      <c r="B127" s="255" t="s">
        <v>218</v>
      </c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</row>
    <row r="128" spans="1:11" ht="11.25" customHeight="1">
      <c r="A128" s="8">
        <f>ROW()</f>
        <v>128</v>
      </c>
      <c r="B128" s="6"/>
      <c r="C128" s="128"/>
      <c r="D128" s="128"/>
      <c r="E128" s="191" t="s">
        <v>67</v>
      </c>
      <c r="F128" s="192">
        <v>1</v>
      </c>
      <c r="G128" s="192">
        <v>2</v>
      </c>
      <c r="H128" s="192">
        <v>3</v>
      </c>
      <c r="I128" s="192">
        <v>4</v>
      </c>
      <c r="J128" s="192">
        <v>5</v>
      </c>
      <c r="K128" s="192">
        <v>6</v>
      </c>
    </row>
    <row r="129" spans="1:10" ht="12.75">
      <c r="A129" s="8">
        <f>ROW()</f>
        <v>129</v>
      </c>
      <c r="B129" t="s">
        <v>68</v>
      </c>
      <c r="C129" s="184" t="s">
        <v>156</v>
      </c>
      <c r="D129" s="56" t="s">
        <v>69</v>
      </c>
      <c r="E129" s="190" t="s">
        <v>70</v>
      </c>
      <c r="J129" s="190" t="s">
        <v>71</v>
      </c>
    </row>
    <row r="130" spans="1:11" ht="13.5" thickBot="1">
      <c r="A130" s="8">
        <f>ROW()</f>
        <v>130</v>
      </c>
      <c r="C130" s="185" t="s">
        <v>72</v>
      </c>
      <c r="D130" s="57" t="s">
        <v>72</v>
      </c>
      <c r="E130" s="141" t="s">
        <v>226</v>
      </c>
      <c r="F130" s="127">
        <f>+E130+184</f>
        <v>43465</v>
      </c>
      <c r="G130" s="127">
        <f>+F130+365</f>
        <v>43830</v>
      </c>
      <c r="H130" s="127">
        <f>+G130+365</f>
        <v>44195</v>
      </c>
      <c r="I130" s="127">
        <f>+H130+366</f>
        <v>44561</v>
      </c>
      <c r="J130" s="182">
        <f>+I130+365</f>
        <v>44926</v>
      </c>
      <c r="K130" s="127">
        <f>+J130+365</f>
        <v>45291</v>
      </c>
    </row>
    <row r="131" spans="1:11" ht="12.75">
      <c r="A131" s="8">
        <f>ROW()</f>
        <v>131</v>
      </c>
      <c r="B131" t="s">
        <v>73</v>
      </c>
      <c r="C131" s="186"/>
      <c r="D131" s="102"/>
      <c r="E131" s="124">
        <f>+(631+653+673+656)*1000</f>
        <v>2613000</v>
      </c>
      <c r="F131" s="59">
        <f aca="true" t="shared" si="12" ref="F131:K131">+E131*(1+F132)</f>
        <v>2691390</v>
      </c>
      <c r="G131" s="59">
        <f t="shared" si="12"/>
        <v>2825959.5</v>
      </c>
      <c r="H131" s="59">
        <f t="shared" si="12"/>
        <v>2967257.475</v>
      </c>
      <c r="I131" s="59">
        <f t="shared" si="12"/>
        <v>3115620.3487500004</v>
      </c>
      <c r="J131" s="60">
        <f>+I131*(1+J132)</f>
        <v>3271401.3661875003</v>
      </c>
      <c r="K131" s="176">
        <f t="shared" si="12"/>
        <v>3434971.4344968754</v>
      </c>
    </row>
    <row r="132" spans="1:12" ht="12.75">
      <c r="A132" s="8">
        <f>ROW()</f>
        <v>132</v>
      </c>
      <c r="B132" t="s">
        <v>74</v>
      </c>
      <c r="C132" s="187"/>
      <c r="D132" s="103"/>
      <c r="E132" s="58"/>
      <c r="F132" s="136">
        <v>0.03</v>
      </c>
      <c r="G132" s="136">
        <v>0.05</v>
      </c>
      <c r="H132" s="136">
        <v>0.05</v>
      </c>
      <c r="I132" s="136">
        <f>+H132</f>
        <v>0.05</v>
      </c>
      <c r="J132" s="137">
        <f>+I132</f>
        <v>0.05</v>
      </c>
      <c r="K132" s="177">
        <v>0.05</v>
      </c>
      <c r="L132" s="267" t="s">
        <v>176</v>
      </c>
    </row>
    <row r="133" spans="1:11" ht="12.75">
      <c r="A133" s="8">
        <f>ROW()</f>
        <v>133</v>
      </c>
      <c r="B133" t="s">
        <v>75</v>
      </c>
      <c r="C133" s="187">
        <f>-E133/E131</f>
        <v>0.6100267891312667</v>
      </c>
      <c r="D133" s="103">
        <v>0.6</v>
      </c>
      <c r="E133" s="124">
        <f>-(364+392+420+418)*1000</f>
        <v>-1594000</v>
      </c>
      <c r="F133" s="59">
        <f aca="true" t="shared" si="13" ref="F133:K133">-$D$133*F131</f>
        <v>-1614834</v>
      </c>
      <c r="G133" s="59">
        <f t="shared" si="13"/>
        <v>-1695575.7</v>
      </c>
      <c r="H133" s="59">
        <f t="shared" si="13"/>
        <v>-1780354.485</v>
      </c>
      <c r="I133" s="59">
        <f t="shared" si="13"/>
        <v>-1869372.20925</v>
      </c>
      <c r="J133" s="60">
        <f t="shared" si="13"/>
        <v>-1962840.8197125</v>
      </c>
      <c r="K133" s="176">
        <f t="shared" si="13"/>
        <v>-2060982.860698125</v>
      </c>
    </row>
    <row r="134" spans="1:11" ht="12.75">
      <c r="A134" s="8">
        <f>ROW()</f>
        <v>134</v>
      </c>
      <c r="B134" t="s">
        <v>134</v>
      </c>
      <c r="C134" s="187">
        <f>-E134/E131</f>
        <v>0.269804822043628</v>
      </c>
      <c r="D134" s="103">
        <v>0.26</v>
      </c>
      <c r="E134" s="125">
        <f>+E135-E131-E133</f>
        <v>-705000</v>
      </c>
      <c r="F134" s="61">
        <f aca="true" t="shared" si="14" ref="F134:K134">-$D$134*F131</f>
        <v>-699761.4</v>
      </c>
      <c r="G134" s="61">
        <f t="shared" si="14"/>
        <v>-734749.47</v>
      </c>
      <c r="H134" s="61">
        <f t="shared" si="14"/>
        <v>-771486.9435</v>
      </c>
      <c r="I134" s="61">
        <f t="shared" si="14"/>
        <v>-810061.2906750002</v>
      </c>
      <c r="J134" s="62">
        <f t="shared" si="14"/>
        <v>-850564.3552087501</v>
      </c>
      <c r="K134" s="178">
        <f t="shared" si="14"/>
        <v>-893092.5729691876</v>
      </c>
    </row>
    <row r="135" spans="1:13" ht="12.75">
      <c r="A135" s="8">
        <f>ROW()</f>
        <v>135</v>
      </c>
      <c r="B135" t="s">
        <v>76</v>
      </c>
      <c r="C135" s="188"/>
      <c r="D135" s="104"/>
      <c r="E135" s="58">
        <f>+(112+78+67+57)*1000</f>
        <v>314000</v>
      </c>
      <c r="F135" s="59">
        <f aca="true" t="shared" si="15" ref="F135:K135">+F131+F133+F134</f>
        <v>376794.6</v>
      </c>
      <c r="G135" s="59">
        <f t="shared" si="15"/>
        <v>395634.3300000001</v>
      </c>
      <c r="H135" s="59">
        <f t="shared" si="15"/>
        <v>415416.04649999994</v>
      </c>
      <c r="I135" s="59">
        <f t="shared" si="15"/>
        <v>436186.8488250001</v>
      </c>
      <c r="J135" s="60">
        <f t="shared" si="15"/>
        <v>457996.1912662501</v>
      </c>
      <c r="K135" s="176">
        <f t="shared" si="15"/>
        <v>480896.00082956266</v>
      </c>
      <c r="M135" s="51">
        <f>+E131+E133+E134</f>
        <v>314000</v>
      </c>
    </row>
    <row r="136" spans="1:11" ht="12.75">
      <c r="A136" s="8">
        <f>ROW()</f>
        <v>136</v>
      </c>
      <c r="B136" t="s">
        <v>140</v>
      </c>
      <c r="C136" s="187"/>
      <c r="D136" s="103">
        <v>0.36</v>
      </c>
      <c r="E136" s="58">
        <v>0</v>
      </c>
      <c r="F136" s="59">
        <f aca="true" t="shared" si="16" ref="F136:K136">-$D$136*F135</f>
        <v>-135646.05599999998</v>
      </c>
      <c r="G136" s="59">
        <f t="shared" si="16"/>
        <v>-142428.35880000002</v>
      </c>
      <c r="H136" s="59">
        <f t="shared" si="16"/>
        <v>-149549.77673999997</v>
      </c>
      <c r="I136" s="59">
        <f t="shared" si="16"/>
        <v>-157027.26557700004</v>
      </c>
      <c r="J136" s="60">
        <f t="shared" si="16"/>
        <v>-164878.62885585002</v>
      </c>
      <c r="K136" s="176">
        <f t="shared" si="16"/>
        <v>-173122.56029864255</v>
      </c>
    </row>
    <row r="137" spans="1:11" ht="12.75">
      <c r="A137" s="8">
        <f>ROW()</f>
        <v>137</v>
      </c>
      <c r="B137" t="s">
        <v>77</v>
      </c>
      <c r="C137" s="187">
        <f>+E137/E131</f>
        <v>0.1312667432070417</v>
      </c>
      <c r="D137" s="103">
        <v>0.1</v>
      </c>
      <c r="E137" s="124">
        <f>+(76+83+92+92)*1000</f>
        <v>343000</v>
      </c>
      <c r="F137" s="59">
        <f aca="true" t="shared" si="17" ref="F137:K137">+$D$137*F131</f>
        <v>269139</v>
      </c>
      <c r="G137" s="59">
        <f t="shared" si="17"/>
        <v>282595.95</v>
      </c>
      <c r="H137" s="59">
        <f t="shared" si="17"/>
        <v>296725.7475</v>
      </c>
      <c r="I137" s="59">
        <f t="shared" si="17"/>
        <v>311562.03487500007</v>
      </c>
      <c r="J137" s="60">
        <f t="shared" si="17"/>
        <v>327140.13661875005</v>
      </c>
      <c r="K137" s="176">
        <f t="shared" si="17"/>
        <v>343497.1434496876</v>
      </c>
    </row>
    <row r="138" spans="1:11" ht="12.75">
      <c r="A138" s="8">
        <f>ROW()</f>
        <v>138</v>
      </c>
      <c r="B138" s="256" t="s">
        <v>206</v>
      </c>
      <c r="C138" s="187">
        <v>0</v>
      </c>
      <c r="D138" s="103">
        <v>0</v>
      </c>
      <c r="E138" s="124"/>
      <c r="F138" s="59">
        <f aca="true" t="shared" si="18" ref="F138:K138">-$D$138*F131</f>
        <v>0</v>
      </c>
      <c r="G138" s="59">
        <f t="shared" si="18"/>
        <v>0</v>
      </c>
      <c r="H138" s="59">
        <f t="shared" si="18"/>
        <v>0</v>
      </c>
      <c r="I138" s="59">
        <f t="shared" si="18"/>
        <v>0</v>
      </c>
      <c r="J138" s="60">
        <f t="shared" si="18"/>
        <v>0</v>
      </c>
      <c r="K138" s="176">
        <f t="shared" si="18"/>
        <v>0</v>
      </c>
    </row>
    <row r="139" spans="1:11" ht="12.75">
      <c r="A139" s="8">
        <f>ROW()</f>
        <v>139</v>
      </c>
      <c r="B139" t="s">
        <v>78</v>
      </c>
      <c r="C139" s="187">
        <f>-E139/E131</f>
        <v>0.10945273631840796</v>
      </c>
      <c r="D139" s="103">
        <v>0.06</v>
      </c>
      <c r="E139" s="124">
        <f>-(61+60+86+79)*1000</f>
        <v>-286000</v>
      </c>
      <c r="F139" s="59">
        <f aca="true" t="shared" si="19" ref="F139:K139">-$D$139*F131</f>
        <v>-161483.4</v>
      </c>
      <c r="G139" s="59">
        <f t="shared" si="19"/>
        <v>-169557.57</v>
      </c>
      <c r="H139" s="59">
        <f t="shared" si="19"/>
        <v>-178035.4485</v>
      </c>
      <c r="I139" s="59">
        <f t="shared" si="19"/>
        <v>-186937.220925</v>
      </c>
      <c r="J139" s="60">
        <f t="shared" si="19"/>
        <v>-196284.08197125</v>
      </c>
      <c r="K139" s="176">
        <f t="shared" si="19"/>
        <v>-206098.28606981252</v>
      </c>
    </row>
    <row r="140" spans="1:11" ht="13.5" thickBot="1">
      <c r="A140" s="8">
        <f>ROW()</f>
        <v>140</v>
      </c>
      <c r="B140" t="s">
        <v>79</v>
      </c>
      <c r="C140" s="189"/>
      <c r="E140" s="111">
        <f>SUM(E135:E139)</f>
        <v>371000</v>
      </c>
      <c r="F140" s="64">
        <f aca="true" t="shared" si="20" ref="F140:K140">SUM(F135:F139)</f>
        <v>348804.144</v>
      </c>
      <c r="G140" s="64">
        <f t="shared" si="20"/>
        <v>366244.3512000001</v>
      </c>
      <c r="H140" s="64">
        <f t="shared" si="20"/>
        <v>384556.5687599999</v>
      </c>
      <c r="I140" s="64">
        <f t="shared" si="20"/>
        <v>403784.3971980001</v>
      </c>
      <c r="J140" s="63">
        <f t="shared" si="20"/>
        <v>423973.6170579002</v>
      </c>
      <c r="K140" s="179">
        <f t="shared" si="20"/>
        <v>445172.2979107952</v>
      </c>
    </row>
    <row r="141" spans="1:11" ht="7.5" customHeight="1" thickTop="1">
      <c r="A141" s="8">
        <f>ROW()</f>
        <v>141</v>
      </c>
      <c r="B141" s="128"/>
      <c r="C141" s="128"/>
      <c r="D141" s="128"/>
      <c r="E141" s="61"/>
      <c r="F141" s="61"/>
      <c r="G141" s="61"/>
      <c r="H141" s="61"/>
      <c r="I141" s="61"/>
      <c r="J141" s="62"/>
      <c r="K141" s="178"/>
    </row>
    <row r="142" spans="1:11" ht="12.75">
      <c r="A142" s="8">
        <f>ROW()</f>
        <v>142</v>
      </c>
      <c r="B142" s="129" t="s">
        <v>80</v>
      </c>
      <c r="C142" s="129"/>
      <c r="D142" s="129"/>
      <c r="E142" s="130">
        <f aca="true" t="shared" si="21" ref="E142:K142">+E135+E137</f>
        <v>657000</v>
      </c>
      <c r="F142" s="131">
        <f t="shared" si="21"/>
        <v>645933.6</v>
      </c>
      <c r="G142" s="131">
        <f t="shared" si="21"/>
        <v>678230.28</v>
      </c>
      <c r="H142" s="131">
        <f t="shared" si="21"/>
        <v>712141.794</v>
      </c>
      <c r="I142" s="131">
        <f t="shared" si="21"/>
        <v>747748.8837000001</v>
      </c>
      <c r="J142" s="132">
        <f t="shared" si="21"/>
        <v>785136.3278850002</v>
      </c>
      <c r="K142" s="180">
        <f t="shared" si="21"/>
        <v>824393.1442792502</v>
      </c>
    </row>
    <row r="143" spans="1:11" ht="12" customHeight="1">
      <c r="A143" s="8">
        <f>ROW()</f>
        <v>143</v>
      </c>
      <c r="B143" s="133" t="s">
        <v>174</v>
      </c>
      <c r="C143" s="133"/>
      <c r="D143" s="133"/>
      <c r="E143" s="134">
        <f>+E163</f>
        <v>1440000</v>
      </c>
      <c r="F143" s="134">
        <f aca="true" t="shared" si="22" ref="F143:K143">+E143-(0.05*$E$143)</f>
        <v>1368000</v>
      </c>
      <c r="G143" s="134">
        <f t="shared" si="22"/>
        <v>1296000</v>
      </c>
      <c r="H143" s="134">
        <f t="shared" si="22"/>
        <v>1224000</v>
      </c>
      <c r="I143" s="134">
        <f t="shared" si="22"/>
        <v>1152000</v>
      </c>
      <c r="J143" s="135">
        <f t="shared" si="22"/>
        <v>1080000</v>
      </c>
      <c r="K143" s="181">
        <f t="shared" si="22"/>
        <v>1008000</v>
      </c>
    </row>
    <row r="144" spans="1:10" ht="7.5" customHeight="1">
      <c r="A144" s="8">
        <f>ROW()</f>
        <v>144</v>
      </c>
      <c r="E144" s="4"/>
      <c r="F144" s="4"/>
      <c r="G144" s="4"/>
      <c r="H144" s="4"/>
      <c r="I144" s="4"/>
      <c r="J144" s="65"/>
    </row>
    <row r="145" spans="1:10" ht="13.5" thickBot="1">
      <c r="A145" s="8">
        <f>ROW()</f>
        <v>145</v>
      </c>
      <c r="B145" s="66" t="s">
        <v>81</v>
      </c>
      <c r="C145" s="67" t="s">
        <v>72</v>
      </c>
      <c r="E145" s="142" t="s">
        <v>141</v>
      </c>
      <c r="F145" s="4"/>
      <c r="G145" s="4"/>
      <c r="H145" s="4"/>
      <c r="I145" s="4"/>
      <c r="J145" s="65"/>
    </row>
    <row r="146" spans="1:10" ht="12.75">
      <c r="A146" s="8">
        <f>ROW()</f>
        <v>146</v>
      </c>
      <c r="B146" t="s">
        <v>82</v>
      </c>
      <c r="C146" s="52">
        <f>+D102</f>
        <v>15.670602949204458</v>
      </c>
      <c r="E146" s="68"/>
      <c r="F146" s="69" t="s">
        <v>83</v>
      </c>
      <c r="G146" s="4"/>
      <c r="H146" s="4"/>
      <c r="I146" s="4"/>
      <c r="J146" s="70">
        <f>+$C$146*J142</f>
        <v>12303559.655282242</v>
      </c>
    </row>
    <row r="147" spans="1:10" ht="12.75">
      <c r="A147" s="8">
        <f>ROW()</f>
        <v>147</v>
      </c>
      <c r="B147" t="s">
        <v>84</v>
      </c>
      <c r="C147" s="71">
        <f>+K168</f>
        <v>0.1024550146056475</v>
      </c>
      <c r="E147" s="143">
        <f>+C147*0.8</f>
        <v>0.081964011684518</v>
      </c>
      <c r="F147" s="69" t="s">
        <v>145</v>
      </c>
      <c r="G147" s="4"/>
      <c r="H147" s="4"/>
      <c r="I147" s="4"/>
      <c r="J147" s="60">
        <f>+K140/(C147-E147)</f>
        <v>21725256.671148654</v>
      </c>
    </row>
    <row r="148" spans="1:10" ht="12.75">
      <c r="A148" s="8">
        <f>ROW()</f>
        <v>148</v>
      </c>
      <c r="B148" t="s">
        <v>38</v>
      </c>
      <c r="E148" s="268" t="s">
        <v>207</v>
      </c>
      <c r="F148" s="4"/>
      <c r="G148" s="4"/>
      <c r="H148" s="4"/>
      <c r="I148" s="4"/>
      <c r="J148" s="72">
        <f>+(J146+J147)/2</f>
        <v>17014408.163215447</v>
      </c>
    </row>
    <row r="149" spans="1:10" ht="12.75">
      <c r="A149" s="8">
        <f>ROW()</f>
        <v>149</v>
      </c>
      <c r="B149" t="s">
        <v>85</v>
      </c>
      <c r="E149" s="73"/>
      <c r="F149" s="4"/>
      <c r="G149" s="4"/>
      <c r="H149" s="4"/>
      <c r="I149" s="4"/>
      <c r="J149" s="70">
        <f>-J143</f>
        <v>-1080000</v>
      </c>
    </row>
    <row r="150" spans="1:10" ht="12.75">
      <c r="A150" s="8">
        <f>ROW()</f>
        <v>150</v>
      </c>
      <c r="B150" t="s">
        <v>86</v>
      </c>
      <c r="E150" s="73"/>
      <c r="F150" s="4"/>
      <c r="G150" s="4"/>
      <c r="H150" s="4"/>
      <c r="I150" s="4"/>
      <c r="J150" s="74">
        <v>0</v>
      </c>
    </row>
    <row r="151" spans="1:10" ht="12.75">
      <c r="A151" s="8">
        <f>ROW()</f>
        <v>151</v>
      </c>
      <c r="B151" t="s">
        <v>87</v>
      </c>
      <c r="E151" s="4"/>
      <c r="F151" s="4"/>
      <c r="G151" s="4"/>
      <c r="H151" s="4"/>
      <c r="I151" s="4"/>
      <c r="J151" s="70">
        <f>+J149+J148</f>
        <v>15934408.163215447</v>
      </c>
    </row>
    <row r="152" spans="1:10" ht="12.75">
      <c r="A152" s="8">
        <f>ROW()</f>
        <v>152</v>
      </c>
      <c r="D152" s="278" t="s">
        <v>221</v>
      </c>
      <c r="E152" s="4"/>
      <c r="F152" s="4"/>
      <c r="G152" s="4"/>
      <c r="H152" s="4"/>
      <c r="I152" s="4"/>
      <c r="J152" s="65"/>
    </row>
    <row r="153" spans="1:10" ht="13.5" thickBot="1">
      <c r="A153" s="8">
        <f>ROW()</f>
        <v>153</v>
      </c>
      <c r="B153" s="264" t="s">
        <v>88</v>
      </c>
      <c r="C153" s="265">
        <f>+I163</f>
        <v>0.12869999999999998</v>
      </c>
      <c r="D153" s="279"/>
      <c r="E153" s="97"/>
      <c r="F153" s="97">
        <f>+F140</f>
        <v>348804.144</v>
      </c>
      <c r="G153" s="97">
        <f>+G140</f>
        <v>366244.3512000001</v>
      </c>
      <c r="H153" s="97">
        <f>+H140</f>
        <v>384556.5687599999</v>
      </c>
      <c r="I153" s="97">
        <f>+I140</f>
        <v>403784.3971980001</v>
      </c>
      <c r="J153" s="266">
        <f>+J151+J140</f>
        <v>16358381.780273348</v>
      </c>
    </row>
    <row r="154" spans="1:6" ht="13.5" thickTop="1">
      <c r="A154" s="8">
        <f>ROW()</f>
        <v>154</v>
      </c>
      <c r="C154" s="75" t="s">
        <v>89</v>
      </c>
      <c r="D154" s="280">
        <f>1/((1+$I$163)^F128)</f>
        <v>0.8859750155045627</v>
      </c>
      <c r="E154" s="76">
        <f>+D154*F153</f>
        <v>309031.7568884557</v>
      </c>
      <c r="F154" s="77"/>
    </row>
    <row r="155" spans="1:5" ht="12.75">
      <c r="A155" s="8">
        <f>ROW()</f>
        <v>155</v>
      </c>
      <c r="C155" s="75" t="s">
        <v>90</v>
      </c>
      <c r="D155" s="280">
        <f>1/((1+$I$163)^G128)</f>
        <v>0.7849517280983103</v>
      </c>
      <c r="E155" s="76">
        <f>+D155*G153</f>
        <v>287484.1363806845</v>
      </c>
    </row>
    <row r="156" spans="1:5" ht="12.75">
      <c r="A156" s="8">
        <f>ROW()</f>
        <v>156</v>
      </c>
      <c r="C156" s="75" t="s">
        <v>91</v>
      </c>
      <c r="D156" s="280">
        <f>1/((1+$I$163)^H128)</f>
        <v>0.6954476194722338</v>
      </c>
      <c r="E156" s="76">
        <f>+D156*H153</f>
        <v>267438.95029655227</v>
      </c>
    </row>
    <row r="157" spans="1:5" ht="12.75">
      <c r="A157" s="8">
        <f>ROW()</f>
        <v>157</v>
      </c>
      <c r="C157" s="75" t="s">
        <v>92</v>
      </c>
      <c r="D157" s="280">
        <f>1/((1+$I$163)^I128)</f>
        <v>0.6161492154445236</v>
      </c>
      <c r="E157" s="76">
        <f>+D157*I153</f>
        <v>248791.43954228767</v>
      </c>
    </row>
    <row r="158" spans="1:5" ht="13.5" thickBot="1">
      <c r="A158" s="8">
        <f>ROW()</f>
        <v>158</v>
      </c>
      <c r="C158" s="75" t="s">
        <v>93</v>
      </c>
      <c r="D158" s="280">
        <f>1/((1+$I$163)^J128)</f>
        <v>0.5458928107065859</v>
      </c>
      <c r="E158" s="76">
        <f>+D158*J153</f>
        <v>8929923.008644823</v>
      </c>
    </row>
    <row r="159" spans="1:12" ht="15" thickBot="1">
      <c r="A159" s="8">
        <f>ROW()</f>
        <v>159</v>
      </c>
      <c r="C159" s="75" t="s">
        <v>94</v>
      </c>
      <c r="D159" s="189"/>
      <c r="E159" s="78">
        <f>SUM(E154:E158)</f>
        <v>10042669.291752804</v>
      </c>
      <c r="F159" s="79"/>
      <c r="G159" s="240" t="s">
        <v>97</v>
      </c>
      <c r="H159" s="241"/>
      <c r="I159" s="242"/>
      <c r="K159" s="245" t="s">
        <v>227</v>
      </c>
      <c r="L159" s="246"/>
    </row>
    <row r="160" spans="1:12" ht="13.5" thickTop="1">
      <c r="A160" s="8">
        <f>ROW()</f>
        <v>160</v>
      </c>
      <c r="C160" s="75"/>
      <c r="E160" s="80"/>
      <c r="F160" s="79"/>
      <c r="G160" s="219" t="s">
        <v>153</v>
      </c>
      <c r="H160" s="220"/>
      <c r="I160" s="221">
        <f>+C66</f>
        <v>0.0225</v>
      </c>
      <c r="K160" s="236">
        <v>79000</v>
      </c>
      <c r="L160" s="237"/>
    </row>
    <row r="161" spans="1:12" ht="12.75">
      <c r="A161" s="8">
        <f>ROW()</f>
        <v>161</v>
      </c>
      <c r="C161" s="81" t="s">
        <v>147</v>
      </c>
      <c r="E161" s="82" t="s">
        <v>95</v>
      </c>
      <c r="F161" s="83"/>
      <c r="G161" s="219" t="s">
        <v>99</v>
      </c>
      <c r="H161" s="220"/>
      <c r="I161" s="222">
        <v>0.09</v>
      </c>
      <c r="K161" s="238">
        <f>+K160/G100</f>
        <v>0.05486111111111111</v>
      </c>
      <c r="L161" s="239" t="s">
        <v>177</v>
      </c>
    </row>
    <row r="162" spans="1:12" ht="13.5" thickBot="1">
      <c r="A162" s="8">
        <f>ROW()</f>
        <v>162</v>
      </c>
      <c r="C162" s="84" t="s">
        <v>96</v>
      </c>
      <c r="E162" s="76">
        <f>+E159</f>
        <v>10042669.291752804</v>
      </c>
      <c r="G162" s="219" t="s">
        <v>170</v>
      </c>
      <c r="H162" s="220"/>
      <c r="I162" s="223">
        <f>+L100</f>
        <v>1.18</v>
      </c>
      <c r="K162" s="99"/>
      <c r="L162" s="101"/>
    </row>
    <row r="163" spans="1:9" ht="13.5" thickBot="1">
      <c r="A163" s="8">
        <f>ROW()</f>
        <v>163</v>
      </c>
      <c r="C163" s="85" t="s">
        <v>98</v>
      </c>
      <c r="E163" s="86">
        <f>+G57</f>
        <v>1440000</v>
      </c>
      <c r="G163" s="224" t="s">
        <v>100</v>
      </c>
      <c r="H163" s="225"/>
      <c r="I163" s="226">
        <f>+I160+(I161*I162)</f>
        <v>0.12869999999999998</v>
      </c>
    </row>
    <row r="164" spans="1:5" ht="13.5" thickBot="1">
      <c r="A164" s="8">
        <f>ROW()</f>
        <v>164</v>
      </c>
      <c r="C164" s="85" t="s">
        <v>108</v>
      </c>
      <c r="E164" s="86">
        <f>-H57</f>
        <v>-879000</v>
      </c>
    </row>
    <row r="165" spans="1:11" ht="15" thickBot="1">
      <c r="A165" s="8">
        <f>ROW()</f>
        <v>165</v>
      </c>
      <c r="B165" s="38" t="s">
        <v>179</v>
      </c>
      <c r="C165" s="87"/>
      <c r="D165" s="87"/>
      <c r="E165" s="39">
        <f>+E163+E162+E164</f>
        <v>10603669.291752804</v>
      </c>
      <c r="G165" s="240" t="s">
        <v>171</v>
      </c>
      <c r="H165" s="241"/>
      <c r="I165" s="243" t="s">
        <v>172</v>
      </c>
      <c r="J165" s="243" t="s">
        <v>173</v>
      </c>
      <c r="K165" s="244" t="s">
        <v>175</v>
      </c>
    </row>
    <row r="166" spans="1:11" ht="12.75">
      <c r="A166" s="8">
        <f>ROW()</f>
        <v>166</v>
      </c>
      <c r="G166" s="219" t="s">
        <v>102</v>
      </c>
      <c r="H166" s="227">
        <f>+G100</f>
        <v>1440000</v>
      </c>
      <c r="I166" s="228">
        <f>+H166/SUM($H$166:$H$167)</f>
        <v>0.2804284323271665</v>
      </c>
      <c r="J166" s="229">
        <f>+K161*(1-D136)</f>
        <v>0.035111111111111114</v>
      </c>
      <c r="K166" s="230">
        <f>+J166*I166</f>
        <v>0.009846153846153848</v>
      </c>
    </row>
    <row r="167" spans="1:11" ht="12.75">
      <c r="A167" s="8">
        <f>ROW()</f>
        <v>167</v>
      </c>
      <c r="G167" s="219" t="s">
        <v>178</v>
      </c>
      <c r="H167" s="227">
        <f>+C12</f>
        <v>3695000</v>
      </c>
      <c r="I167" s="228">
        <f>+H167/SUM($H$166:$H$167)</f>
        <v>0.7195715676728335</v>
      </c>
      <c r="J167" s="231">
        <f>+I163</f>
        <v>0.12869999999999998</v>
      </c>
      <c r="K167" s="230">
        <f>+J167*I167</f>
        <v>0.09260886075949365</v>
      </c>
    </row>
    <row r="168" spans="1:11" ht="13.5" thickBot="1">
      <c r="A168" s="8">
        <f>ROW()</f>
        <v>168</v>
      </c>
      <c r="C168" s="4"/>
      <c r="G168" s="224"/>
      <c r="H168" s="232"/>
      <c r="I168" s="233">
        <f>SUM(I166:I167)</f>
        <v>1</v>
      </c>
      <c r="J168" s="234"/>
      <c r="K168" s="235">
        <f>SUM(K166:K167)</f>
        <v>0.1024550146056475</v>
      </c>
    </row>
    <row r="169" spans="1:3" ht="12.75">
      <c r="A169" s="8">
        <f>ROW()</f>
        <v>169</v>
      </c>
      <c r="B169" s="4"/>
      <c r="C169" s="4"/>
    </row>
    <row r="174" spans="14:15" ht="12.75">
      <c r="N174" t="s">
        <v>135</v>
      </c>
      <c r="O174" s="138">
        <f>+H33</f>
        <v>77.92999999999999</v>
      </c>
    </row>
    <row r="175" spans="14:15" ht="12.75">
      <c r="N175" t="s">
        <v>136</v>
      </c>
      <c r="O175" s="138">
        <f>+H35</f>
        <v>83.10445645432799</v>
      </c>
    </row>
    <row r="176" spans="14:15" ht="12.75">
      <c r="N176" t="s">
        <v>219</v>
      </c>
      <c r="O176" s="138">
        <f>+C81</f>
        <v>68.98954703832759</v>
      </c>
    </row>
    <row r="177" spans="14:15" ht="12.75">
      <c r="N177" t="s">
        <v>137</v>
      </c>
      <c r="O177" s="138">
        <f>+H37</f>
        <v>82.88399644735088</v>
      </c>
    </row>
    <row r="178" spans="14:15" ht="12.75">
      <c r="N178" t="s">
        <v>138</v>
      </c>
      <c r="O178" s="138">
        <f>+H38</f>
        <v>68.99531446066493</v>
      </c>
    </row>
    <row r="179" spans="14:15" ht="12.75">
      <c r="N179" t="s">
        <v>139</v>
      </c>
      <c r="O179" s="138">
        <f>+H39</f>
        <v>85.50713447201973</v>
      </c>
    </row>
    <row r="188" ht="12.75">
      <c r="A188" s="8">
        <f>ROW()</f>
        <v>188</v>
      </c>
    </row>
    <row r="189" ht="12.75">
      <c r="A189" s="277"/>
    </row>
    <row r="191" spans="4:10" ht="12.75">
      <c r="D191" s="37"/>
      <c r="F191" s="37"/>
      <c r="G191" s="37"/>
      <c r="H191" s="37"/>
      <c r="I191" s="37"/>
      <c r="J191" s="37"/>
    </row>
    <row r="192" spans="4:10" ht="12.75">
      <c r="D192" s="37"/>
      <c r="F192" s="37"/>
      <c r="G192" s="37"/>
      <c r="H192" s="37"/>
      <c r="I192" s="37"/>
      <c r="J192" s="37"/>
    </row>
    <row r="193" spans="4:10" ht="12.75">
      <c r="D193" s="37"/>
      <c r="F193" s="37"/>
      <c r="G193" s="37"/>
      <c r="H193" s="37"/>
      <c r="I193" s="37"/>
      <c r="J193" s="37"/>
    </row>
    <row r="194" spans="4:10" ht="12.75">
      <c r="D194" s="37"/>
      <c r="F194" s="37"/>
      <c r="G194" s="37"/>
      <c r="H194" s="37"/>
      <c r="I194" s="37"/>
      <c r="J194" s="37"/>
    </row>
    <row r="195" spans="4:10" ht="12.75">
      <c r="D195" s="37"/>
      <c r="F195" s="37"/>
      <c r="G195" s="37"/>
      <c r="H195" s="37"/>
      <c r="I195" s="37"/>
      <c r="J195" s="37"/>
    </row>
    <row r="196" spans="4:6" ht="12.75">
      <c r="D196" s="37"/>
      <c r="F196" s="37"/>
    </row>
    <row r="197" ht="12.75">
      <c r="D197" s="37"/>
    </row>
    <row r="198" ht="12.75">
      <c r="D198" s="37"/>
    </row>
    <row r="199" ht="12.75">
      <c r="D199" s="37"/>
    </row>
    <row r="200" ht="12.75">
      <c r="D200" s="37"/>
    </row>
    <row r="201" ht="12.75">
      <c r="D201" s="37"/>
    </row>
    <row r="202" ht="12.75">
      <c r="D202" s="37"/>
    </row>
    <row r="203" ht="12.75">
      <c r="D203" s="37"/>
    </row>
    <row r="204" ht="12.75">
      <c r="D204" s="37"/>
    </row>
    <row r="205" ht="12.75">
      <c r="D205" s="37"/>
    </row>
    <row r="206" ht="12.75">
      <c r="D206" s="37"/>
    </row>
    <row r="207" ht="12.75">
      <c r="D207" s="37"/>
    </row>
    <row r="208" ht="12.75">
      <c r="D208" s="37"/>
    </row>
    <row r="209" ht="12.75">
      <c r="D209" s="37"/>
    </row>
    <row r="210" ht="12.75">
      <c r="D210" s="37"/>
    </row>
    <row r="211" ht="12.75">
      <c r="D211" s="37"/>
    </row>
    <row r="212" ht="12.75">
      <c r="D212" s="37"/>
    </row>
    <row r="213" ht="12.75">
      <c r="D213" s="37"/>
    </row>
    <row r="214" ht="12.75">
      <c r="D214" s="37"/>
    </row>
    <row r="215" ht="12.75">
      <c r="D215" s="37"/>
    </row>
    <row r="216" ht="12.75">
      <c r="D216" s="37"/>
    </row>
    <row r="217" ht="12.75">
      <c r="D217" s="37"/>
    </row>
    <row r="218" ht="12.75">
      <c r="D218" s="37"/>
    </row>
    <row r="219" ht="12.75">
      <c r="D219" s="37"/>
    </row>
    <row r="220" ht="12.75">
      <c r="D220" s="37"/>
    </row>
    <row r="221" ht="12.75">
      <c r="D221" s="37"/>
    </row>
    <row r="222" ht="12.75">
      <c r="D222" s="37"/>
    </row>
    <row r="223" ht="12.75">
      <c r="D223" s="37"/>
    </row>
    <row r="224" ht="12.75">
      <c r="D224" s="37"/>
    </row>
    <row r="225" ht="12.75">
      <c r="D225" s="37"/>
    </row>
    <row r="226" ht="12.75">
      <c r="D226" s="37"/>
    </row>
  </sheetData>
  <sheetProtection/>
  <printOptions/>
  <pageMargins left="0.39" right="0.2" top="0.5" bottom="0.46" header="0.5" footer="0.5"/>
  <pageSetup fitToHeight="0" fitToWidth="1" horizontalDpi="600" verticalDpi="600" orientation="landscape" scale="81" r:id="rId2"/>
  <headerFooter alignWithMargins="0">
    <oddFooter>&amp;CPage &amp;P</oddFooter>
  </headerFooter>
  <rowBreaks count="4" manualBreakCount="4">
    <brk id="43" max="255" man="1"/>
    <brk id="85" max="255" man="1"/>
    <brk id="126" max="255" man="1"/>
    <brk id="1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Administrator</cp:lastModifiedBy>
  <cp:lastPrinted>2018-01-03T03:28:03Z</cp:lastPrinted>
  <dcterms:created xsi:type="dcterms:W3CDTF">2009-11-17T22:11:00Z</dcterms:created>
  <dcterms:modified xsi:type="dcterms:W3CDTF">2018-09-22T12:04:36Z</dcterms:modified>
  <cp:category/>
  <cp:version/>
  <cp:contentType/>
  <cp:contentStatus/>
</cp:coreProperties>
</file>