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EXAM Material/Midterm Exams/Chapter 1^J2^J4^J10^J11^J15/"/>
    </mc:Choice>
  </mc:AlternateContent>
  <xr:revisionPtr revIDLastSave="0" documentId="8_{B18B993E-DF1E-468D-9BC5-FDA56688FFD3}" xr6:coauthVersionLast="47" xr6:coauthVersionMax="47" xr10:uidLastSave="{00000000-0000-0000-0000-000000000000}"/>
  <bookViews>
    <workbookView xWindow="-110" yWindow="-110" windowWidth="19420" windowHeight="10420" activeTab="2" xr2:uid="{78DD2F93-8FF2-47C6-8EE9-21106D3D18F3}"/>
  </bookViews>
  <sheets>
    <sheet name="INTRODUCTION" sheetId="6" r:id="rId1"/>
    <sheet name="QUESTION 1" sheetId="2" r:id="rId2"/>
    <sheet name="QUESTION 2" sheetId="9" r:id="rId3"/>
    <sheet name="QUESTION 3" sheetId="8" r:id="rId4"/>
    <sheet name="QUESTION 4" sheetId="5" r:id="rId5"/>
    <sheet name="QUESTION 5" sheetId="10" r:id="rId6"/>
    <sheet name="QUESTION 6" sheetId="3" r:id="rId7"/>
    <sheet name="QUESTION 7" sheetId="4" r:id="rId8"/>
    <sheet name="QUESTION 8" sheetId="1" r:id="rId9"/>
    <sheet name="RESTICTED-SUMMARY ANSWERS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9" l="1"/>
  <c r="D60" i="7"/>
  <c r="D58" i="7"/>
  <c r="D40" i="7"/>
  <c r="C40" i="7"/>
  <c r="C37" i="7"/>
  <c r="C36" i="7"/>
  <c r="E17" i="3"/>
  <c r="F27" i="3" s="1"/>
  <c r="E16" i="3"/>
  <c r="E15" i="3"/>
  <c r="E14" i="3"/>
  <c r="E13" i="3"/>
  <c r="E12" i="3"/>
  <c r="D23" i="3"/>
  <c r="D19" i="3"/>
  <c r="E19" i="3"/>
  <c r="F20" i="3"/>
  <c r="F24" i="3" s="1"/>
  <c r="D88" i="1"/>
  <c r="D83" i="1"/>
  <c r="D82" i="1"/>
  <c r="D263" i="7" s="1"/>
  <c r="D81" i="1"/>
  <c r="D262" i="7" s="1"/>
  <c r="D74" i="1"/>
  <c r="D73" i="1"/>
  <c r="D75" i="1" s="1"/>
  <c r="D256" i="7" s="1"/>
  <c r="D67" i="1"/>
  <c r="D248" i="7" s="1"/>
  <c r="D66" i="1"/>
  <c r="D247" i="7" s="1"/>
  <c r="D65" i="1"/>
  <c r="D246" i="7" s="1"/>
  <c r="D64" i="1"/>
  <c r="D63" i="1"/>
  <c r="H62" i="1"/>
  <c r="G62" i="1"/>
  <c r="G243" i="7" s="1"/>
  <c r="D62" i="1"/>
  <c r="H61" i="1"/>
  <c r="H242" i="7" s="1"/>
  <c r="D61" i="1"/>
  <c r="D68" i="1" s="1"/>
  <c r="D249" i="7" s="1"/>
  <c r="H60" i="1"/>
  <c r="H241" i="7" s="1"/>
  <c r="G60" i="1"/>
  <c r="D60" i="1"/>
  <c r="H58" i="1"/>
  <c r="H57" i="1"/>
  <c r="H55" i="1"/>
  <c r="G55" i="1"/>
  <c r="D55" i="1"/>
  <c r="D236" i="7" s="1"/>
  <c r="H54" i="1"/>
  <c r="G54" i="1"/>
  <c r="D54" i="1"/>
  <c r="D53" i="1"/>
  <c r="H52" i="1"/>
  <c r="D52" i="1"/>
  <c r="D56" i="1" s="1"/>
  <c r="F30" i="4"/>
  <c r="F29" i="4"/>
  <c r="F28" i="4"/>
  <c r="G20" i="4"/>
  <c r="G17" i="4"/>
  <c r="G18" i="4" s="1"/>
  <c r="G16" i="4"/>
  <c r="G13" i="4"/>
  <c r="G11" i="4"/>
  <c r="G10" i="4"/>
  <c r="G9" i="4"/>
  <c r="G12" i="4" s="1"/>
  <c r="G14" i="4" s="1"/>
  <c r="C27" i="10"/>
  <c r="C124" i="7" s="1"/>
  <c r="C26" i="10"/>
  <c r="D26" i="10" s="1"/>
  <c r="C25" i="10"/>
  <c r="C122" i="7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C116" i="7" s="1"/>
  <c r="C18" i="10"/>
  <c r="D18" i="10" s="1"/>
  <c r="F33" i="5"/>
  <c r="F97" i="7" s="1"/>
  <c r="F32" i="5"/>
  <c r="F96" i="7" s="1"/>
  <c r="F31" i="5"/>
  <c r="F30" i="5"/>
  <c r="C30" i="5"/>
  <c r="C31" i="5" s="1"/>
  <c r="D26" i="5"/>
  <c r="D90" i="7" s="1"/>
  <c r="F11" i="5"/>
  <c r="H9" i="5"/>
  <c r="D15" i="5" s="1"/>
  <c r="D79" i="7" s="1"/>
  <c r="G9" i="5"/>
  <c r="F9" i="5"/>
  <c r="D22" i="5" s="1"/>
  <c r="D86" i="7" s="1"/>
  <c r="D21" i="5"/>
  <c r="D85" i="7" s="1"/>
  <c r="D20" i="5"/>
  <c r="D19" i="5"/>
  <c r="D83" i="7" s="1"/>
  <c r="C18" i="8"/>
  <c r="C66" i="7" s="1"/>
  <c r="C16" i="8"/>
  <c r="C17" i="8" s="1"/>
  <c r="C65" i="7" s="1"/>
  <c r="H14" i="8"/>
  <c r="F13" i="8"/>
  <c r="E25" i="9"/>
  <c r="E26" i="9" s="1"/>
  <c r="E50" i="7" s="1"/>
  <c r="G22" i="9"/>
  <c r="G21" i="9"/>
  <c r="G23" i="9" s="1"/>
  <c r="H21" i="9" s="1"/>
  <c r="E21" i="9"/>
  <c r="E20" i="9"/>
  <c r="G22" i="2"/>
  <c r="H22" i="2" s="1"/>
  <c r="F22" i="2"/>
  <c r="E22" i="2"/>
  <c r="G21" i="2"/>
  <c r="H21" i="2" s="1"/>
  <c r="F21" i="2"/>
  <c r="E21" i="2"/>
  <c r="F20" i="2"/>
  <c r="E20" i="2"/>
  <c r="G20" i="2" s="1"/>
  <c r="H20" i="2" s="1"/>
  <c r="G19" i="2"/>
  <c r="H19" i="2" s="1"/>
  <c r="F19" i="2"/>
  <c r="E19" i="2"/>
  <c r="M12" i="2"/>
  <c r="N12" i="2" s="1"/>
  <c r="L12" i="2"/>
  <c r="M11" i="2"/>
  <c r="N11" i="2" s="1"/>
  <c r="L11" i="2"/>
  <c r="M10" i="2"/>
  <c r="N10" i="2" s="1"/>
  <c r="L10" i="2"/>
  <c r="L9" i="2"/>
  <c r="L14" i="2" s="1"/>
  <c r="M9" i="2" s="1"/>
  <c r="F12" i="2"/>
  <c r="F11" i="2"/>
  <c r="F10" i="2"/>
  <c r="F9" i="2"/>
  <c r="F14" i="2" s="1"/>
  <c r="B129" i="7"/>
  <c r="I3" i="7"/>
  <c r="D3" i="7"/>
  <c r="H243" i="7"/>
  <c r="G241" i="7"/>
  <c r="H239" i="7"/>
  <c r="H238" i="7"/>
  <c r="H236" i="7"/>
  <c r="G236" i="7"/>
  <c r="H235" i="7"/>
  <c r="G235" i="7"/>
  <c r="H233" i="7"/>
  <c r="D269" i="7"/>
  <c r="D264" i="7"/>
  <c r="D255" i="7"/>
  <c r="D254" i="7"/>
  <c r="D245" i="7"/>
  <c r="D244" i="7"/>
  <c r="D243" i="7"/>
  <c r="D242" i="7"/>
  <c r="D241" i="7"/>
  <c r="D235" i="7"/>
  <c r="D234" i="7"/>
  <c r="F180" i="7"/>
  <c r="C117" i="7"/>
  <c r="C119" i="7"/>
  <c r="C121" i="7"/>
  <c r="C123" i="7"/>
  <c r="C115" i="7"/>
  <c r="D84" i="7"/>
  <c r="C64" i="7"/>
  <c r="E49" i="7"/>
  <c r="E45" i="7"/>
  <c r="E44" i="7"/>
  <c r="M14" i="7"/>
  <c r="L14" i="7"/>
  <c r="M13" i="7"/>
  <c r="L13" i="7"/>
  <c r="M12" i="7"/>
  <c r="L12" i="7"/>
  <c r="L11" i="7"/>
  <c r="F12" i="7"/>
  <c r="F13" i="7"/>
  <c r="F14" i="7"/>
  <c r="F182" i="7"/>
  <c r="F181" i="7"/>
  <c r="F95" i="7"/>
  <c r="F94" i="7"/>
  <c r="D27" i="5"/>
  <c r="F19" i="3" l="1"/>
  <c r="F21" i="3" s="1"/>
  <c r="F29" i="3" s="1"/>
  <c r="E23" i="3"/>
  <c r="F23" i="3" s="1"/>
  <c r="F25" i="3"/>
  <c r="D237" i="7"/>
  <c r="D70" i="1"/>
  <c r="D233" i="7"/>
  <c r="D84" i="1"/>
  <c r="D265" i="7" s="1"/>
  <c r="D117" i="7"/>
  <c r="D118" i="7"/>
  <c r="D119" i="7"/>
  <c r="D120" i="7"/>
  <c r="D121" i="7"/>
  <c r="D115" i="7"/>
  <c r="D123" i="7"/>
  <c r="C120" i="7"/>
  <c r="C118" i="7"/>
  <c r="D19" i="10"/>
  <c r="D25" i="10"/>
  <c r="D27" i="10"/>
  <c r="C94" i="7"/>
  <c r="H22" i="9"/>
  <c r="H23" i="2"/>
  <c r="H24" i="2" s="1"/>
  <c r="N9" i="2"/>
  <c r="M11" i="7"/>
  <c r="O10" i="2"/>
  <c r="O12" i="7" s="1"/>
  <c r="N12" i="7"/>
  <c r="N13" i="7"/>
  <c r="O11" i="2"/>
  <c r="O13" i="7" s="1"/>
  <c r="O12" i="2"/>
  <c r="O14" i="7" s="1"/>
  <c r="N14" i="7"/>
  <c r="G11" i="2"/>
  <c r="H11" i="2" s="1"/>
  <c r="I11" i="2" s="1"/>
  <c r="G9" i="2"/>
  <c r="H9" i="2" s="1"/>
  <c r="I9" i="2" s="1"/>
  <c r="I13" i="2" s="1"/>
  <c r="I14" i="2" s="1"/>
  <c r="G12" i="2"/>
  <c r="H12" i="2" s="1"/>
  <c r="I12" i="2" s="1"/>
  <c r="G10" i="2"/>
  <c r="H10" i="2" s="1"/>
  <c r="I10" i="2" s="1"/>
  <c r="F16" i="7"/>
  <c r="C95" i="7"/>
  <c r="F11" i="7"/>
  <c r="F26" i="3" l="1"/>
  <c r="F28" i="3" s="1"/>
  <c r="F30" i="3" s="1"/>
  <c r="C7" i="3" s="1"/>
  <c r="D251" i="7"/>
  <c r="D77" i="1"/>
  <c r="D122" i="7"/>
  <c r="D124" i="7"/>
  <c r="D29" i="10"/>
  <c r="E19" i="10" s="1"/>
  <c r="D116" i="7"/>
  <c r="E46" i="7"/>
  <c r="E23" i="9"/>
  <c r="E47" i="7" s="1"/>
  <c r="O9" i="2"/>
  <c r="N11" i="7"/>
  <c r="F22" i="7"/>
  <c r="F23" i="7"/>
  <c r="F24" i="7"/>
  <c r="F21" i="7"/>
  <c r="L16" i="7"/>
  <c r="G12" i="7"/>
  <c r="G13" i="7"/>
  <c r="G14" i="7"/>
  <c r="G11" i="7"/>
  <c r="H27" i="1"/>
  <c r="H10" i="1"/>
  <c r="D42" i="1"/>
  <c r="D33" i="1"/>
  <c r="C24" i="1"/>
  <c r="D19" i="1"/>
  <c r="D12" i="1"/>
  <c r="C22" i="4"/>
  <c r="C21" i="4"/>
  <c r="C20" i="4"/>
  <c r="C19" i="4"/>
  <c r="C17" i="4"/>
  <c r="C16" i="4"/>
  <c r="C15" i="4"/>
  <c r="C13" i="4"/>
  <c r="C12" i="4"/>
  <c r="C11" i="4"/>
  <c r="C10" i="4"/>
  <c r="C9" i="4"/>
  <c r="B5" i="3"/>
  <c r="D13" i="10"/>
  <c r="D12" i="10"/>
  <c r="D10" i="10"/>
  <c r="D9" i="10"/>
  <c r="D8" i="10"/>
  <c r="D25" i="5"/>
  <c r="C22" i="5"/>
  <c r="C21" i="5"/>
  <c r="C20" i="5"/>
  <c r="C19" i="5"/>
  <c r="D14" i="5"/>
  <c r="D13" i="5"/>
  <c r="D12" i="5"/>
  <c r="D11" i="5"/>
  <c r="D10" i="5"/>
  <c r="D9" i="5"/>
  <c r="D13" i="8"/>
  <c r="D11" i="8"/>
  <c r="D9" i="8"/>
  <c r="D8" i="9"/>
  <c r="E8" i="9"/>
  <c r="D9" i="9"/>
  <c r="E9" i="9"/>
  <c r="D10" i="9"/>
  <c r="E10" i="9"/>
  <c r="C9" i="9"/>
  <c r="C10" i="9"/>
  <c r="C8" i="9"/>
  <c r="C22" i="7"/>
  <c r="C23" i="7"/>
  <c r="C24" i="7"/>
  <c r="C21" i="7"/>
  <c r="K10" i="2"/>
  <c r="K11" i="2"/>
  <c r="K12" i="2"/>
  <c r="K9" i="2"/>
  <c r="E10" i="2"/>
  <c r="E11" i="2"/>
  <c r="E12" i="2"/>
  <c r="E9" i="2"/>
  <c r="C10" i="2"/>
  <c r="C20" i="2" s="1"/>
  <c r="C11" i="2"/>
  <c r="C21" i="2" s="1"/>
  <c r="C12" i="2"/>
  <c r="C22" i="2" s="1"/>
  <c r="C9" i="2"/>
  <c r="C19" i="2" s="1"/>
  <c r="C15" i="7"/>
  <c r="D231" i="7"/>
  <c r="AA225" i="7"/>
  <c r="C225" i="7"/>
  <c r="C44" i="1" s="1"/>
  <c r="D224" i="7"/>
  <c r="D43" i="1" s="1"/>
  <c r="C224" i="7"/>
  <c r="C43" i="1" s="1"/>
  <c r="C223" i="7"/>
  <c r="C226" i="7" s="1"/>
  <c r="AB222" i="7"/>
  <c r="D223" i="7" s="1"/>
  <c r="D219" i="7"/>
  <c r="D38" i="1" s="1"/>
  <c r="C219" i="7"/>
  <c r="C38" i="1" s="1"/>
  <c r="D218" i="7"/>
  <c r="D37" i="1" s="1"/>
  <c r="C218" i="7"/>
  <c r="C37" i="1" s="1"/>
  <c r="AB215" i="7"/>
  <c r="AB219" i="7" s="1"/>
  <c r="AA215" i="7"/>
  <c r="AA219" i="7" s="1"/>
  <c r="AA227" i="7" s="1"/>
  <c r="D215" i="7"/>
  <c r="D34" i="1" s="1"/>
  <c r="C215" i="7"/>
  <c r="C34" i="1" s="1"/>
  <c r="D214" i="7"/>
  <c r="C214" i="7"/>
  <c r="C33" i="1" s="1"/>
  <c r="D213" i="7"/>
  <c r="D32" i="1" s="1"/>
  <c r="C213" i="7"/>
  <c r="C32" i="1" s="1"/>
  <c r="D212" i="7"/>
  <c r="D31" i="1" s="1"/>
  <c r="C212" i="7"/>
  <c r="C31" i="1" s="1"/>
  <c r="D211" i="7"/>
  <c r="D30" i="1" s="1"/>
  <c r="C211" i="7"/>
  <c r="C30" i="1" s="1"/>
  <c r="H210" i="7"/>
  <c r="H29" i="1" s="1"/>
  <c r="G210" i="7"/>
  <c r="G29" i="1" s="1"/>
  <c r="H208" i="7"/>
  <c r="G208" i="7"/>
  <c r="G27" i="1" s="1"/>
  <c r="H206" i="7"/>
  <c r="H25" i="1" s="1"/>
  <c r="G206" i="7"/>
  <c r="G25" i="1" s="1"/>
  <c r="D206" i="7"/>
  <c r="D25" i="1" s="1"/>
  <c r="C206" i="7"/>
  <c r="C25" i="1" s="1"/>
  <c r="H205" i="7"/>
  <c r="H24" i="1" s="1"/>
  <c r="G205" i="7"/>
  <c r="G24" i="1" s="1"/>
  <c r="D205" i="7"/>
  <c r="D24" i="1" s="1"/>
  <c r="C205" i="7"/>
  <c r="H203" i="7"/>
  <c r="H22" i="1" s="1"/>
  <c r="G203" i="7"/>
  <c r="G22" i="1" s="1"/>
  <c r="AA202" i="7"/>
  <c r="AA206" i="7" s="1"/>
  <c r="D202" i="7"/>
  <c r="D21" i="1" s="1"/>
  <c r="C202" i="7"/>
  <c r="C21" i="1" s="1"/>
  <c r="AB200" i="7"/>
  <c r="AB202" i="7" s="1"/>
  <c r="AA200" i="7"/>
  <c r="D200" i="7"/>
  <c r="C200" i="7"/>
  <c r="C19" i="1" s="1"/>
  <c r="D199" i="7"/>
  <c r="D18" i="1" s="1"/>
  <c r="C199" i="7"/>
  <c r="C18" i="1" s="1"/>
  <c r="AE198" i="7"/>
  <c r="AD198" i="7"/>
  <c r="H198" i="7"/>
  <c r="H17" i="1" s="1"/>
  <c r="G198" i="7"/>
  <c r="G17" i="1" s="1"/>
  <c r="D198" i="7"/>
  <c r="D17" i="1" s="1"/>
  <c r="C198" i="7"/>
  <c r="C17" i="1" s="1"/>
  <c r="H197" i="7"/>
  <c r="H16" i="1" s="1"/>
  <c r="G197" i="7"/>
  <c r="G16" i="1" s="1"/>
  <c r="H196" i="7"/>
  <c r="G196" i="7"/>
  <c r="G15" i="1" s="1"/>
  <c r="AA194" i="7"/>
  <c r="D194" i="7"/>
  <c r="D13" i="1" s="1"/>
  <c r="C194" i="7"/>
  <c r="C13" i="1" s="1"/>
  <c r="D193" i="7"/>
  <c r="C193" i="7"/>
  <c r="C12" i="1" s="1"/>
  <c r="AE192" i="7"/>
  <c r="AE200" i="7" s="1"/>
  <c r="AE203" i="7" s="1"/>
  <c r="AE206" i="7" s="1"/>
  <c r="AE208" i="7" s="1"/>
  <c r="AE210" i="7" s="1"/>
  <c r="AB224" i="7" s="1"/>
  <c r="D225" i="7" s="1"/>
  <c r="D44" i="1" s="1"/>
  <c r="AD192" i="7"/>
  <c r="AD200" i="7" s="1"/>
  <c r="AD203" i="7" s="1"/>
  <c r="AD206" i="7" s="1"/>
  <c r="AD208" i="7" s="1"/>
  <c r="AD210" i="7" s="1"/>
  <c r="H192" i="7"/>
  <c r="H11" i="1" s="1"/>
  <c r="G192" i="7"/>
  <c r="G11" i="1" s="1"/>
  <c r="D192" i="7"/>
  <c r="D11" i="1" s="1"/>
  <c r="C192" i="7"/>
  <c r="C11" i="1" s="1"/>
  <c r="H191" i="7"/>
  <c r="H193" i="7" s="1"/>
  <c r="G191" i="7"/>
  <c r="G10" i="1" s="1"/>
  <c r="D191" i="7"/>
  <c r="D10" i="1" s="1"/>
  <c r="C191" i="7"/>
  <c r="C10" i="1" s="1"/>
  <c r="H190" i="7"/>
  <c r="H9" i="1" s="1"/>
  <c r="G190" i="7"/>
  <c r="G9" i="1" s="1"/>
  <c r="C190" i="7"/>
  <c r="C9" i="1" s="1"/>
  <c r="H188" i="7"/>
  <c r="H231" i="7" s="1"/>
  <c r="G188" i="7"/>
  <c r="G231" i="7" s="1"/>
  <c r="C166" i="7"/>
  <c r="C14" i="4" s="1"/>
  <c r="AC100" i="7"/>
  <c r="AC69" i="7"/>
  <c r="AC5" i="10"/>
  <c r="C2" i="10"/>
  <c r="A1" i="10"/>
  <c r="C8" i="3" l="1"/>
  <c r="C132" i="7" s="1"/>
  <c r="C131" i="7"/>
  <c r="D86" i="1"/>
  <c r="D258" i="7"/>
  <c r="E116" i="7"/>
  <c r="F19" i="10"/>
  <c r="F116" i="7" s="1"/>
  <c r="E20" i="10"/>
  <c r="E24" i="10"/>
  <c r="E21" i="10"/>
  <c r="E18" i="10"/>
  <c r="E26" i="10"/>
  <c r="E23" i="10"/>
  <c r="E22" i="10"/>
  <c r="E27" i="10"/>
  <c r="E25" i="10"/>
  <c r="O11" i="7"/>
  <c r="O13" i="2"/>
  <c r="O14" i="2" s="1"/>
  <c r="O16" i="7" s="1"/>
  <c r="H199" i="7"/>
  <c r="C216" i="7"/>
  <c r="C220" i="7" s="1"/>
  <c r="H15" i="1"/>
  <c r="C42" i="1"/>
  <c r="C25" i="7"/>
  <c r="C201" i="7"/>
  <c r="C195" i="7"/>
  <c r="D201" i="7"/>
  <c r="D216" i="7"/>
  <c r="D220" i="7" s="1"/>
  <c r="G193" i="7"/>
  <c r="G199" i="7"/>
  <c r="D226" i="7"/>
  <c r="D228" i="7" s="1"/>
  <c r="C228" i="7"/>
  <c r="H201" i="7"/>
  <c r="H204" i="7" s="1"/>
  <c r="H207" i="7" s="1"/>
  <c r="H209" i="7" s="1"/>
  <c r="H211" i="7" s="1"/>
  <c r="AB225" i="7"/>
  <c r="AB227" i="7" s="1"/>
  <c r="AB189" i="7" s="1"/>
  <c r="D267" i="7" l="1"/>
  <c r="D90" i="1"/>
  <c r="D271" i="7" s="1"/>
  <c r="F26" i="10"/>
  <c r="F123" i="7" s="1"/>
  <c r="E123" i="7"/>
  <c r="F23" i="10"/>
  <c r="F120" i="7" s="1"/>
  <c r="E120" i="7"/>
  <c r="F18" i="10"/>
  <c r="E115" i="7"/>
  <c r="E118" i="7"/>
  <c r="F21" i="10"/>
  <c r="F118" i="7" s="1"/>
  <c r="E121" i="7"/>
  <c r="F24" i="10"/>
  <c r="F121" i="7" s="1"/>
  <c r="E117" i="7"/>
  <c r="F20" i="10"/>
  <c r="F117" i="7" s="1"/>
  <c r="E122" i="7"/>
  <c r="F25" i="10"/>
  <c r="F122" i="7" s="1"/>
  <c r="F27" i="10"/>
  <c r="F124" i="7" s="1"/>
  <c r="E124" i="7"/>
  <c r="F22" i="10"/>
  <c r="F119" i="7" s="1"/>
  <c r="E119" i="7"/>
  <c r="C203" i="7"/>
  <c r="C207" i="7" s="1"/>
  <c r="C20" i="1"/>
  <c r="D203" i="7"/>
  <c r="D20" i="1"/>
  <c r="E24" i="7"/>
  <c r="H13" i="7"/>
  <c r="I13" i="7"/>
  <c r="E22" i="7"/>
  <c r="H14" i="7"/>
  <c r="I14" i="7"/>
  <c r="E21" i="7"/>
  <c r="E23" i="7"/>
  <c r="H12" i="7"/>
  <c r="I12" i="7"/>
  <c r="H11" i="7"/>
  <c r="D126" i="7"/>
  <c r="G201" i="7"/>
  <c r="G204" i="7" s="1"/>
  <c r="G207" i="7" s="1"/>
  <c r="G209" i="7" s="1"/>
  <c r="G211" i="7" s="1"/>
  <c r="AB194" i="7"/>
  <c r="AB206" i="7" s="1"/>
  <c r="D190" i="7"/>
  <c r="F29" i="10" l="1"/>
  <c r="F115" i="7"/>
  <c r="D195" i="7"/>
  <c r="D207" i="7" s="1"/>
  <c r="D9" i="1"/>
  <c r="I11" i="7"/>
  <c r="I16" i="7"/>
  <c r="H22" i="7"/>
  <c r="G22" i="7"/>
  <c r="G21" i="7"/>
  <c r="H24" i="7"/>
  <c r="G24" i="7"/>
  <c r="G23" i="7"/>
  <c r="H23" i="7"/>
  <c r="F126" i="7"/>
  <c r="C2" i="9"/>
  <c r="A1" i="9"/>
  <c r="C23" i="2"/>
  <c r="C13" i="2"/>
  <c r="H21" i="7" l="1"/>
  <c r="A1" i="1"/>
  <c r="A1" i="7"/>
  <c r="A1" i="8"/>
  <c r="A1" i="5"/>
  <c r="A1" i="4"/>
  <c r="A1" i="3"/>
  <c r="A1" i="2"/>
  <c r="M3" i="7"/>
  <c r="L4" i="6" s="1"/>
  <c r="AC5" i="5"/>
  <c r="C2" i="8"/>
  <c r="G12" i="1"/>
  <c r="C45" i="1"/>
  <c r="D35" i="1"/>
  <c r="D39" i="1" s="1"/>
  <c r="C35" i="1"/>
  <c r="C39" i="1" s="1"/>
  <c r="D22" i="1"/>
  <c r="C22" i="1"/>
  <c r="AE17" i="1"/>
  <c r="AD17" i="1"/>
  <c r="AE11" i="1"/>
  <c r="AD11" i="1"/>
  <c r="AA44" i="1"/>
  <c r="AB41" i="1"/>
  <c r="AB34" i="1"/>
  <c r="AB38" i="1"/>
  <c r="AA34" i="1"/>
  <c r="AA38" i="1"/>
  <c r="AB19" i="1"/>
  <c r="AB21" i="1"/>
  <c r="AA19" i="1"/>
  <c r="AA21" i="1"/>
  <c r="AA13" i="1"/>
  <c r="C2" i="5"/>
  <c r="C2" i="4"/>
  <c r="C2" i="3"/>
  <c r="C2" i="2"/>
  <c r="C2" i="1"/>
  <c r="D50" i="1"/>
  <c r="H7" i="1"/>
  <c r="H50" i="1"/>
  <c r="G7" i="1"/>
  <c r="G50" i="1"/>
  <c r="H18" i="1"/>
  <c r="AD19" i="1"/>
  <c r="AD22" i="1"/>
  <c r="AD25" i="1"/>
  <c r="AD27" i="1"/>
  <c r="AD29" i="1"/>
  <c r="AA25" i="1"/>
  <c r="AE19" i="1"/>
  <c r="AE22" i="1"/>
  <c r="AE25" i="1"/>
  <c r="AE27" i="1"/>
  <c r="AE29" i="1"/>
  <c r="AB43" i="1"/>
  <c r="D45" i="1"/>
  <c r="AA46" i="1"/>
  <c r="AB44" i="1"/>
  <c r="AB46" i="1"/>
  <c r="AB8" i="1"/>
  <c r="AB13" i="1"/>
  <c r="AB25" i="1"/>
  <c r="J2" i="1"/>
  <c r="H25" i="7" l="1"/>
  <c r="H26" i="7"/>
  <c r="H12" i="1"/>
  <c r="G18" i="1"/>
  <c r="G20" i="1" s="1"/>
  <c r="G23" i="1" s="1"/>
  <c r="G26" i="1" s="1"/>
  <c r="G28" i="1" s="1"/>
  <c r="G30" i="1" s="1"/>
  <c r="H20" i="1"/>
  <c r="H23" i="1" s="1"/>
  <c r="H26" i="1" s="1"/>
  <c r="H28" i="1" s="1"/>
  <c r="H30" i="1" s="1"/>
  <c r="D14" i="1"/>
  <c r="D26" i="1" s="1"/>
  <c r="C14" i="1"/>
  <c r="C26" i="1" s="1"/>
  <c r="C47" i="1"/>
  <c r="D47" i="1"/>
</calcChain>
</file>

<file path=xl/sharedStrings.xml><?xml version="1.0" encoding="utf-8"?>
<sst xmlns="http://schemas.openxmlformats.org/spreadsheetml/2006/main" count="561" uniqueCount="244">
  <si>
    <t>Balance Sheet (000's)</t>
  </si>
  <si>
    <t>Cash Flow Statement (000's)</t>
  </si>
  <si>
    <t>Income Statement (000's)</t>
  </si>
  <si>
    <t>Current Assets</t>
  </si>
  <si>
    <t>Revenues by Geography</t>
  </si>
  <si>
    <t xml:space="preserve"> Cash</t>
  </si>
  <si>
    <t>Net Income</t>
  </si>
  <si>
    <t xml:space="preserve">  U.S.</t>
  </si>
  <si>
    <t xml:space="preserve"> Accounts Receivable</t>
  </si>
  <si>
    <t xml:space="preserve">  Plus Depreciation</t>
  </si>
  <si>
    <t xml:space="preserve">  Europe</t>
  </si>
  <si>
    <t xml:space="preserve"> Inventories</t>
  </si>
  <si>
    <t xml:space="preserve">  Deffered Taxes</t>
  </si>
  <si>
    <t xml:space="preserve">  Asia</t>
  </si>
  <si>
    <t xml:space="preserve"> Prepaid Expenses</t>
  </si>
  <si>
    <t>Cash Income</t>
  </si>
  <si>
    <t>Total Revenue</t>
  </si>
  <si>
    <t>Total Current Assets</t>
  </si>
  <si>
    <t>Working Capital Activities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</si>
  <si>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</si>
  <si>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</si>
  <si>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</si>
  <si>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</si>
  <si>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</si>
  <si>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</si>
  <si>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</si>
  <si>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</si>
  <si>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Gross Profit</t>
  </si>
  <si>
    <t>Net P&amp;E</t>
  </si>
  <si>
    <t>Total Change in Working Capital</t>
  </si>
  <si>
    <t>Operating Expenses</t>
  </si>
  <si>
    <t>Long-Term Investments</t>
  </si>
  <si>
    <t>Operating Cash Flow (OCF)</t>
  </si>
  <si>
    <t>Total Assets</t>
  </si>
  <si>
    <t>Investment Activities</t>
  </si>
  <si>
    <t xml:space="preserve">  Capital Expenditures</t>
  </si>
  <si>
    <t>Liabilities and Owners Equity</t>
  </si>
  <si>
    <t xml:space="preserve">  Investments (Change)</t>
  </si>
  <si>
    <t>Total Investment Activities</t>
  </si>
  <si>
    <t>EBITDA</t>
  </si>
  <si>
    <t>Current Liabilities</t>
  </si>
  <si>
    <t xml:space="preserve"> Accounts Payable</t>
  </si>
  <si>
    <t>Cash Available Before Financing Activities</t>
  </si>
  <si>
    <t>Depreciation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</si>
  <si>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</si>
  <si>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</si>
  <si>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</si>
  <si>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</si>
  <si>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</si>
  <si>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 xml:space="preserve">   ST Debt Payments</t>
  </si>
  <si>
    <t>Total Current Liabilities</t>
  </si>
  <si>
    <t xml:space="preserve">   LT Payments</t>
  </si>
  <si>
    <t>Interest Expense</t>
  </si>
  <si>
    <t xml:space="preserve">   Equity Contribution</t>
  </si>
  <si>
    <t>Long-Term Debt:</t>
  </si>
  <si>
    <t>Total Financing Activities</t>
  </si>
  <si>
    <t>EBT</t>
  </si>
  <si>
    <t>Deferred Income Taxes</t>
  </si>
  <si>
    <t>Free Cash Flow</t>
  </si>
  <si>
    <t>Taxes</t>
  </si>
  <si>
    <t>Total Liabilties</t>
  </si>
  <si>
    <t>Beginning Cash</t>
  </si>
  <si>
    <t>Owners' Equity</t>
  </si>
  <si>
    <t>Ending Cash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</si>
  <si>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</si>
  <si>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</si>
  <si>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</si>
  <si>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</si>
  <si>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</si>
  <si>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Construct the Cash Flow Statement and calculate the ratios using the balance sheet and Income Statement Below</t>
  </si>
  <si>
    <t xml:space="preserve"> Other Current Assets</t>
  </si>
  <si>
    <t>Other Current Liabilities</t>
  </si>
  <si>
    <t>Year 1</t>
  </si>
  <si>
    <t>Year 2</t>
  </si>
  <si>
    <t xml:space="preserve">  Plus Amortization on Intagibles</t>
  </si>
  <si>
    <t>Intagibles Assets</t>
  </si>
  <si>
    <t>Amortization of Intagibles</t>
  </si>
  <si>
    <t xml:space="preserve">  Accounts Receivable</t>
  </si>
  <si>
    <t xml:space="preserve">  Inventory</t>
  </si>
  <si>
    <t xml:space="preserve">  Prepaid Expenses</t>
  </si>
  <si>
    <t xml:space="preserve">  Other Current Assets</t>
  </si>
  <si>
    <t xml:space="preserve">  Accounts Payable</t>
  </si>
  <si>
    <t xml:space="preserve">  Accrued Income Taxes</t>
  </si>
  <si>
    <t xml:space="preserve">  Accrued Expenses</t>
  </si>
  <si>
    <t xml:space="preserve">  Other Current Liabilities</t>
  </si>
  <si>
    <t>OUTPUT</t>
  </si>
  <si>
    <t>Ratio Analysis</t>
  </si>
  <si>
    <t>US's Business Revenue Growth</t>
  </si>
  <si>
    <t>Asia's Business Gross Margin</t>
  </si>
  <si>
    <t>Accounts Receivable Days</t>
  </si>
  <si>
    <t>Quick Ratio</t>
  </si>
  <si>
    <t>ROE</t>
  </si>
  <si>
    <t>Total Debt / EBITDA (Leverage)</t>
  </si>
  <si>
    <t>Inventory Days</t>
  </si>
  <si>
    <t>Days</t>
  </si>
  <si>
    <t xml:space="preserve">EBITDA Margin </t>
  </si>
  <si>
    <t xml:space="preserve">NAME:  </t>
  </si>
  <si>
    <t>INPUT</t>
  </si>
  <si>
    <t>Total Debt</t>
  </si>
  <si>
    <t xml:space="preserve">FIRST NAME:  </t>
  </si>
  <si>
    <t xml:space="preserve">LAST NAME:  </t>
  </si>
  <si>
    <t xml:space="preserve">   + DO NOT INSERT ANY LINES OR COLUMS</t>
  </si>
  <si>
    <t>PLEASE TYPE YOUR NAME</t>
  </si>
  <si>
    <t>Cash</t>
  </si>
  <si>
    <t>Total Liabilities</t>
  </si>
  <si>
    <t xml:space="preserve">   + SAVE THE EXAM WITH YOUR LAST NAME AND THE FIRST NAME</t>
  </si>
  <si>
    <t xml:space="preserve">   + MAKE SURE YOU SAVE YOUR WORK EVERY 10 MINUTES</t>
  </si>
  <si>
    <t xml:space="preserve">   + YOU HAVE 120 HOURS TO SAVE AND UPLOAD THE EXAM ON THE PROFESSOR'S DROPBOX</t>
  </si>
  <si>
    <t xml:space="preserve">   + WHEN YOU ARE DONE LET THE PROFESSOR KNOW THAT YOU UPLOADED THE EXAM SO HE CAN COMFIRM THAT HE RECEIVED</t>
  </si>
  <si>
    <t>Recording keystrokes</t>
  </si>
  <si>
    <t>BARUCH COLLEGE - MS FIN9793 MIDTERM EXAM</t>
  </si>
  <si>
    <t>Calculate the Average Returns and standard deviations of both the stock and bond portfolios</t>
  </si>
  <si>
    <t>Negative Growth</t>
  </si>
  <si>
    <t>Zero Growth</t>
  </si>
  <si>
    <t>Low Growth</t>
  </si>
  <si>
    <t>High Growth</t>
  </si>
  <si>
    <t xml:space="preserve">  Total</t>
  </si>
  <si>
    <t>Avg Ret =</t>
  </si>
  <si>
    <t>Stand Dev.=</t>
  </si>
  <si>
    <t>Economic Scenario</t>
  </si>
  <si>
    <t>Probability</t>
  </si>
  <si>
    <t>ROR</t>
  </si>
  <si>
    <t>STOCKS (S)</t>
  </si>
  <si>
    <t>BONDS (B)</t>
  </si>
  <si>
    <t>Using information above, please calculate correlation between Stocks and Bonds?</t>
  </si>
  <si>
    <t>Covariance=</t>
  </si>
  <si>
    <t>Correlation Coefficient =</t>
  </si>
  <si>
    <t>Assuming you are managing a portfolio of investments allocated as below. Use the following information to answer the following questions</t>
  </si>
  <si>
    <t>INPUT (PORTFOLIO)</t>
  </si>
  <si>
    <t>T-Bills (Risk Free)</t>
  </si>
  <si>
    <t>Bonds</t>
  </si>
  <si>
    <t>Stocks</t>
  </si>
  <si>
    <t>Correlation Bonds/Stock</t>
  </si>
  <si>
    <t>Stock Beta</t>
  </si>
  <si>
    <t>INPUT (MARKET BENCHMARK)</t>
  </si>
  <si>
    <t>S&amp;P 500 Index</t>
  </si>
  <si>
    <t>Weights</t>
  </si>
  <si>
    <t>Return</t>
  </si>
  <si>
    <t>Risk</t>
  </si>
  <si>
    <t>OUTPUT:</t>
  </si>
  <si>
    <t xml:space="preserve">Combined Average Total Portfolio Return </t>
  </si>
  <si>
    <t xml:space="preserve">Combined Average Risky Portfolio Return </t>
  </si>
  <si>
    <t xml:space="preserve">Combined Standard Deviation Risky Portfolio Return </t>
  </si>
  <si>
    <t>Sharpe Ratio of the Risky portfolio</t>
  </si>
  <si>
    <t>CAPM (Stock portfolio)</t>
  </si>
  <si>
    <t>Jensen's Alpha (stock portfolio)</t>
  </si>
  <si>
    <t>QUESTION 2 (15 points)</t>
  </si>
  <si>
    <t xml:space="preserve"> $ Profit</t>
  </si>
  <si>
    <t>HPR%</t>
  </si>
  <si>
    <t>FREE CALCULATION AREA</t>
  </si>
  <si>
    <t>Complete the output below given the information given</t>
  </si>
  <si>
    <t>Trading EBITDA Multiple</t>
  </si>
  <si>
    <t>Book Value of Equity</t>
  </si>
  <si>
    <t>million</t>
  </si>
  <si>
    <t>Shares Outstanding</t>
  </si>
  <si>
    <t>Dividends per share</t>
  </si>
  <si>
    <t>per share</t>
  </si>
  <si>
    <t>Risk Free Rate</t>
  </si>
  <si>
    <t>Market Return</t>
  </si>
  <si>
    <t>Beta</t>
  </si>
  <si>
    <t>Expected Dividend Growth</t>
  </si>
  <si>
    <t xml:space="preserve">Trading Stock Price </t>
  </si>
  <si>
    <t>Analyst's Target Price</t>
  </si>
  <si>
    <t>Stock Value Price based on Dividend Discount Model</t>
  </si>
  <si>
    <t>Stock Value Price based on Intrinsic Value</t>
  </si>
  <si>
    <t>QUESTION 3 (10 points)</t>
  </si>
  <si>
    <t>QUESTION 6 (10 points)</t>
  </si>
  <si>
    <t>Calculate the Invoice Price of the Elm Corp.'s Corporate Bond given the following information</t>
  </si>
  <si>
    <t>Issuer: Elm Corporation</t>
  </si>
  <si>
    <t>Face Value</t>
  </si>
  <si>
    <t>Trading Price</t>
  </si>
  <si>
    <t>Trading Date</t>
  </si>
  <si>
    <t>Wednesday, January 16</t>
  </si>
  <si>
    <t>Coupon Rate</t>
  </si>
  <si>
    <t>Coupon Payment Days</t>
  </si>
  <si>
    <t>Mar 31,  Sep 30</t>
  </si>
  <si>
    <t>Price =</t>
  </si>
  <si>
    <t>Invoice Price =</t>
  </si>
  <si>
    <t>Current Yield =</t>
  </si>
  <si>
    <t>Given the following data, calculate the YTM, all 4 years of YTC, YTW and Current Yield:</t>
  </si>
  <si>
    <t>Issuance Date=</t>
  </si>
  <si>
    <t>Settlement Date=</t>
  </si>
  <si>
    <t>Maturity Date=</t>
  </si>
  <si>
    <t>Current Market Price=</t>
  </si>
  <si>
    <t>Redemption value at Maturity %=</t>
  </si>
  <si>
    <t>Coupon Pmts per year=</t>
  </si>
  <si>
    <t>YTM =</t>
  </si>
  <si>
    <t>Call Price Provision</t>
  </si>
  <si>
    <t>Year</t>
  </si>
  <si>
    <t>Year 1  from Issuance Date=</t>
  </si>
  <si>
    <t>Year 2 from Issuance Date=</t>
  </si>
  <si>
    <t>Year 3  from Issuance Date=</t>
  </si>
  <si>
    <t>Year 4  from Issuance Date=</t>
  </si>
  <si>
    <t>YTW =</t>
  </si>
  <si>
    <t>Call 
Price</t>
  </si>
  <si>
    <t>BOND CONTRACTUAL INFO:</t>
  </si>
  <si>
    <t>Face Value Per Bond=</t>
  </si>
  <si>
    <t>Semi-Annual Coupon Payment $ =</t>
  </si>
  <si>
    <t>Term (years from issuance) =</t>
  </si>
  <si>
    <t>enter date (i.e. 1/20/2013)</t>
  </si>
  <si>
    <t>Enter
Dates</t>
  </si>
  <si>
    <t>BOND TRADING INFORMATION:</t>
  </si>
  <si>
    <t>Trading Date=</t>
  </si>
  <si>
    <t xml:space="preserve">YTC1= </t>
  </si>
  <si>
    <t xml:space="preserve">YTC2= </t>
  </si>
  <si>
    <t xml:space="preserve">YTC3= </t>
  </si>
  <si>
    <t xml:space="preserve">YTC4= </t>
  </si>
  <si>
    <t>QUESTION 4 (15 points)</t>
  </si>
  <si>
    <t>Given the following data, calculate the Price and Duration of the Bond:</t>
  </si>
  <si>
    <t>Yield</t>
  </si>
  <si>
    <t>Remaining Years to Maturity</t>
  </si>
  <si>
    <t xml:space="preserve">Redemption Price </t>
  </si>
  <si>
    <t>Frequency</t>
  </si>
  <si>
    <t>Time  until</t>
  </si>
  <si>
    <t>Payment</t>
  </si>
  <si>
    <t>PV of Pmt</t>
  </si>
  <si>
    <t>%</t>
  </si>
  <si>
    <t>Duration</t>
  </si>
  <si>
    <t>Payments</t>
  </si>
  <si>
    <t>Weight</t>
  </si>
  <si>
    <t>(Years)</t>
  </si>
  <si>
    <t>Price=</t>
  </si>
  <si>
    <t>Duration=</t>
  </si>
  <si>
    <t>QUESTION 1 (15 points)</t>
  </si>
  <si>
    <t>QUESTION 5 (15 points)</t>
  </si>
  <si>
    <t>QUESTION 7 (10 points)</t>
  </si>
  <si>
    <t>QUESTION 8 (20 points)</t>
  </si>
  <si>
    <t>Variance=</t>
  </si>
  <si>
    <t>years</t>
  </si>
  <si>
    <t>`</t>
  </si>
  <si>
    <r>
      <t xml:space="preserve">   + COMPLETE </t>
    </r>
    <r>
      <rPr>
        <b/>
        <u/>
        <sz val="18"/>
        <color rgb="FFFF0000"/>
        <rFont val="Calibri"/>
        <family val="2"/>
        <scheme val="minor"/>
      </rPr>
      <t xml:space="preserve">ALL 8 </t>
    </r>
    <r>
      <rPr>
        <b/>
        <sz val="18"/>
        <color rgb="FFFF0000"/>
        <rFont val="Calibri"/>
        <family val="2"/>
        <scheme val="minor"/>
      </rPr>
      <t xml:space="preserve">QUESTIONS FOUND IN EACH WORKSHEET (BLUE) </t>
    </r>
  </si>
  <si>
    <t>Price</t>
  </si>
  <si>
    <t>shares</t>
  </si>
  <si>
    <t>Buy</t>
  </si>
  <si>
    <t>EV</t>
  </si>
  <si>
    <t>Debt</t>
  </si>
  <si>
    <t>Equity</t>
  </si>
  <si>
    <t>Outs</t>
  </si>
  <si>
    <t>Stock</t>
  </si>
  <si>
    <t>Target</t>
  </si>
  <si>
    <t>Div</t>
  </si>
  <si>
    <t>ENTRY</t>
  </si>
  <si>
    <t>EXIT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</si>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</sst>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\x"/>
    <numFmt numFmtId="166" formatCode="_(* #,##0_);_(* \(#,##0\);_(* &quot;-&quot;??_);_(@_)"/>
    <numFmt numFmtId="167" formatCode="0.000%"/>
    <numFmt numFmtId="168" formatCode="0.0\x"/>
    <numFmt numFmtId="169" formatCode="0.0\X"/>
    <numFmt numFmtId="170" formatCode="0.0000"/>
    <numFmt numFmtId="171" formatCode="0.000\X"/>
    <numFmt numFmtId="172" formatCode="_(* #,##0.000_);_(* \(#,##0.000\);_(* &quot;-&quot;??_);_(@_)"/>
    <numFmt numFmtId="173" formatCode="0.0000%"/>
    <numFmt numFmtId="174" formatCode="&quot;$&quot;0.00"/>
    <numFmt numFmtId="17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67">
    <xf numFmtId="0" fontId="0" fillId="0" borderId="0" xfId="0"/>
    <xf numFmtId="0" fontId="9" fillId="0" borderId="0" xfId="0" applyFont="1"/>
    <xf numFmtId="41" fontId="7" fillId="0" borderId="0" xfId="1" applyNumberFormat="1" applyFont="1" applyFill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4" fillId="0" borderId="0" xfId="0" applyFont="1"/>
    <xf numFmtId="41" fontId="9" fillId="0" borderId="0" xfId="1" applyNumberFormat="1" applyFont="1" applyFill="1" applyBorder="1"/>
    <xf numFmtId="41" fontId="10" fillId="0" borderId="0" xfId="1" applyNumberFormat="1" applyFont="1" applyFill="1" applyBorder="1"/>
    <xf numFmtId="41" fontId="10" fillId="0" borderId="10" xfId="1" applyNumberFormat="1" applyFont="1" applyFill="1" applyBorder="1"/>
    <xf numFmtId="41" fontId="9" fillId="0" borderId="10" xfId="1" applyNumberFormat="1" applyFont="1" applyFill="1" applyBorder="1"/>
    <xf numFmtId="41" fontId="10" fillId="0" borderId="3" xfId="1" applyNumberFormat="1" applyFont="1" applyFill="1" applyBorder="1"/>
    <xf numFmtId="41" fontId="9" fillId="0" borderId="3" xfId="1" applyNumberFormat="1" applyFont="1" applyFill="1" applyBorder="1"/>
    <xf numFmtId="41" fontId="10" fillId="0" borderId="15" xfId="1" applyNumberFormat="1" applyFont="1" applyFill="1" applyBorder="1"/>
    <xf numFmtId="41" fontId="12" fillId="0" borderId="3" xfId="1" applyNumberFormat="1" applyFont="1" applyFill="1" applyBorder="1"/>
    <xf numFmtId="0" fontId="2" fillId="4" borderId="0" xfId="0" applyFont="1" applyFill="1"/>
    <xf numFmtId="164" fontId="10" fillId="0" borderId="0" xfId="3" applyNumberFormat="1" applyFont="1" applyFill="1"/>
    <xf numFmtId="0" fontId="7" fillId="3" borderId="10" xfId="0" applyFont="1" applyFill="1" applyBorder="1"/>
    <xf numFmtId="0" fontId="12" fillId="3" borderId="10" xfId="0" applyFont="1" applyFill="1" applyBorder="1" applyAlignment="1">
      <alignment horizontal="center"/>
    </xf>
    <xf numFmtId="0" fontId="13" fillId="4" borderId="0" xfId="0" applyFont="1" applyFill="1"/>
    <xf numFmtId="0" fontId="5" fillId="4" borderId="0" xfId="0" applyFont="1" applyFill="1" applyAlignment="1">
      <alignment horizontal="right"/>
    </xf>
    <xf numFmtId="0" fontId="12" fillId="3" borderId="10" xfId="0" applyFont="1" applyFill="1" applyBorder="1"/>
    <xf numFmtId="0" fontId="0" fillId="0" borderId="0" xfId="0" applyAlignment="1">
      <alignment wrapText="1"/>
    </xf>
    <xf numFmtId="0" fontId="0" fillId="5" borderId="0" xfId="0" applyFill="1"/>
    <xf numFmtId="10" fontId="0" fillId="0" borderId="0" xfId="0" applyNumberFormat="1"/>
    <xf numFmtId="0" fontId="0" fillId="0" borderId="2" xfId="0" applyBorder="1"/>
    <xf numFmtId="10" fontId="0" fillId="0" borderId="2" xfId="0" applyNumberFormat="1" applyBorder="1"/>
    <xf numFmtId="0" fontId="3" fillId="6" borderId="0" xfId="0" applyFont="1" applyFill="1"/>
    <xf numFmtId="0" fontId="0" fillId="0" borderId="0" xfId="0" applyAlignment="1">
      <alignment horizontal="center"/>
    </xf>
    <xf numFmtId="166" fontId="0" fillId="0" borderId="0" xfId="1" applyNumberFormat="1" applyFont="1"/>
    <xf numFmtId="0" fontId="0" fillId="0" borderId="0" xfId="0" applyAlignment="1">
      <alignment vertical="top" wrapText="1"/>
    </xf>
    <xf numFmtId="0" fontId="4" fillId="5" borderId="0" xfId="0" applyFont="1" applyFill="1"/>
    <xf numFmtId="168" fontId="0" fillId="0" borderId="0" xfId="0" applyNumberFormat="1"/>
    <xf numFmtId="164" fontId="0" fillId="0" borderId="0" xfId="3" applyNumberFormat="1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16" fillId="6" borderId="12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166" fontId="4" fillId="0" borderId="11" xfId="1" applyNumberFormat="1" applyFont="1" applyBorder="1"/>
    <xf numFmtId="0" fontId="16" fillId="5" borderId="0" xfId="0" applyFont="1" applyFill="1"/>
    <xf numFmtId="0" fontId="12" fillId="5" borderId="0" xfId="0" applyFont="1" applyFill="1" applyAlignment="1">
      <alignment horizontal="right" vertical="center"/>
    </xf>
    <xf numFmtId="0" fontId="12" fillId="7" borderId="0" xfId="0" applyFont="1" applyFill="1" applyAlignment="1">
      <alignment horizontal="right" vertical="center"/>
    </xf>
    <xf numFmtId="0" fontId="0" fillId="7" borderId="0" xfId="0" applyFill="1" applyAlignment="1">
      <alignment horizontal="center"/>
    </xf>
    <xf numFmtId="0" fontId="16" fillId="7" borderId="0" xfId="0" applyFont="1" applyFill="1" applyAlignment="1">
      <alignment horizontal="left"/>
    </xf>
    <xf numFmtId="0" fontId="16" fillId="7" borderId="0" xfId="0" applyFont="1" applyFill="1" applyAlignment="1"/>
    <xf numFmtId="0" fontId="0" fillId="7" borderId="0" xfId="0" applyFill="1" applyAlignment="1"/>
    <xf numFmtId="0" fontId="3" fillId="7" borderId="0" xfId="0" applyFont="1" applyFill="1" applyAlignment="1"/>
    <xf numFmtId="0" fontId="4" fillId="7" borderId="0" xfId="0" applyFont="1" applyFill="1" applyAlignment="1"/>
    <xf numFmtId="0" fontId="10" fillId="0" borderId="0" xfId="0" applyFont="1"/>
    <xf numFmtId="0" fontId="12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9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12" fillId="0" borderId="0" xfId="0" applyFont="1"/>
    <xf numFmtId="41" fontId="10" fillId="0" borderId="0" xfId="0" applyNumberFormat="1" applyFont="1"/>
    <xf numFmtId="41" fontId="0" fillId="0" borderId="0" xfId="0" applyNumberFormat="1"/>
    <xf numFmtId="0" fontId="8" fillId="0" borderId="0" xfId="0" applyFont="1"/>
    <xf numFmtId="41" fontId="7" fillId="6" borderId="2" xfId="1" applyNumberFormat="1" applyFont="1" applyFill="1" applyBorder="1"/>
    <xf numFmtId="164" fontId="10" fillId="6" borderId="2" xfId="3" applyNumberFormat="1" applyFont="1" applyFill="1" applyBorder="1"/>
    <xf numFmtId="41" fontId="7" fillId="6" borderId="7" xfId="1" applyNumberFormat="1" applyFont="1" applyFill="1" applyBorder="1"/>
    <xf numFmtId="43" fontId="10" fillId="6" borderId="2" xfId="1" applyFont="1" applyFill="1" applyBorder="1"/>
    <xf numFmtId="165" fontId="10" fillId="6" borderId="2" xfId="0" applyNumberFormat="1" applyFont="1" applyFill="1" applyBorder="1"/>
    <xf numFmtId="166" fontId="0" fillId="6" borderId="2" xfId="1" applyNumberFormat="1" applyFont="1" applyFill="1" applyBorder="1"/>
    <xf numFmtId="166" fontId="12" fillId="0" borderId="0" xfId="1" applyNumberFormat="1" applyFont="1" applyAlignment="1">
      <alignment horizontal="right" vertical="center"/>
    </xf>
    <xf numFmtId="166" fontId="5" fillId="4" borderId="0" xfId="1" applyNumberFormat="1" applyFont="1" applyFill="1" applyAlignment="1">
      <alignment horizontal="right"/>
    </xf>
    <xf numFmtId="0" fontId="15" fillId="5" borderId="0" xfId="0" applyFont="1" applyFill="1"/>
    <xf numFmtId="0" fontId="0" fillId="2" borderId="11" xfId="0" applyFill="1" applyBorder="1" applyAlignment="1">
      <alignment horizontal="center"/>
    </xf>
    <xf numFmtId="0" fontId="0" fillId="5" borderId="1" xfId="0" applyFill="1" applyBorder="1"/>
    <xf numFmtId="0" fontId="0" fillId="5" borderId="15" xfId="0" applyFill="1" applyBorder="1"/>
    <xf numFmtId="0" fontId="0" fillId="2" borderId="11" xfId="0" applyFill="1" applyBorder="1" applyAlignment="1">
      <alignment horizontal="center" vertical="center"/>
    </xf>
    <xf numFmtId="0" fontId="18" fillId="5" borderId="15" xfId="0" applyFont="1" applyFill="1" applyBorder="1"/>
    <xf numFmtId="0" fontId="19" fillId="5" borderId="15" xfId="0" applyFont="1" applyFill="1" applyBorder="1"/>
    <xf numFmtId="0" fontId="15" fillId="5" borderId="0" xfId="0" applyFont="1" applyFill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center"/>
    </xf>
    <xf numFmtId="0" fontId="0" fillId="5" borderId="0" xfId="0" applyFill="1" applyBorder="1"/>
    <xf numFmtId="0" fontId="16" fillId="6" borderId="12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0" fontId="21" fillId="0" borderId="0" xfId="0" applyFont="1"/>
    <xf numFmtId="2" fontId="0" fillId="0" borderId="0" xfId="0" applyNumberFormat="1"/>
    <xf numFmtId="2" fontId="4" fillId="0" borderId="0" xfId="0" applyNumberFormat="1" applyFont="1"/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70" fontId="4" fillId="6" borderId="11" xfId="1" applyNumberFormat="1" applyFont="1" applyFill="1" applyBorder="1"/>
    <xf numFmtId="0" fontId="12" fillId="3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0" fontId="4" fillId="6" borderId="2" xfId="3" applyNumberFormat="1" applyFont="1" applyFill="1" applyBorder="1"/>
    <xf numFmtId="172" fontId="4" fillId="6" borderId="2" xfId="1" applyNumberFormat="1" applyFont="1" applyFill="1" applyBorder="1"/>
    <xf numFmtId="10" fontId="4" fillId="6" borderId="20" xfId="3" applyNumberFormat="1" applyFont="1" applyFill="1" applyBorder="1"/>
    <xf numFmtId="0" fontId="5" fillId="3" borderId="10" xfId="0" applyFont="1" applyFill="1" applyBorder="1"/>
    <xf numFmtId="166" fontId="5" fillId="3" borderId="10" xfId="1" applyNumberFormat="1" applyFont="1" applyFill="1" applyBorder="1"/>
    <xf numFmtId="0" fontId="0" fillId="0" borderId="15" xfId="0" applyFont="1" applyBorder="1"/>
    <xf numFmtId="0" fontId="12" fillId="0" borderId="0" xfId="0" applyFont="1" applyAlignment="1">
      <alignment vertical="top"/>
    </xf>
    <xf numFmtId="44" fontId="4" fillId="6" borderId="2" xfId="2" applyFont="1" applyFill="1" applyBorder="1"/>
    <xf numFmtId="0" fontId="0" fillId="0" borderId="0" xfId="0" applyBorder="1"/>
    <xf numFmtId="10" fontId="21" fillId="0" borderId="0" xfId="0" applyNumberFormat="1" applyFont="1"/>
    <xf numFmtId="0" fontId="12" fillId="0" borderId="0" xfId="0" applyFont="1" applyBorder="1" applyAlignment="1">
      <alignment horizontal="right"/>
    </xf>
    <xf numFmtId="0" fontId="25" fillId="8" borderId="2" xfId="0" applyFont="1" applyFill="1" applyBorder="1" applyAlignment="1">
      <alignment horizontal="center"/>
    </xf>
    <xf numFmtId="0" fontId="17" fillId="0" borderId="0" xfId="0" applyFont="1" applyBorder="1"/>
    <xf numFmtId="0" fontId="2" fillId="4" borderId="0" xfId="0" applyFont="1" applyFill="1" applyBorder="1"/>
    <xf numFmtId="0" fontId="23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0" borderId="0" xfId="0" applyFont="1" applyBorder="1"/>
    <xf numFmtId="0" fontId="0" fillId="8" borderId="0" xfId="0" applyFill="1" applyBorder="1"/>
    <xf numFmtId="43" fontId="21" fillId="8" borderId="0" xfId="1" applyFont="1" applyFill="1" applyBorder="1"/>
    <xf numFmtId="0" fontId="4" fillId="5" borderId="0" xfId="0" applyFont="1" applyFill="1" applyBorder="1"/>
    <xf numFmtId="0" fontId="2" fillId="4" borderId="10" xfId="0" applyFont="1" applyFill="1" applyBorder="1"/>
    <xf numFmtId="0" fontId="2" fillId="4" borderId="3" xfId="0" applyFont="1" applyFill="1" applyBorder="1"/>
    <xf numFmtId="0" fontId="1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7" fillId="0" borderId="2" xfId="0" applyFont="1" applyBorder="1"/>
    <xf numFmtId="0" fontId="0" fillId="0" borderId="0" xfId="0" applyAlignment="1"/>
    <xf numFmtId="0" fontId="12" fillId="8" borderId="2" xfId="0" applyFont="1" applyFill="1" applyBorder="1" applyAlignment="1">
      <alignment horizontal="center"/>
    </xf>
    <xf numFmtId="43" fontId="12" fillId="0" borderId="0" xfId="4" applyFont="1"/>
    <xf numFmtId="170" fontId="0" fillId="0" borderId="2" xfId="0" applyNumberFormat="1" applyBorder="1"/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0" fillId="7" borderId="0" xfId="0" applyFill="1"/>
    <xf numFmtId="0" fontId="4" fillId="7" borderId="0" xfId="0" applyFont="1" applyFill="1"/>
    <xf numFmtId="0" fontId="3" fillId="7" borderId="0" xfId="0" applyFont="1" applyFill="1"/>
    <xf numFmtId="0" fontId="0" fillId="7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center" vertical="center"/>
    </xf>
    <xf numFmtId="0" fontId="0" fillId="7" borderId="0" xfId="0" applyFont="1" applyFill="1"/>
    <xf numFmtId="0" fontId="12" fillId="7" borderId="10" xfId="0" applyFont="1" applyFill="1" applyBorder="1" applyAlignment="1">
      <alignment horizontal="center" vertical="center" wrapText="1"/>
    </xf>
    <xf numFmtId="0" fontId="0" fillId="7" borderId="1" xfId="0" applyFill="1" applyBorder="1"/>
    <xf numFmtId="164" fontId="21" fillId="7" borderId="1" xfId="3" applyNumberFormat="1" applyFont="1" applyFill="1" applyBorder="1" applyAlignment="1">
      <alignment horizontal="center"/>
    </xf>
    <xf numFmtId="10" fontId="21" fillId="7" borderId="1" xfId="3" applyNumberFormat="1" applyFont="1" applyFill="1" applyBorder="1"/>
    <xf numFmtId="170" fontId="0" fillId="7" borderId="1" xfId="0" applyNumberFormat="1" applyFill="1" applyBorder="1"/>
    <xf numFmtId="0" fontId="0" fillId="7" borderId="15" xfId="0" applyFill="1" applyBorder="1"/>
    <xf numFmtId="164" fontId="21" fillId="7" borderId="15" xfId="3" applyNumberFormat="1" applyFont="1" applyFill="1" applyBorder="1" applyAlignment="1">
      <alignment horizontal="center"/>
    </xf>
    <xf numFmtId="10" fontId="21" fillId="7" borderId="15" xfId="3" applyNumberFormat="1" applyFont="1" applyFill="1" applyBorder="1"/>
    <xf numFmtId="170" fontId="0" fillId="7" borderId="15" xfId="0" applyNumberFormat="1" applyFill="1" applyBorder="1"/>
    <xf numFmtId="164" fontId="0" fillId="7" borderId="23" xfId="3" applyNumberFormat="1" applyFont="1" applyFill="1" applyBorder="1" applyAlignment="1">
      <alignment horizontal="center"/>
    </xf>
    <xf numFmtId="2" fontId="0" fillId="7" borderId="0" xfId="0" applyNumberFormat="1" applyFill="1"/>
    <xf numFmtId="170" fontId="4" fillId="7" borderId="22" xfId="0" applyNumberFormat="1" applyFont="1" applyFill="1" applyBorder="1"/>
    <xf numFmtId="2" fontId="4" fillId="7" borderId="0" xfId="0" applyNumberFormat="1" applyFont="1" applyFill="1"/>
    <xf numFmtId="0" fontId="4" fillId="7" borderId="0" xfId="0" applyFont="1" applyFill="1" applyAlignment="1">
      <alignment horizontal="right"/>
    </xf>
    <xf numFmtId="10" fontId="4" fillId="7" borderId="11" xfId="3" applyNumberFormat="1" applyFont="1" applyFill="1" applyBorder="1"/>
    <xf numFmtId="0" fontId="7" fillId="7" borderId="0" xfId="0" applyFont="1" applyFill="1" applyAlignment="1">
      <alignment horizontal="right"/>
    </xf>
    <xf numFmtId="0" fontId="22" fillId="7" borderId="22" xfId="0" applyFont="1" applyFill="1" applyBorder="1" applyAlignment="1">
      <alignment horizontal="center" vertical="center" wrapText="1"/>
    </xf>
    <xf numFmtId="0" fontId="0" fillId="7" borderId="22" xfId="0" applyFont="1" applyFill="1" applyBorder="1"/>
    <xf numFmtId="0" fontId="22" fillId="7" borderId="22" xfId="0" applyFont="1" applyFill="1" applyBorder="1" applyAlignment="1">
      <alignment horizontal="right" vertical="center" wrapText="1"/>
    </xf>
    <xf numFmtId="0" fontId="7" fillId="7" borderId="0" xfId="0" applyFont="1" applyFill="1"/>
    <xf numFmtId="0" fontId="4" fillId="7" borderId="7" xfId="0" applyFont="1" applyFill="1" applyBorder="1" applyAlignment="1">
      <alignment horizontal="center"/>
    </xf>
    <xf numFmtId="0" fontId="0" fillId="7" borderId="1" xfId="0" applyFont="1" applyFill="1" applyBorder="1"/>
    <xf numFmtId="10" fontId="21" fillId="7" borderId="20" xfId="3" applyNumberFormat="1" applyFont="1" applyFill="1" applyBorder="1" applyAlignment="1">
      <alignment horizontal="center"/>
    </xf>
    <xf numFmtId="0" fontId="0" fillId="7" borderId="15" xfId="0" applyFont="1" applyFill="1" applyBorder="1"/>
    <xf numFmtId="10" fontId="21" fillId="7" borderId="2" xfId="3" applyNumberFormat="1" applyFont="1" applyFill="1" applyBorder="1" applyAlignment="1">
      <alignment horizontal="center"/>
    </xf>
    <xf numFmtId="0" fontId="0" fillId="7" borderId="2" xfId="0" applyFont="1" applyFill="1" applyBorder="1"/>
    <xf numFmtId="170" fontId="21" fillId="7" borderId="2" xfId="0" applyNumberFormat="1" applyFont="1" applyFill="1" applyBorder="1"/>
    <xf numFmtId="171" fontId="21" fillId="7" borderId="2" xfId="0" applyNumberFormat="1" applyFont="1" applyFill="1" applyBorder="1"/>
    <xf numFmtId="10" fontId="21" fillId="7" borderId="20" xfId="3" applyNumberFormat="1" applyFont="1" applyFill="1" applyBorder="1"/>
    <xf numFmtId="10" fontId="21" fillId="7" borderId="20" xfId="0" applyNumberFormat="1" applyFont="1" applyFill="1" applyBorder="1"/>
    <xf numFmtId="0" fontId="5" fillId="7" borderId="10" xfId="0" applyFont="1" applyFill="1" applyBorder="1"/>
    <xf numFmtId="166" fontId="5" fillId="7" borderId="10" xfId="1" applyNumberFormat="1" applyFont="1" applyFill="1" applyBorder="1"/>
    <xf numFmtId="0" fontId="10" fillId="7" borderId="25" xfId="0" applyFont="1" applyFill="1" applyBorder="1"/>
    <xf numFmtId="0" fontId="0" fillId="7" borderId="25" xfId="0" applyFont="1" applyFill="1" applyBorder="1"/>
    <xf numFmtId="0" fontId="0" fillId="7" borderId="24" xfId="0" applyFont="1" applyFill="1" applyBorder="1"/>
    <xf numFmtId="10" fontId="4" fillId="7" borderId="20" xfId="3" applyNumberFormat="1" applyFont="1" applyFill="1" applyBorder="1"/>
    <xf numFmtId="0" fontId="10" fillId="7" borderId="15" xfId="0" applyFont="1" applyFill="1" applyBorder="1"/>
    <xf numFmtId="0" fontId="0" fillId="7" borderId="18" xfId="0" applyFont="1" applyFill="1" applyBorder="1"/>
    <xf numFmtId="10" fontId="4" fillId="7" borderId="2" xfId="3" applyNumberFormat="1" applyFont="1" applyFill="1" applyBorder="1"/>
    <xf numFmtId="0" fontId="10" fillId="7" borderId="0" xfId="0" applyFont="1" applyFill="1"/>
    <xf numFmtId="0" fontId="12" fillId="7" borderId="0" xfId="0" applyFont="1" applyFill="1"/>
    <xf numFmtId="0" fontId="2" fillId="7" borderId="0" xfId="0" applyFont="1" applyFill="1"/>
    <xf numFmtId="0" fontId="12" fillId="7" borderId="17" xfId="0" applyFont="1" applyFill="1" applyBorder="1"/>
    <xf numFmtId="0" fontId="0" fillId="7" borderId="18" xfId="0" applyFill="1" applyBorder="1"/>
    <xf numFmtId="0" fontId="12" fillId="7" borderId="27" xfId="0" applyFont="1" applyFill="1" applyBorder="1"/>
    <xf numFmtId="166" fontId="12" fillId="7" borderId="1" xfId="4" applyNumberFormat="1" applyFont="1" applyFill="1" applyBorder="1"/>
    <xf numFmtId="0" fontId="12" fillId="7" borderId="29" xfId="0" applyFont="1" applyFill="1" applyBorder="1"/>
    <xf numFmtId="166" fontId="12" fillId="7" borderId="15" xfId="4" applyNumberFormat="1" applyFont="1" applyFill="1" applyBorder="1"/>
    <xf numFmtId="10" fontId="12" fillId="7" borderId="15" xfId="3" applyNumberFormat="1" applyFont="1" applyFill="1" applyBorder="1"/>
    <xf numFmtId="0" fontId="12" fillId="7" borderId="30" xfId="0" applyFont="1" applyFill="1" applyBorder="1"/>
    <xf numFmtId="166" fontId="12" fillId="7" borderId="22" xfId="4" quotePrefix="1" applyNumberFormat="1" applyFont="1" applyFill="1" applyBorder="1" applyAlignment="1">
      <alignment horizontal="right"/>
    </xf>
    <xf numFmtId="166" fontId="0" fillId="7" borderId="0" xfId="1" applyNumberFormat="1" applyFont="1" applyFill="1"/>
    <xf numFmtId="0" fontId="12" fillId="7" borderId="18" xfId="0" applyFont="1" applyFill="1" applyBorder="1" applyAlignment="1">
      <alignment horizontal="left"/>
    </xf>
    <xf numFmtId="166" fontId="4" fillId="7" borderId="11" xfId="1" applyNumberFormat="1" applyFont="1" applyFill="1" applyBorder="1"/>
    <xf numFmtId="168" fontId="0" fillId="7" borderId="0" xfId="0" applyNumberFormat="1" applyFill="1"/>
    <xf numFmtId="0" fontId="0" fillId="7" borderId="0" xfId="0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17" fillId="7" borderId="0" xfId="0" applyFont="1" applyFill="1" applyBorder="1"/>
    <xf numFmtId="0" fontId="23" fillId="7" borderId="0" xfId="0" applyFont="1" applyFill="1" applyBorder="1"/>
    <xf numFmtId="0" fontId="24" fillId="7" borderId="0" xfId="0" quotePrefix="1" applyFont="1" applyFill="1" applyBorder="1"/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25" fillId="7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14" fontId="22" fillId="7" borderId="2" xfId="3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right"/>
    </xf>
    <xf numFmtId="0" fontId="12" fillId="7" borderId="0" xfId="0" applyFont="1" applyFill="1" applyBorder="1"/>
    <xf numFmtId="0" fontId="17" fillId="7" borderId="2" xfId="0" applyFont="1" applyFill="1" applyBorder="1"/>
    <xf numFmtId="0" fontId="0" fillId="7" borderId="2" xfId="0" applyFill="1" applyBorder="1"/>
    <xf numFmtId="43" fontId="21" fillId="7" borderId="0" xfId="1" applyFont="1" applyFill="1" applyBorder="1"/>
    <xf numFmtId="0" fontId="2" fillId="7" borderId="3" xfId="0" applyFont="1" applyFill="1" applyBorder="1"/>
    <xf numFmtId="0" fontId="12" fillId="7" borderId="2" xfId="0" applyFont="1" applyFill="1" applyBorder="1" applyAlignment="1">
      <alignment horizontal="right"/>
    </xf>
    <xf numFmtId="173" fontId="12" fillId="7" borderId="2" xfId="3" quotePrefix="1" applyNumberFormat="1" applyFont="1" applyFill="1" applyBorder="1"/>
    <xf numFmtId="0" fontId="4" fillId="7" borderId="2" xfId="0" applyFont="1" applyFill="1" applyBorder="1" applyAlignment="1">
      <alignment horizontal="right"/>
    </xf>
    <xf numFmtId="173" fontId="12" fillId="7" borderId="2" xfId="3" quotePrefix="1" applyNumberFormat="1" applyFont="1" applyFill="1" applyBorder="1" applyAlignment="1">
      <alignment horizontal="center"/>
    </xf>
    <xf numFmtId="0" fontId="12" fillId="7" borderId="8" xfId="0" applyFont="1" applyFill="1" applyBorder="1"/>
    <xf numFmtId="0" fontId="12" fillId="7" borderId="1" xfId="0" applyFont="1" applyFill="1" applyBorder="1"/>
    <xf numFmtId="0" fontId="12" fillId="7" borderId="15" xfId="0" applyFont="1" applyFill="1" applyBorder="1"/>
    <xf numFmtId="0" fontId="12" fillId="7" borderId="0" xfId="0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 wrapText="1"/>
    </xf>
    <xf numFmtId="0" fontId="12" fillId="7" borderId="2" xfId="0" applyFont="1" applyFill="1" applyBorder="1" applyAlignment="1">
      <alignment horizontal="center"/>
    </xf>
    <xf numFmtId="43" fontId="12" fillId="7" borderId="2" xfId="4" applyFont="1" applyFill="1" applyBorder="1"/>
    <xf numFmtId="43" fontId="12" fillId="7" borderId="2" xfId="4" applyFont="1" applyFill="1" applyBorder="1" applyAlignment="1">
      <alignment horizontal="right"/>
    </xf>
    <xf numFmtId="10" fontId="12" fillId="7" borderId="2" xfId="0" applyNumberFormat="1" applyFont="1" applyFill="1" applyBorder="1"/>
    <xf numFmtId="170" fontId="12" fillId="7" borderId="17" xfId="0" applyNumberFormat="1" applyFont="1" applyFill="1" applyBorder="1"/>
    <xf numFmtId="43" fontId="12" fillId="7" borderId="0" xfId="4" applyFont="1" applyFill="1"/>
    <xf numFmtId="0" fontId="12" fillId="7" borderId="0" xfId="0" applyFont="1" applyFill="1" applyAlignment="1">
      <alignment horizontal="right"/>
    </xf>
    <xf numFmtId="10" fontId="12" fillId="7" borderId="0" xfId="0" applyNumberFormat="1" applyFont="1" applyFill="1" applyAlignment="1">
      <alignment horizontal="right"/>
    </xf>
    <xf numFmtId="2" fontId="12" fillId="7" borderId="11" xfId="0" applyNumberFormat="1" applyFont="1" applyFill="1" applyBorder="1" applyAlignment="1">
      <alignment horizontal="center"/>
    </xf>
    <xf numFmtId="0" fontId="12" fillId="7" borderId="0" xfId="0" applyFont="1" applyFill="1" applyAlignment="1">
      <alignment vertical="top"/>
    </xf>
    <xf numFmtId="44" fontId="4" fillId="7" borderId="2" xfId="2" applyFont="1" applyFill="1" applyBorder="1"/>
    <xf numFmtId="0" fontId="0" fillId="7" borderId="26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10" fontId="0" fillId="7" borderId="2" xfId="0" applyNumberFormat="1" applyFill="1" applyBorder="1"/>
    <xf numFmtId="166" fontId="0" fillId="7" borderId="2" xfId="1" applyNumberFormat="1" applyFont="1" applyFill="1" applyBorder="1"/>
    <xf numFmtId="0" fontId="21" fillId="7" borderId="0" xfId="0" applyFont="1" applyFill="1"/>
    <xf numFmtId="0" fontId="21" fillId="7" borderId="0" xfId="0" applyFont="1" applyFill="1" applyAlignment="1">
      <alignment vertical="top" wrapText="1"/>
    </xf>
    <xf numFmtId="10" fontId="21" fillId="7" borderId="0" xfId="0" applyNumberFormat="1" applyFont="1" applyFill="1"/>
    <xf numFmtId="0" fontId="0" fillId="7" borderId="0" xfId="0" applyFill="1" applyAlignment="1">
      <alignment vertical="top" wrapText="1"/>
    </xf>
    <xf numFmtId="0" fontId="0" fillId="7" borderId="0" xfId="0" applyFill="1" applyAlignment="1">
      <alignment wrapText="1"/>
    </xf>
    <xf numFmtId="0" fontId="6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right" vertical="center"/>
    </xf>
    <xf numFmtId="0" fontId="1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1" fontId="9" fillId="7" borderId="0" xfId="1" applyNumberFormat="1" applyFont="1" applyFill="1" applyBorder="1"/>
    <xf numFmtId="41" fontId="10" fillId="7" borderId="10" xfId="1" applyNumberFormat="1" applyFont="1" applyFill="1" applyBorder="1"/>
    <xf numFmtId="41" fontId="10" fillId="7" borderId="0" xfId="1" applyNumberFormat="1" applyFont="1" applyFill="1" applyBorder="1"/>
    <xf numFmtId="41" fontId="9" fillId="7" borderId="10" xfId="1" applyNumberFormat="1" applyFont="1" applyFill="1" applyBorder="1"/>
    <xf numFmtId="41" fontId="10" fillId="7" borderId="3" xfId="1" applyNumberFormat="1" applyFont="1" applyFill="1" applyBorder="1"/>
    <xf numFmtId="41" fontId="9" fillId="7" borderId="3" xfId="1" applyNumberFormat="1" applyFont="1" applyFill="1" applyBorder="1"/>
    <xf numFmtId="41" fontId="12" fillId="7" borderId="3" xfId="1" applyNumberFormat="1" applyFont="1" applyFill="1" applyBorder="1"/>
    <xf numFmtId="41" fontId="10" fillId="7" borderId="15" xfId="1" applyNumberFormat="1" applyFont="1" applyFill="1" applyBorder="1"/>
    <xf numFmtId="41" fontId="10" fillId="7" borderId="0" xfId="0" applyNumberFormat="1" applyFont="1" applyFill="1"/>
    <xf numFmtId="41" fontId="0" fillId="7" borderId="0" xfId="0" applyNumberFormat="1" applyFill="1"/>
    <xf numFmtId="0" fontId="12" fillId="7" borderId="10" xfId="0" applyFont="1" applyFill="1" applyBorder="1"/>
    <xf numFmtId="0" fontId="7" fillId="7" borderId="10" xfId="0" applyFont="1" applyFill="1" applyBorder="1"/>
    <xf numFmtId="0" fontId="12" fillId="7" borderId="10" xfId="0" applyFont="1" applyFill="1" applyBorder="1" applyAlignment="1">
      <alignment horizontal="center"/>
    </xf>
    <xf numFmtId="0" fontId="8" fillId="7" borderId="0" xfId="0" applyFont="1" applyFill="1"/>
    <xf numFmtId="41" fontId="7" fillId="7" borderId="2" xfId="1" applyNumberFormat="1" applyFont="1" applyFill="1" applyBorder="1"/>
    <xf numFmtId="164" fontId="10" fillId="7" borderId="0" xfId="3" applyNumberFormat="1" applyFont="1" applyFill="1"/>
    <xf numFmtId="164" fontId="10" fillId="7" borderId="2" xfId="3" applyNumberFormat="1" applyFont="1" applyFill="1" applyBorder="1"/>
    <xf numFmtId="164" fontId="10" fillId="7" borderId="17" xfId="3" applyNumberFormat="1" applyFont="1" applyFill="1" applyBorder="1"/>
    <xf numFmtId="0" fontId="9" fillId="7" borderId="0" xfId="0" applyFont="1" applyFill="1"/>
    <xf numFmtId="41" fontId="7" fillId="7" borderId="7" xfId="1" applyNumberFormat="1" applyFont="1" applyFill="1" applyBorder="1"/>
    <xf numFmtId="41" fontId="7" fillId="7" borderId="0" xfId="1" applyNumberFormat="1" applyFont="1" applyFill="1" applyBorder="1"/>
    <xf numFmtId="43" fontId="10" fillId="7" borderId="2" xfId="1" applyFont="1" applyFill="1" applyBorder="1"/>
    <xf numFmtId="165" fontId="10" fillId="7" borderId="2" xfId="0" applyNumberFormat="1" applyFont="1" applyFill="1" applyBorder="1"/>
    <xf numFmtId="0" fontId="13" fillId="9" borderId="0" xfId="0" applyFont="1" applyFill="1"/>
    <xf numFmtId="0" fontId="5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 vertical="center"/>
    </xf>
    <xf numFmtId="0" fontId="0" fillId="9" borderId="0" xfId="0" applyFill="1"/>
    <xf numFmtId="166" fontId="5" fillId="9" borderId="0" xfId="1" applyNumberFormat="1" applyFont="1" applyFill="1" applyAlignment="1">
      <alignment horizontal="right"/>
    </xf>
    <xf numFmtId="0" fontId="12" fillId="7" borderId="3" xfId="0" applyFont="1" applyFill="1" applyBorder="1"/>
    <xf numFmtId="0" fontId="12" fillId="7" borderId="0" xfId="0" applyFont="1" applyFill="1" applyAlignment="1">
      <alignment vertical="top" wrapText="1"/>
    </xf>
    <xf numFmtId="10" fontId="12" fillId="7" borderId="0" xfId="0" applyNumberFormat="1" applyFont="1" applyFill="1"/>
    <xf numFmtId="0" fontId="10" fillId="0" borderId="0" xfId="0" applyFont="1" applyBorder="1"/>
    <xf numFmtId="0" fontId="26" fillId="0" borderId="0" xfId="0" applyFont="1" applyAlignment="1">
      <alignment vertical="top" wrapText="1"/>
    </xf>
    <xf numFmtId="0" fontId="0" fillId="0" borderId="0" xfId="0" applyFont="1" applyBorder="1"/>
    <xf numFmtId="0" fontId="12" fillId="3" borderId="3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2" fillId="3" borderId="2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170" fontId="10" fillId="0" borderId="2" xfId="0" applyNumberFormat="1" applyFont="1" applyBorder="1"/>
    <xf numFmtId="0" fontId="0" fillId="0" borderId="2" xfId="0" applyFont="1" applyBorder="1" applyAlignment="1">
      <alignment horizontal="left"/>
    </xf>
    <xf numFmtId="0" fontId="12" fillId="3" borderId="10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164" fontId="12" fillId="7" borderId="2" xfId="3" applyNumberFormat="1" applyFont="1" applyFill="1" applyBorder="1" applyAlignment="1">
      <alignment horizontal="center"/>
    </xf>
    <xf numFmtId="10" fontId="12" fillId="7" borderId="2" xfId="3" applyNumberFormat="1" applyFont="1" applyFill="1" applyBorder="1"/>
    <xf numFmtId="164" fontId="4" fillId="7" borderId="23" xfId="3" applyNumberFormat="1" applyFont="1" applyFill="1" applyBorder="1" applyAlignment="1">
      <alignment horizontal="center"/>
    </xf>
    <xf numFmtId="164" fontId="4" fillId="7" borderId="2" xfId="3" applyNumberFormat="1" applyFont="1" applyFill="1" applyBorder="1" applyAlignment="1">
      <alignment horizontal="center"/>
    </xf>
    <xf numFmtId="164" fontId="4" fillId="7" borderId="7" xfId="3" applyNumberFormat="1" applyFont="1" applyFill="1" applyBorder="1" applyAlignment="1">
      <alignment horizontal="center"/>
    </xf>
    <xf numFmtId="10" fontId="10" fillId="7" borderId="20" xfId="3" applyNumberFormat="1" applyFont="1" applyFill="1" applyBorder="1" applyAlignment="1">
      <alignment horizontal="center"/>
    </xf>
    <xf numFmtId="10" fontId="10" fillId="7" borderId="20" xfId="3" applyNumberFormat="1" applyFont="1" applyFill="1" applyBorder="1"/>
    <xf numFmtId="10" fontId="10" fillId="7" borderId="20" xfId="0" applyNumberFormat="1" applyFont="1" applyFill="1" applyBorder="1"/>
    <xf numFmtId="0" fontId="10" fillId="7" borderId="17" xfId="0" applyFont="1" applyFill="1" applyBorder="1"/>
    <xf numFmtId="166" fontId="10" fillId="7" borderId="9" xfId="4" applyNumberFormat="1" applyFont="1" applyFill="1" applyBorder="1" applyAlignment="1">
      <alignment horizontal="right"/>
    </xf>
    <xf numFmtId="172" fontId="10" fillId="7" borderId="18" xfId="4" applyNumberFormat="1" applyFont="1" applyFill="1" applyBorder="1" applyAlignment="1">
      <alignment horizontal="right"/>
    </xf>
    <xf numFmtId="166" fontId="10" fillId="7" borderId="18" xfId="4" applyNumberFormat="1" applyFont="1" applyFill="1" applyBorder="1" applyAlignment="1">
      <alignment horizontal="right"/>
    </xf>
    <xf numFmtId="10" fontId="10" fillId="7" borderId="18" xfId="3" applyNumberFormat="1" applyFont="1" applyFill="1" applyBorder="1" applyAlignment="1">
      <alignment horizontal="right"/>
    </xf>
    <xf numFmtId="166" fontId="12" fillId="7" borderId="15" xfId="4" quotePrefix="1" applyNumberFormat="1" applyFont="1" applyFill="1" applyBorder="1" applyAlignment="1">
      <alignment horizontal="right"/>
    </xf>
    <xf numFmtId="166" fontId="10" fillId="7" borderId="18" xfId="4" quotePrefix="1" applyNumberFormat="1" applyFont="1" applyFill="1" applyBorder="1" applyAlignment="1">
      <alignment horizontal="right"/>
    </xf>
    <xf numFmtId="14" fontId="10" fillId="7" borderId="2" xfId="0" applyNumberFormat="1" applyFont="1" applyFill="1" applyBorder="1" applyAlignment="1">
      <alignment horizontal="right"/>
    </xf>
    <xf numFmtId="166" fontId="10" fillId="7" borderId="2" xfId="1" applyNumberFormat="1" applyFont="1" applyFill="1" applyBorder="1"/>
    <xf numFmtId="174" fontId="10" fillId="7" borderId="2" xfId="2" applyNumberFormat="1" applyFont="1" applyFill="1" applyBorder="1"/>
    <xf numFmtId="167" fontId="1" fillId="7" borderId="2" xfId="5" applyNumberFormat="1" applyFont="1" applyFill="1" applyBorder="1"/>
    <xf numFmtId="0" fontId="10" fillId="7" borderId="8" xfId="0" applyFont="1" applyFill="1" applyBorder="1"/>
    <xf numFmtId="0" fontId="10" fillId="7" borderId="1" xfId="0" applyFont="1" applyFill="1" applyBorder="1"/>
    <xf numFmtId="0" fontId="0" fillId="7" borderId="2" xfId="0" applyFont="1" applyFill="1" applyBorder="1" applyAlignment="1">
      <alignment horizontal="right"/>
    </xf>
    <xf numFmtId="171" fontId="10" fillId="7" borderId="2" xfId="0" applyNumberFormat="1" applyFont="1" applyFill="1" applyBorder="1"/>
    <xf numFmtId="44" fontId="10" fillId="7" borderId="2" xfId="2" applyFont="1" applyFill="1" applyBorder="1"/>
    <xf numFmtId="10" fontId="10" fillId="7" borderId="2" xfId="0" applyNumberFormat="1" applyFont="1" applyFill="1" applyBorder="1"/>
    <xf numFmtId="167" fontId="10" fillId="0" borderId="2" xfId="3" applyNumberFormat="1" applyFont="1" applyBorder="1"/>
    <xf numFmtId="167" fontId="4" fillId="6" borderId="11" xfId="3" applyNumberFormat="1" applyFont="1" applyFill="1" applyBorder="1"/>
    <xf numFmtId="170" fontId="4" fillId="0" borderId="2" xfId="0" applyNumberFormat="1" applyFont="1" applyBorder="1"/>
    <xf numFmtId="167" fontId="4" fillId="6" borderId="32" xfId="3" applyNumberFormat="1" applyFont="1" applyFill="1" applyBorder="1"/>
    <xf numFmtId="2" fontId="0" fillId="0" borderId="0" xfId="0" applyNumberFormat="1" applyAlignment="1">
      <alignment horizontal="right"/>
    </xf>
    <xf numFmtId="170" fontId="4" fillId="8" borderId="16" xfId="1" applyNumberFormat="1" applyFont="1" applyFill="1" applyBorder="1"/>
    <xf numFmtId="0" fontId="27" fillId="0" borderId="0" xfId="0" applyFont="1"/>
    <xf numFmtId="170" fontId="10" fillId="7" borderId="2" xfId="0" applyNumberFormat="1" applyFont="1" applyFill="1" applyBorder="1"/>
    <xf numFmtId="0" fontId="10" fillId="0" borderId="33" xfId="0" applyFont="1" applyFill="1" applyBorder="1"/>
    <xf numFmtId="0" fontId="0" fillId="0" borderId="25" xfId="0" applyFont="1" applyFill="1" applyBorder="1"/>
    <xf numFmtId="0" fontId="0" fillId="0" borderId="24" xfId="0" applyFont="1" applyFill="1" applyBorder="1"/>
    <xf numFmtId="0" fontId="10" fillId="0" borderId="17" xfId="0" applyFont="1" applyFill="1" applyBorder="1"/>
    <xf numFmtId="0" fontId="0" fillId="0" borderId="15" xfId="0" applyFont="1" applyFill="1" applyBorder="1"/>
    <xf numFmtId="0" fontId="0" fillId="0" borderId="18" xfId="0" applyFont="1" applyFill="1" applyBorder="1"/>
    <xf numFmtId="0" fontId="10" fillId="0" borderId="0" xfId="0" applyFont="1" applyFill="1"/>
    <xf numFmtId="0" fontId="0" fillId="0" borderId="0" xfId="0" applyFont="1" applyFill="1"/>
    <xf numFmtId="43" fontId="4" fillId="6" borderId="20" xfId="1" applyFont="1" applyFill="1" applyBorder="1"/>
    <xf numFmtId="164" fontId="0" fillId="0" borderId="0" xfId="3" applyNumberFormat="1" applyFont="1" applyBorder="1"/>
    <xf numFmtId="10" fontId="12" fillId="6" borderId="2" xfId="3" quotePrefix="1" applyNumberFormat="1" applyFont="1" applyFill="1" applyBorder="1"/>
    <xf numFmtId="10" fontId="12" fillId="6" borderId="2" xfId="3" applyNumberFormat="1" applyFont="1" applyFill="1" applyBorder="1"/>
    <xf numFmtId="14" fontId="10" fillId="6" borderId="2" xfId="0" applyNumberFormat="1" applyFont="1" applyFill="1" applyBorder="1"/>
    <xf numFmtId="14" fontId="25" fillId="6" borderId="2" xfId="3" applyNumberFormat="1" applyFont="1" applyFill="1" applyBorder="1" applyAlignment="1">
      <alignment horizontal="center"/>
    </xf>
    <xf numFmtId="0" fontId="12" fillId="5" borderId="19" xfId="0" applyFont="1" applyFill="1" applyBorder="1"/>
    <xf numFmtId="0" fontId="12" fillId="5" borderId="20" xfId="0" applyFont="1" applyFill="1" applyBorder="1"/>
    <xf numFmtId="0" fontId="12" fillId="5" borderId="1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14" fontId="12" fillId="5" borderId="19" xfId="0" applyNumberFormat="1" applyFont="1" applyFill="1" applyBorder="1" applyAlignment="1">
      <alignment horizontal="center"/>
    </xf>
    <xf numFmtId="14" fontId="12" fillId="5" borderId="20" xfId="0" applyNumberFormat="1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 wrapText="1"/>
    </xf>
    <xf numFmtId="43" fontId="12" fillId="6" borderId="2" xfId="4" applyFont="1" applyFill="1" applyBorder="1" applyAlignment="1">
      <alignment horizontal="center" vertical="center"/>
    </xf>
    <xf numFmtId="10" fontId="12" fillId="6" borderId="2" xfId="0" applyNumberFormat="1" applyFont="1" applyFill="1" applyBorder="1" applyAlignment="1">
      <alignment horizontal="center" vertical="center"/>
    </xf>
    <xf numFmtId="170" fontId="12" fillId="6" borderId="17" xfId="0" applyNumberFormat="1" applyFont="1" applyFill="1" applyBorder="1" applyAlignment="1">
      <alignment horizontal="center" vertical="center"/>
    </xf>
    <xf numFmtId="43" fontId="12" fillId="0" borderId="0" xfId="4" applyFont="1" applyAlignment="1">
      <alignment horizontal="center" vertical="center"/>
    </xf>
    <xf numFmtId="43" fontId="12" fillId="6" borderId="11" xfId="4" applyFont="1" applyFill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2" fontId="12" fillId="6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1" fillId="7" borderId="20" xfId="4" applyNumberFormat="1" applyFont="1" applyFill="1" applyBorder="1"/>
    <xf numFmtId="43" fontId="4" fillId="7" borderId="20" xfId="1" applyFont="1" applyFill="1" applyBorder="1"/>
    <xf numFmtId="43" fontId="4" fillId="7" borderId="2" xfId="3" applyNumberFormat="1" applyFont="1" applyFill="1" applyBorder="1"/>
    <xf numFmtId="14" fontId="12" fillId="7" borderId="2" xfId="0" applyNumberFormat="1" applyFont="1" applyFill="1" applyBorder="1"/>
    <xf numFmtId="43" fontId="12" fillId="7" borderId="2" xfId="1" applyNumberFormat="1" applyFont="1" applyFill="1" applyBorder="1"/>
    <xf numFmtId="166" fontId="28" fillId="7" borderId="28" xfId="4" applyNumberFormat="1" applyFont="1" applyFill="1" applyBorder="1" applyAlignment="1">
      <alignment horizontal="right"/>
    </xf>
    <xf numFmtId="172" fontId="28" fillId="7" borderId="21" xfId="4" applyNumberFormat="1" applyFont="1" applyFill="1" applyBorder="1" applyAlignment="1">
      <alignment horizontal="right"/>
    </xf>
    <xf numFmtId="166" fontId="28" fillId="7" borderId="21" xfId="4" applyNumberFormat="1" applyFont="1" applyFill="1" applyBorder="1" applyAlignment="1">
      <alignment horizontal="right"/>
    </xf>
    <xf numFmtId="10" fontId="28" fillId="7" borderId="21" xfId="3" applyNumberFormat="1" applyFont="1" applyFill="1" applyBorder="1" applyAlignment="1">
      <alignment horizontal="right"/>
    </xf>
    <xf numFmtId="166" fontId="28" fillId="7" borderId="31" xfId="4" quotePrefix="1" applyNumberFormat="1" applyFont="1" applyFill="1" applyBorder="1" applyAlignment="1">
      <alignment horizontal="right"/>
    </xf>
    <xf numFmtId="14" fontId="28" fillId="7" borderId="2" xfId="0" applyNumberFormat="1" applyFont="1" applyFill="1" applyBorder="1" applyAlignment="1">
      <alignment horizontal="right"/>
    </xf>
    <xf numFmtId="166" fontId="28" fillId="7" borderId="2" xfId="1" applyNumberFormat="1" applyFont="1" applyFill="1" applyBorder="1"/>
    <xf numFmtId="174" fontId="28" fillId="7" borderId="2" xfId="2" applyNumberFormat="1" applyFont="1" applyFill="1" applyBorder="1"/>
    <xf numFmtId="43" fontId="28" fillId="7" borderId="2" xfId="1" applyFont="1" applyFill="1" applyBorder="1"/>
    <xf numFmtId="166" fontId="28" fillId="7" borderId="2" xfId="4" applyNumberFormat="1" applyFont="1" applyFill="1" applyBorder="1"/>
    <xf numFmtId="167" fontId="28" fillId="7" borderId="2" xfId="5" applyNumberFormat="1" applyFont="1" applyFill="1" applyBorder="1"/>
    <xf numFmtId="0" fontId="28" fillId="7" borderId="2" xfId="0" applyFont="1" applyFill="1" applyBorder="1" applyAlignment="1">
      <alignment horizontal="right"/>
    </xf>
    <xf numFmtId="0" fontId="28" fillId="7" borderId="2" xfId="0" applyFont="1" applyFill="1" applyBorder="1"/>
    <xf numFmtId="41" fontId="30" fillId="7" borderId="0" xfId="1" applyNumberFormat="1" applyFont="1" applyFill="1" applyBorder="1"/>
    <xf numFmtId="41" fontId="30" fillId="7" borderId="10" xfId="1" applyNumberFormat="1" applyFont="1" applyFill="1" applyBorder="1"/>
    <xf numFmtId="41" fontId="30" fillId="7" borderId="3" xfId="1" applyNumberFormat="1" applyFont="1" applyFill="1" applyBorder="1"/>
    <xf numFmtId="41" fontId="29" fillId="7" borderId="10" xfId="1" applyNumberFormat="1" applyFont="1" applyFill="1" applyBorder="1"/>
    <xf numFmtId="41" fontId="29" fillId="7" borderId="0" xfId="1" applyNumberFormat="1" applyFont="1" applyFill="1" applyBorder="1"/>
    <xf numFmtId="41" fontId="29" fillId="7" borderId="3" xfId="1" applyNumberFormat="1" applyFont="1" applyFill="1" applyBorder="1"/>
    <xf numFmtId="41" fontId="28" fillId="7" borderId="3" xfId="1" applyNumberFormat="1" applyFont="1" applyFill="1" applyBorder="1"/>
    <xf numFmtId="41" fontId="29" fillId="7" borderId="15" xfId="1" applyNumberFormat="1" applyFont="1" applyFill="1" applyBorder="1"/>
    <xf numFmtId="171" fontId="28" fillId="7" borderId="2" xfId="0" applyNumberFormat="1" applyFont="1" applyFill="1" applyBorder="1"/>
    <xf numFmtId="44" fontId="28" fillId="7" borderId="2" xfId="2" applyFont="1" applyFill="1" applyBorder="1"/>
    <xf numFmtId="10" fontId="28" fillId="7" borderId="2" xfId="0" applyNumberFormat="1" applyFont="1" applyFill="1" applyBorder="1"/>
    <xf numFmtId="0" fontId="0" fillId="7" borderId="25" xfId="0" applyFill="1" applyBorder="1"/>
    <xf numFmtId="164" fontId="4" fillId="7" borderId="25" xfId="3" applyNumberFormat="1" applyFont="1" applyFill="1" applyBorder="1" applyAlignment="1">
      <alignment horizontal="center"/>
    </xf>
    <xf numFmtId="164" fontId="4" fillId="7" borderId="1" xfId="3" applyNumberFormat="1" applyFont="1" applyFill="1" applyBorder="1" applyAlignment="1">
      <alignment horizontal="center"/>
    </xf>
    <xf numFmtId="164" fontId="4" fillId="7" borderId="15" xfId="3" applyNumberFormat="1" applyFont="1" applyFill="1" applyBorder="1" applyAlignment="1">
      <alignment horizontal="center"/>
    </xf>
    <xf numFmtId="170" fontId="0" fillId="7" borderId="34" xfId="0" applyNumberFormat="1" applyFill="1" applyBorder="1"/>
    <xf numFmtId="0" fontId="7" fillId="7" borderId="0" xfId="0" applyFont="1" applyFill="1" applyBorder="1"/>
    <xf numFmtId="0" fontId="7" fillId="7" borderId="0" xfId="0" applyFont="1" applyFill="1" applyBorder="1" applyAlignment="1">
      <alignment horizontal="right"/>
    </xf>
    <xf numFmtId="170" fontId="4" fillId="7" borderId="2" xfId="1" applyNumberFormat="1" applyFont="1" applyFill="1" applyBorder="1"/>
    <xf numFmtId="9" fontId="0" fillId="7" borderId="0" xfId="0" applyNumberFormat="1" applyFill="1"/>
    <xf numFmtId="0" fontId="0" fillId="7" borderId="2" xfId="0" applyFont="1" applyFill="1" applyBorder="1" applyAlignment="1">
      <alignment horizontal="left"/>
    </xf>
    <xf numFmtId="170" fontId="4" fillId="0" borderId="16" xfId="0" applyNumberFormat="1" applyFont="1" applyBorder="1"/>
    <xf numFmtId="10" fontId="4" fillId="7" borderId="12" xfId="3" applyNumberFormat="1" applyFont="1" applyFill="1" applyBorder="1"/>
    <xf numFmtId="0" fontId="4" fillId="7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0" fontId="0" fillId="7" borderId="0" xfId="0" applyNumberFormat="1" applyFont="1" applyFill="1"/>
    <xf numFmtId="16" fontId="0" fillId="0" borderId="0" xfId="0" applyNumberFormat="1"/>
    <xf numFmtId="0" fontId="24" fillId="0" borderId="0" xfId="0" quotePrefix="1" applyFont="1"/>
    <xf numFmtId="0" fontId="22" fillId="3" borderId="0" xfId="0" applyFont="1" applyFill="1" applyAlignment="1">
      <alignment horizontal="center" wrapText="1"/>
    </xf>
    <xf numFmtId="0" fontId="12" fillId="0" borderId="0" xfId="0" applyFont="1" applyAlignment="1">
      <alignment horizontal="right"/>
    </xf>
    <xf numFmtId="43" fontId="0" fillId="0" borderId="0" xfId="0" applyNumberFormat="1"/>
    <xf numFmtId="44" fontId="0" fillId="0" borderId="0" xfId="0" applyNumberFormat="1"/>
    <xf numFmtId="0" fontId="4" fillId="7" borderId="35" xfId="0" applyFont="1" applyFill="1" applyBorder="1"/>
    <xf numFmtId="0" fontId="0" fillId="7" borderId="36" xfId="0" applyFill="1" applyBorder="1"/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166" fontId="0" fillId="7" borderId="0" xfId="1" applyNumberFormat="1" applyFont="1" applyFill="1" applyBorder="1"/>
    <xf numFmtId="9" fontId="0" fillId="7" borderId="0" xfId="0" applyNumberFormat="1" applyFill="1" applyBorder="1"/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right" vertical="center"/>
    </xf>
    <xf numFmtId="166" fontId="0" fillId="7" borderId="0" xfId="0" applyNumberFormat="1" applyFill="1" applyBorder="1"/>
    <xf numFmtId="0" fontId="0" fillId="7" borderId="30" xfId="0" applyFill="1" applyBorder="1"/>
    <xf numFmtId="0" fontId="0" fillId="7" borderId="22" xfId="0" applyFill="1" applyBorder="1"/>
    <xf numFmtId="166" fontId="0" fillId="7" borderId="22" xfId="0" applyNumberFormat="1" applyFill="1" applyBorder="1"/>
    <xf numFmtId="0" fontId="0" fillId="7" borderId="31" xfId="0" applyFill="1" applyBorder="1"/>
    <xf numFmtId="0" fontId="0" fillId="7" borderId="10" xfId="0" applyFill="1" applyBorder="1"/>
    <xf numFmtId="0" fontId="0" fillId="7" borderId="10" xfId="0" applyFill="1" applyBorder="1" applyAlignment="1">
      <alignment horizontal="right"/>
    </xf>
    <xf numFmtId="166" fontId="0" fillId="7" borderId="3" xfId="0" applyNumberFormat="1" applyFill="1" applyBorder="1"/>
    <xf numFmtId="0" fontId="0" fillId="7" borderId="22" xfId="0" applyFill="1" applyBorder="1" applyAlignment="1">
      <alignment horizontal="right"/>
    </xf>
    <xf numFmtId="0" fontId="11" fillId="6" borderId="12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6" fillId="6" borderId="12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/>
    <xf numFmtId="0" fontId="0" fillId="8" borderId="2" xfId="0" applyFill="1" applyBorder="1"/>
    <xf numFmtId="0" fontId="0" fillId="7" borderId="2" xfId="0" applyFill="1" applyBorder="1"/>
    <xf numFmtId="175" fontId="0" fillId="7" borderId="2" xfId="0" applyNumberFormat="1" applyFont="1" applyFill="1" applyBorder="1" applyAlignment="1">
      <alignment horizontal="right" wrapText="1" shrinkToFit="1"/>
    </xf>
    <xf numFmtId="0" fontId="0" fillId="7" borderId="2" xfId="0" applyFont="1" applyFill="1" applyBorder="1" applyAlignment="1">
      <alignment wrapText="1"/>
    </xf>
    <xf numFmtId="0" fontId="10" fillId="7" borderId="2" xfId="0" applyFont="1" applyFill="1" applyBorder="1"/>
    <xf numFmtId="0" fontId="0" fillId="7" borderId="2" xfId="0" applyFill="1" applyBorder="1" applyAlignment="1">
      <alignment vertical="center"/>
    </xf>
    <xf numFmtId="0" fontId="10" fillId="7" borderId="8" xfId="0" applyFont="1" applyFill="1" applyBorder="1"/>
    <xf numFmtId="0" fontId="10" fillId="7" borderId="9" xfId="0" applyFont="1" applyFill="1" applyBorder="1"/>
    <xf numFmtId="0" fontId="10" fillId="7" borderId="17" xfId="0" applyFont="1" applyFill="1" applyBorder="1"/>
    <xf numFmtId="0" fontId="10" fillId="7" borderId="18" xfId="0" applyFont="1" applyFill="1" applyBorder="1"/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6" borderId="12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6" fillId="6" borderId="12" xfId="0" applyFont="1" applyFill="1" applyBorder="1"/>
    <xf numFmtId="0" fontId="16" fillId="6" borderId="13" xfId="0" applyFont="1" applyFill="1" applyBorder="1"/>
    <xf numFmtId="0" fontId="16" fillId="6" borderId="14" xfId="0" applyFont="1" applyFill="1" applyBorder="1"/>
    <xf numFmtId="0" fontId="12" fillId="7" borderId="17" xfId="0" applyFont="1" applyFill="1" applyBorder="1"/>
    <xf numFmtId="0" fontId="12" fillId="7" borderId="18" xfId="0" applyFont="1" applyFill="1" applyBorder="1"/>
    <xf numFmtId="43" fontId="28" fillId="7" borderId="0" xfId="1" applyFont="1" applyFill="1" applyAlignment="1">
      <alignment vertical="top" wrapText="1"/>
    </xf>
    <xf numFmtId="43" fontId="29" fillId="7" borderId="0" xfId="1" applyFont="1" applyFill="1" applyAlignment="1">
      <alignment vertical="top" wrapText="1"/>
    </xf>
    <xf numFmtId="0" fontId="0" fillId="7" borderId="0" xfId="0" applyFill="1" applyAlignment="1">
      <alignment horizontal="left" wrapText="1"/>
    </xf>
    <xf numFmtId="0" fontId="0" fillId="7" borderId="6" xfId="0" applyFill="1" applyBorder="1" applyAlignment="1">
      <alignment horizontal="left" wrapText="1"/>
    </xf>
    <xf numFmtId="175" fontId="28" fillId="7" borderId="2" xfId="0" applyNumberFormat="1" applyFont="1" applyFill="1" applyBorder="1" applyAlignment="1">
      <alignment horizontal="right" wrapText="1" shrinkToFit="1"/>
    </xf>
    <xf numFmtId="0" fontId="29" fillId="7" borderId="2" xfId="0" applyFont="1" applyFill="1" applyBorder="1" applyAlignment="1">
      <alignment wrapText="1"/>
    </xf>
    <xf numFmtId="0" fontId="12" fillId="7" borderId="0" xfId="0" applyFont="1" applyFill="1"/>
    <xf numFmtId="0" fontId="12" fillId="7" borderId="0" xfId="0" applyFont="1" applyFill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</cellXfs>
  <cellStyles count="6">
    <cellStyle name="Comma" xfId="1" builtinId="3"/>
    <cellStyle name="Comma 2" xfId="4" xr:uid="{E9CACD65-4CD0-4F95-8F44-787A34C4FC84}"/>
    <cellStyle name="Currency" xfId="2" builtinId="4"/>
    <cellStyle name="Normal" xfId="0" builtinId="0"/>
    <cellStyle name="Percent" xfId="3" builtinId="5"/>
    <cellStyle name="Percent 2" xfId="5" xr:uid="{11CA54F9-F4A5-4B71-9CEF-11551ACEEA34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3411-124E-41D1-81BF-169DD283C356}">
  <sheetPr>
    <tabColor rgb="FFFF0000"/>
  </sheetPr>
  <dimension ref="A1:P14"/>
  <sheetViews>
    <sheetView showGridLines="0" workbookViewId="0">
      <selection activeCell="A2" sqref="A2"/>
    </sheetView>
  </sheetViews>
  <sheetFormatPr defaultRowHeight="14.5" x14ac:dyDescent="0.35"/>
  <cols>
    <col min="1" max="1" width="2.54296875" style="23" customWidth="1"/>
    <col min="2" max="2" width="9.7265625" style="23" customWidth="1"/>
    <col min="3" max="14" width="8.7265625" style="23"/>
    <col min="15" max="15" width="10.81640625" style="23" customWidth="1"/>
    <col min="16" max="16384" width="8.7265625" style="23"/>
  </cols>
  <sheetData>
    <row r="1" spans="1:16" ht="21" x14ac:dyDescent="0.5">
      <c r="A1" s="40" t="s">
        <v>110</v>
      </c>
    </row>
    <row r="3" spans="1:16" ht="15" thickBot="1" x14ac:dyDescent="0.4">
      <c r="C3" s="70" t="s">
        <v>102</v>
      </c>
      <c r="L3" s="77" t="s">
        <v>109</v>
      </c>
    </row>
    <row r="4" spans="1:16" ht="20.5" customHeight="1" thickBot="1" x14ac:dyDescent="0.4">
      <c r="B4" s="41" t="s">
        <v>99</v>
      </c>
      <c r="C4" s="420"/>
      <c r="D4" s="421"/>
      <c r="E4" s="422"/>
      <c r="F4" s="31"/>
      <c r="G4" s="41" t="s">
        <v>100</v>
      </c>
      <c r="H4" s="420"/>
      <c r="I4" s="421"/>
      <c r="J4" s="422"/>
      <c r="L4" s="79">
        <f ca="1">+'RESTICTED-SUMMARY ANSWERS'!M3</f>
        <v>0.29208654053294314</v>
      </c>
    </row>
    <row r="5" spans="1:16" x14ac:dyDescent="0.3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6" ht="29.5" customHeight="1" x14ac:dyDescent="0.55000000000000004">
      <c r="B6" s="75" t="s">
        <v>230</v>
      </c>
      <c r="C6" s="76"/>
      <c r="D6" s="76"/>
      <c r="E6" s="76"/>
      <c r="F6" s="76"/>
      <c r="G6" s="76"/>
      <c r="H6" s="76"/>
      <c r="I6" s="76"/>
      <c r="J6" s="73"/>
      <c r="K6" s="73"/>
      <c r="L6" s="73"/>
      <c r="M6" s="73"/>
      <c r="N6" s="73"/>
    </row>
    <row r="7" spans="1:16" x14ac:dyDescent="0.35">
      <c r="B7" s="31" t="s">
        <v>105</v>
      </c>
    </row>
    <row r="8" spans="1:16" x14ac:dyDescent="0.35">
      <c r="B8" s="31" t="s">
        <v>101</v>
      </c>
    </row>
    <row r="9" spans="1:16" x14ac:dyDescent="0.35">
      <c r="B9" s="31" t="s">
        <v>106</v>
      </c>
    </row>
    <row r="10" spans="1:16" x14ac:dyDescent="0.35">
      <c r="B10" s="31" t="s">
        <v>107</v>
      </c>
    </row>
    <row r="11" spans="1:16" x14ac:dyDescent="0.35">
      <c r="B11" s="31" t="s">
        <v>108</v>
      </c>
    </row>
    <row r="14" spans="1:16" x14ac:dyDescent="0.3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</sheetData>
  <mergeCells count="2">
    <mergeCell ref="C4:E4"/>
    <mergeCell ref="H4:J4"/>
  </mergeCells>
  <phoneticPr fontId="1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1BB6-4FA0-48E5-B516-E6001B9A151D}">
  <sheetPr>
    <tabColor rgb="FFFFC000"/>
  </sheetPr>
  <dimension ref="A1:AH272"/>
  <sheetViews>
    <sheetView workbookViewId="0">
      <selection activeCell="J32" sqref="J32"/>
    </sheetView>
  </sheetViews>
  <sheetFormatPr defaultRowHeight="14.5" x14ac:dyDescent="0.35"/>
  <cols>
    <col min="1" max="1" width="4.453125" style="46" customWidth="1"/>
    <col min="2" max="2" width="25.90625" style="46" customWidth="1"/>
    <col min="3" max="3" width="19.453125" style="43" customWidth="1"/>
    <col min="4" max="4" width="11" style="46" customWidth="1"/>
    <col min="5" max="5" width="8.7265625" style="46" bestFit="1" customWidth="1"/>
    <col min="6" max="6" width="12.7265625" style="46" customWidth="1"/>
    <col min="7" max="7" width="12.90625" style="46" customWidth="1"/>
    <col min="8" max="8" width="10.7265625" style="46" customWidth="1"/>
    <col min="9" max="9" width="16.453125" style="46" customWidth="1"/>
    <col min="10" max="10" width="13.36328125" style="46" customWidth="1"/>
    <col min="11" max="11" width="8.7265625" style="46" bestFit="1" customWidth="1"/>
    <col min="12" max="12" width="13.36328125" style="46" customWidth="1"/>
    <col min="13" max="13" width="11.1796875" style="46" customWidth="1"/>
    <col min="14" max="14" width="11.453125" style="46" bestFit="1" customWidth="1"/>
    <col min="15" max="15" width="13.36328125" style="46" customWidth="1"/>
    <col min="16" max="16" width="13.36328125" style="392" customWidth="1"/>
    <col min="17" max="17" width="13.36328125" style="46" customWidth="1"/>
    <col min="18" max="16384" width="8.7265625" style="46"/>
  </cols>
  <sheetData>
    <row r="1" spans="1:27" ht="21.5" thickBot="1" x14ac:dyDescent="0.55000000000000004">
      <c r="A1" s="45" t="str">
        <f>+INTRODUCTION!A1</f>
        <v>BARUCH COLLEGE - MS FIN9793 MIDTERM EXAM</v>
      </c>
      <c r="B1" s="45"/>
      <c r="C1" s="44"/>
      <c r="D1" s="45"/>
      <c r="AA1" s="54">
        <v>1</v>
      </c>
    </row>
    <row r="2" spans="1:27" ht="15" thickBot="1" x14ac:dyDescent="0.4">
      <c r="F2" s="47"/>
    </row>
    <row r="3" spans="1:27" ht="16" thickBot="1" x14ac:dyDescent="0.4">
      <c r="C3" s="42" t="s">
        <v>99</v>
      </c>
      <c r="D3" s="420">
        <f>+INTRODUCTION!C4</f>
        <v>0</v>
      </c>
      <c r="E3" s="464"/>
      <c r="F3" s="465"/>
      <c r="G3" s="48"/>
      <c r="H3" s="42" t="s">
        <v>100</v>
      </c>
      <c r="I3" s="420">
        <f>+INTRODUCTION!H4</f>
        <v>0</v>
      </c>
      <c r="J3" s="464"/>
      <c r="K3" s="465"/>
      <c r="M3" s="78">
        <f ca="1">RAND()*100</f>
        <v>0.29208654053294314</v>
      </c>
    </row>
    <row r="6" spans="1:27" s="126" customFormat="1" ht="15.5" x14ac:dyDescent="0.35">
      <c r="B6" s="268" t="s">
        <v>223</v>
      </c>
      <c r="C6" s="269"/>
      <c r="D6" s="270"/>
      <c r="E6" s="270"/>
      <c r="F6" s="270"/>
      <c r="G6" s="270"/>
      <c r="H6" s="270"/>
      <c r="I6" s="270"/>
      <c r="J6" s="270"/>
      <c r="K6" s="271"/>
      <c r="L6" s="271"/>
      <c r="M6" s="271"/>
      <c r="N6" s="271"/>
      <c r="O6" s="271"/>
      <c r="P6" s="92"/>
    </row>
    <row r="7" spans="1:27" s="126" customFormat="1" x14ac:dyDescent="0.35">
      <c r="B7" s="127" t="s">
        <v>111</v>
      </c>
      <c r="P7" s="92"/>
      <c r="AA7" s="128" t="s">
        <v>97</v>
      </c>
    </row>
    <row r="8" spans="1:27" s="126" customFormat="1" x14ac:dyDescent="0.35">
      <c r="P8" s="92"/>
      <c r="AA8" s="128"/>
    </row>
    <row r="9" spans="1:27" s="126" customFormat="1" x14ac:dyDescent="0.35">
      <c r="E9" s="466" t="s">
        <v>122</v>
      </c>
      <c r="F9" s="466"/>
      <c r="G9" s="466"/>
      <c r="H9" s="466"/>
      <c r="I9" s="466"/>
      <c r="J9" s="127"/>
      <c r="K9" s="466" t="s">
        <v>123</v>
      </c>
      <c r="L9" s="466"/>
      <c r="M9" s="466"/>
      <c r="N9" s="466"/>
      <c r="O9" s="466"/>
      <c r="P9" s="92"/>
      <c r="AA9" s="128"/>
    </row>
    <row r="10" spans="1:27" s="129" customFormat="1" ht="15" thickBot="1" x14ac:dyDescent="0.4">
      <c r="B10" s="130" t="s">
        <v>119</v>
      </c>
      <c r="C10" s="131" t="s">
        <v>120</v>
      </c>
      <c r="D10" s="132"/>
      <c r="E10" s="133" t="s">
        <v>121</v>
      </c>
      <c r="F10" s="131"/>
      <c r="G10" s="131"/>
      <c r="H10" s="131"/>
      <c r="I10" s="131"/>
      <c r="J10" s="132"/>
      <c r="K10" s="133" t="s">
        <v>121</v>
      </c>
      <c r="L10" s="133"/>
      <c r="M10" s="133"/>
      <c r="N10" s="133"/>
      <c r="O10" s="133"/>
      <c r="P10" s="393"/>
    </row>
    <row r="11" spans="1:27" s="126" customFormat="1" ht="15" thickTop="1" x14ac:dyDescent="0.35">
      <c r="A11" s="134"/>
      <c r="B11" s="134" t="s">
        <v>112</v>
      </c>
      <c r="C11" s="135">
        <v>0.15</v>
      </c>
      <c r="E11" s="136">
        <v>-0.2</v>
      </c>
      <c r="F11" s="137">
        <f>+'QUESTION 1'!F9</f>
        <v>-0.03</v>
      </c>
      <c r="G11" s="137">
        <f>+'QUESTION 1'!G9</f>
        <v>-0.29700000000000004</v>
      </c>
      <c r="H11" s="137">
        <f>+'QUESTION 1'!H9</f>
        <v>8.8209000000000024E-2</v>
      </c>
      <c r="I11" s="137">
        <f>+'QUESTION 1'!I9</f>
        <v>1.3231350000000003E-2</v>
      </c>
      <c r="K11" s="136">
        <v>0.08</v>
      </c>
      <c r="L11" s="137">
        <f>+'QUESTION 1'!L9</f>
        <v>1.2E-2</v>
      </c>
      <c r="M11" s="137">
        <f>+'QUESTION 1'!M9</f>
        <v>7.1000000000000008E-2</v>
      </c>
      <c r="N11" s="137">
        <f>+'QUESTION 1'!N9</f>
        <v>5.0410000000000012E-3</v>
      </c>
      <c r="O11" s="137">
        <f>+'QUESTION 1'!O9</f>
        <v>7.5615000000000014E-4</v>
      </c>
      <c r="P11" s="92"/>
    </row>
    <row r="12" spans="1:27" s="126" customFormat="1" x14ac:dyDescent="0.35">
      <c r="B12" s="138" t="s">
        <v>113</v>
      </c>
      <c r="C12" s="139">
        <v>0.2</v>
      </c>
      <c r="E12" s="140">
        <v>-7.0000000000000007E-2</v>
      </c>
      <c r="F12" s="137">
        <f>+'QUESTION 1'!F10</f>
        <v>-1.4000000000000002E-2</v>
      </c>
      <c r="G12" s="137">
        <f>+'QUESTION 1'!G10</f>
        <v>-0.16700000000000001</v>
      </c>
      <c r="H12" s="137">
        <f>+'QUESTION 1'!H10</f>
        <v>2.7889000000000004E-2</v>
      </c>
      <c r="I12" s="137">
        <f>+'QUESTION 1'!I10</f>
        <v>5.5778000000000008E-3</v>
      </c>
      <c r="K12" s="140">
        <v>0.04</v>
      </c>
      <c r="L12" s="141">
        <f>+'QUESTION 1'!L10</f>
        <v>8.0000000000000002E-3</v>
      </c>
      <c r="M12" s="141">
        <f>+'QUESTION 1'!M10</f>
        <v>0.04</v>
      </c>
      <c r="N12" s="141">
        <f>+'QUESTION 1'!N10</f>
        <v>1.6000000000000001E-3</v>
      </c>
      <c r="O12" s="141">
        <f>+'QUESTION 1'!O10</f>
        <v>3.2000000000000003E-4</v>
      </c>
      <c r="P12" s="92"/>
    </row>
    <row r="13" spans="1:27" s="126" customFormat="1" x14ac:dyDescent="0.35">
      <c r="B13" s="138" t="s">
        <v>114</v>
      </c>
      <c r="C13" s="139">
        <v>0.3</v>
      </c>
      <c r="E13" s="140">
        <v>0.12</v>
      </c>
      <c r="F13" s="137">
        <f>+'QUESTION 1'!F11</f>
        <v>3.5999999999999997E-2</v>
      </c>
      <c r="G13" s="137">
        <f>+'QUESTION 1'!G11</f>
        <v>2.2999999999999993E-2</v>
      </c>
      <c r="H13" s="137">
        <f>+'QUESTION 1'!H11</f>
        <v>5.2899999999999963E-4</v>
      </c>
      <c r="I13" s="137">
        <f>+'QUESTION 1'!I11</f>
        <v>1.5869999999999987E-4</v>
      </c>
      <c r="K13" s="140">
        <v>0.01</v>
      </c>
      <c r="L13" s="141">
        <f>+'QUESTION 1'!L11</f>
        <v>3.0000000000000001E-3</v>
      </c>
      <c r="M13" s="141">
        <f>+'QUESTION 1'!M11</f>
        <v>0.01</v>
      </c>
      <c r="N13" s="141">
        <f>+'QUESTION 1'!N11</f>
        <v>1E-4</v>
      </c>
      <c r="O13" s="141">
        <f>+'QUESTION 1'!O11</f>
        <v>3.0000000000000001E-5</v>
      </c>
      <c r="P13" s="92"/>
    </row>
    <row r="14" spans="1:27" s="126" customFormat="1" x14ac:dyDescent="0.35">
      <c r="B14" s="138" t="s">
        <v>115</v>
      </c>
      <c r="C14" s="139">
        <v>0.35</v>
      </c>
      <c r="E14" s="140">
        <v>0.3</v>
      </c>
      <c r="F14" s="137">
        <f>+'QUESTION 1'!F12</f>
        <v>0.105</v>
      </c>
      <c r="G14" s="137">
        <f>+'QUESTION 1'!G12</f>
        <v>0.20299999999999999</v>
      </c>
      <c r="H14" s="137">
        <f>+'QUESTION 1'!H12</f>
        <v>4.1208999999999996E-2</v>
      </c>
      <c r="I14" s="137">
        <f>+'QUESTION 1'!I12</f>
        <v>1.4423149999999997E-2</v>
      </c>
      <c r="K14" s="140">
        <v>-0.04</v>
      </c>
      <c r="L14" s="141">
        <f>+'QUESTION 1'!L12</f>
        <v>-1.3999999999999999E-2</v>
      </c>
      <c r="M14" s="141">
        <f>+'QUESTION 1'!M12</f>
        <v>-0.04</v>
      </c>
      <c r="N14" s="141">
        <f>+'QUESTION 1'!N12</f>
        <v>1.6000000000000001E-3</v>
      </c>
      <c r="O14" s="141">
        <f>+'QUESTION 1'!O12</f>
        <v>5.5999999999999995E-4</v>
      </c>
      <c r="P14" s="92"/>
    </row>
    <row r="15" spans="1:27" s="126" customFormat="1" ht="15" thickBot="1" x14ac:dyDescent="0.4">
      <c r="B15" s="126" t="s">
        <v>116</v>
      </c>
      <c r="C15" s="142">
        <f>SUM(C11:C14)</f>
        <v>0.99999999999999989</v>
      </c>
      <c r="G15" s="143"/>
      <c r="H15" s="143"/>
      <c r="I15" s="144"/>
      <c r="K15" s="127"/>
      <c r="L15" s="127"/>
      <c r="M15" s="145"/>
      <c r="N15" s="145"/>
      <c r="O15" s="144"/>
      <c r="P15" s="92"/>
    </row>
    <row r="16" spans="1:27" s="126" customFormat="1" ht="15.5" thickTop="1" thickBot="1" x14ac:dyDescent="0.4">
      <c r="E16" s="146" t="s">
        <v>117</v>
      </c>
      <c r="F16" s="147">
        <f>+'QUESTION 1'!F14</f>
        <v>9.7000000000000003E-2</v>
      </c>
      <c r="H16" s="148" t="s">
        <v>118</v>
      </c>
      <c r="I16" s="147">
        <f>+'QUESTION 1'!I14</f>
        <v>0.18273204426153614</v>
      </c>
      <c r="K16" s="146" t="s">
        <v>117</v>
      </c>
      <c r="L16" s="147">
        <f>+'QUESTION 1'!L14</f>
        <v>9.0000000000000011E-3</v>
      </c>
      <c r="N16" s="148" t="s">
        <v>118</v>
      </c>
      <c r="O16" s="391">
        <f>+'QUESTION 1'!O14</f>
        <v>4.0818500707399827E-2</v>
      </c>
      <c r="P16" s="92">
        <v>3</v>
      </c>
    </row>
    <row r="17" spans="1:27" s="126" customFormat="1" x14ac:dyDescent="0.35">
      <c r="P17" s="92">
        <v>3</v>
      </c>
    </row>
    <row r="18" spans="1:27" s="126" customFormat="1" x14ac:dyDescent="0.35">
      <c r="B18" s="463" t="s">
        <v>124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P18" s="92">
        <v>3</v>
      </c>
    </row>
    <row r="19" spans="1:27" s="126" customFormat="1" x14ac:dyDescent="0.35">
      <c r="P19" s="92">
        <v>3</v>
      </c>
    </row>
    <row r="20" spans="1:27" s="126" customFormat="1" ht="15" thickBot="1" x14ac:dyDescent="0.4">
      <c r="B20" s="130" t="s">
        <v>119</v>
      </c>
      <c r="C20" s="131" t="s">
        <v>120</v>
      </c>
      <c r="D20" s="132"/>
      <c r="E20" s="149"/>
      <c r="F20" s="149"/>
      <c r="G20" s="150"/>
      <c r="H20" s="151"/>
      <c r="I20" s="132"/>
      <c r="J20" s="132"/>
      <c r="K20" s="132"/>
      <c r="L20" s="132"/>
      <c r="M20" s="132"/>
      <c r="N20" s="132"/>
      <c r="O20" s="132"/>
      <c r="P20" s="92"/>
    </row>
    <row r="21" spans="1:27" s="126" customFormat="1" ht="15" thickTop="1" x14ac:dyDescent="0.35">
      <c r="B21" s="380" t="s">
        <v>112</v>
      </c>
      <c r="C21" s="381">
        <f>+C11</f>
        <v>0.15</v>
      </c>
      <c r="E21" s="384">
        <f>+'QUESTION 1'!E19</f>
        <v>-0.29700000000000004</v>
      </c>
      <c r="F21" s="384">
        <f>+'QUESTION 1'!F19</f>
        <v>7.1000000000000008E-2</v>
      </c>
      <c r="G21" s="384">
        <f>+'QUESTION 1'!G19</f>
        <v>-2.1087000000000005E-2</v>
      </c>
      <c r="H21" s="384">
        <f>+'QUESTION 1'!H19</f>
        <v>-3.1630500000000006E-3</v>
      </c>
      <c r="P21" s="92"/>
    </row>
    <row r="22" spans="1:27" s="126" customFormat="1" x14ac:dyDescent="0.35">
      <c r="B22" s="134" t="s">
        <v>113</v>
      </c>
      <c r="C22" s="382">
        <f t="shared" ref="C22:C24" si="0">+C12</f>
        <v>0.2</v>
      </c>
      <c r="E22" s="141">
        <f>+'QUESTION 1'!E20</f>
        <v>-0.16700000000000001</v>
      </c>
      <c r="F22" s="141">
        <f>+'QUESTION 1'!F20</f>
        <v>0.04</v>
      </c>
      <c r="G22" s="141">
        <f>+'QUESTION 1'!G20</f>
        <v>-6.6800000000000002E-3</v>
      </c>
      <c r="H22" s="141">
        <f>+'QUESTION 1'!H20</f>
        <v>-1.3360000000000002E-3</v>
      </c>
      <c r="P22" s="92"/>
    </row>
    <row r="23" spans="1:27" s="126" customFormat="1" x14ac:dyDescent="0.35">
      <c r="B23" s="138" t="s">
        <v>114</v>
      </c>
      <c r="C23" s="383">
        <f t="shared" si="0"/>
        <v>0.3</v>
      </c>
      <c r="E23" s="141">
        <f>+'QUESTION 1'!E21</f>
        <v>2.2999999999999993E-2</v>
      </c>
      <c r="F23" s="141">
        <f>+'QUESTION 1'!F21</f>
        <v>0.01</v>
      </c>
      <c r="G23" s="141">
        <f>+'QUESTION 1'!G21</f>
        <v>2.2999999999999993E-4</v>
      </c>
      <c r="H23" s="141">
        <f>+'QUESTION 1'!H21</f>
        <v>6.899999999999997E-5</v>
      </c>
      <c r="P23" s="92"/>
    </row>
    <row r="24" spans="1:27" s="126" customFormat="1" x14ac:dyDescent="0.35">
      <c r="B24" s="138" t="s">
        <v>115</v>
      </c>
      <c r="C24" s="383">
        <f t="shared" si="0"/>
        <v>0.35</v>
      </c>
      <c r="E24" s="141">
        <f>+'QUESTION 1'!E22</f>
        <v>0.20299999999999999</v>
      </c>
      <c r="F24" s="141">
        <f>+'QUESTION 1'!F22</f>
        <v>-0.04</v>
      </c>
      <c r="G24" s="141">
        <f>+'QUESTION 1'!G22</f>
        <v>-8.1199999999999987E-3</v>
      </c>
      <c r="H24" s="141">
        <f>+'QUESTION 1'!H22</f>
        <v>-2.8419999999999995E-3</v>
      </c>
      <c r="P24" s="92"/>
    </row>
    <row r="25" spans="1:27" s="126" customFormat="1" ht="15" thickBot="1" x14ac:dyDescent="0.4">
      <c r="B25" s="126" t="s">
        <v>116</v>
      </c>
      <c r="C25" s="291">
        <f>SUM(C21:C24)</f>
        <v>0.99999999999999989</v>
      </c>
      <c r="E25" s="188"/>
      <c r="F25" s="188"/>
      <c r="G25" s="385" t="s">
        <v>125</v>
      </c>
      <c r="H25" s="387">
        <f>+'QUESTION 1'!H23</f>
        <v>-7.2720500000000004E-3</v>
      </c>
      <c r="P25" s="92">
        <v>3</v>
      </c>
    </row>
    <row r="26" spans="1:27" s="126" customFormat="1" ht="15" thickTop="1" x14ac:dyDescent="0.35">
      <c r="E26" s="188"/>
      <c r="F26" s="188"/>
      <c r="G26" s="386" t="s">
        <v>126</v>
      </c>
      <c r="H26" s="387">
        <f>+'QUESTION 1'!H24</f>
        <v>-0.97495617607412577</v>
      </c>
      <c r="P26" s="92"/>
    </row>
    <row r="27" spans="1:27" s="126" customFormat="1" x14ac:dyDescent="0.35">
      <c r="P27" s="92"/>
    </row>
    <row r="28" spans="1:27" s="126" customFormat="1" ht="15.5" x14ac:dyDescent="0.35">
      <c r="B28" s="268" t="s">
        <v>146</v>
      </c>
      <c r="C28" s="269"/>
      <c r="D28" s="270"/>
      <c r="E28" s="270"/>
      <c r="F28" s="270"/>
      <c r="G28" s="270"/>
      <c r="H28" s="270"/>
      <c r="I28" s="270"/>
      <c r="J28" s="270"/>
      <c r="K28" s="271"/>
      <c r="L28" s="271"/>
      <c r="M28" s="271"/>
      <c r="N28" s="271"/>
      <c r="O28" s="271"/>
      <c r="P28" s="92"/>
    </row>
    <row r="29" spans="1:27" s="126" customFormat="1" x14ac:dyDescent="0.35">
      <c r="B29" s="463" t="s">
        <v>127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P29" s="92"/>
      <c r="AA29" s="128" t="s">
        <v>97</v>
      </c>
    </row>
    <row r="30" spans="1:27" s="126" customFormat="1" x14ac:dyDescent="0.35">
      <c r="P30" s="92"/>
      <c r="AA30" s="128"/>
    </row>
    <row r="31" spans="1:27" s="129" customFormat="1" ht="15" thickBot="1" x14ac:dyDescent="0.4">
      <c r="B31" s="130" t="s">
        <v>128</v>
      </c>
      <c r="C31" s="153" t="s">
        <v>136</v>
      </c>
      <c r="D31" s="153" t="s">
        <v>137</v>
      </c>
      <c r="E31" s="153" t="s">
        <v>138</v>
      </c>
      <c r="F31" s="132"/>
      <c r="G31" s="126"/>
      <c r="H31" s="126"/>
      <c r="I31" s="126"/>
      <c r="J31" s="126"/>
      <c r="K31" s="126"/>
      <c r="L31" s="126"/>
      <c r="M31" s="126"/>
      <c r="N31" s="126"/>
      <c r="O31" s="126"/>
      <c r="P31" s="393"/>
    </row>
    <row r="32" spans="1:27" s="126" customFormat="1" ht="15" thickTop="1" x14ac:dyDescent="0.35">
      <c r="A32" s="129"/>
      <c r="B32" s="154" t="s">
        <v>129</v>
      </c>
      <c r="C32" s="155">
        <v>0.15</v>
      </c>
      <c r="D32" s="155">
        <v>1.4999999999999999E-2</v>
      </c>
      <c r="E32" s="155">
        <v>0</v>
      </c>
      <c r="F32" s="132"/>
      <c r="P32" s="92"/>
    </row>
    <row r="33" spans="1:16" s="126" customFormat="1" x14ac:dyDescent="0.35">
      <c r="A33" s="129"/>
      <c r="B33" s="156" t="s">
        <v>130</v>
      </c>
      <c r="C33" s="157">
        <v>0.4</v>
      </c>
      <c r="D33" s="157">
        <v>0.09</v>
      </c>
      <c r="E33" s="157">
        <v>0.14000000000000001</v>
      </c>
      <c r="F33" s="132"/>
      <c r="P33" s="92"/>
    </row>
    <row r="34" spans="1:16" s="126" customFormat="1" x14ac:dyDescent="0.35">
      <c r="A34" s="129"/>
      <c r="B34" s="156" t="s">
        <v>131</v>
      </c>
      <c r="C34" s="157">
        <v>0.45</v>
      </c>
      <c r="D34" s="157">
        <v>0.36</v>
      </c>
      <c r="E34" s="157">
        <v>0.42</v>
      </c>
      <c r="F34" s="132"/>
      <c r="P34" s="92"/>
    </row>
    <row r="35" spans="1:16" s="126" customFormat="1" x14ac:dyDescent="0.35">
      <c r="A35" s="129"/>
      <c r="B35" s="156"/>
      <c r="C35" s="395"/>
      <c r="D35" s="132"/>
      <c r="E35" s="132"/>
      <c r="F35" s="132"/>
      <c r="P35" s="92"/>
    </row>
    <row r="36" spans="1:16" s="126" customFormat="1" x14ac:dyDescent="0.35">
      <c r="A36" s="129"/>
      <c r="B36" s="158" t="s">
        <v>132</v>
      </c>
      <c r="C36" s="159">
        <f>+'QUESTION 2'!C12</f>
        <v>0.2</v>
      </c>
      <c r="D36" s="132"/>
      <c r="E36" s="132"/>
      <c r="F36" s="132"/>
      <c r="P36" s="92"/>
    </row>
    <row r="37" spans="1:16" s="126" customFormat="1" x14ac:dyDescent="0.35">
      <c r="A37" s="129"/>
      <c r="B37" s="158" t="s">
        <v>133</v>
      </c>
      <c r="C37" s="160">
        <f>+'QUESTION 2'!C13</f>
        <v>1.7</v>
      </c>
      <c r="D37" s="132"/>
      <c r="E37" s="132"/>
      <c r="F37" s="132"/>
      <c r="P37" s="92"/>
    </row>
    <row r="38" spans="1:16" s="126" customFormat="1" x14ac:dyDescent="0.35">
      <c r="A38" s="129"/>
      <c r="B38" s="132"/>
      <c r="C38" s="132"/>
      <c r="D38" s="132"/>
      <c r="E38" s="132"/>
      <c r="F38" s="132"/>
      <c r="P38" s="92"/>
    </row>
    <row r="39" spans="1:16" s="126" customFormat="1" ht="15" thickBot="1" x14ac:dyDescent="0.4">
      <c r="A39" s="129"/>
      <c r="B39" s="130" t="s">
        <v>134</v>
      </c>
      <c r="C39" s="153" t="s">
        <v>137</v>
      </c>
      <c r="D39" s="153" t="s">
        <v>138</v>
      </c>
      <c r="E39" s="132"/>
      <c r="F39" s="132"/>
      <c r="P39" s="92"/>
    </row>
    <row r="40" spans="1:16" s="126" customFormat="1" ht="15" thickTop="1" x14ac:dyDescent="0.35">
      <c r="A40" s="129"/>
      <c r="B40" s="132" t="s">
        <v>135</v>
      </c>
      <c r="C40" s="161">
        <f>+'QUESTION 2'!C16</f>
        <v>0.12</v>
      </c>
      <c r="D40" s="162">
        <f>+'QUESTION 2'!D16</f>
        <v>0.18</v>
      </c>
      <c r="E40" s="132"/>
      <c r="F40" s="132"/>
      <c r="P40" s="92"/>
    </row>
    <row r="41" spans="1:16" s="126" customFormat="1" x14ac:dyDescent="0.35">
      <c r="B41" s="132"/>
      <c r="C41" s="132"/>
      <c r="D41" s="132"/>
      <c r="E41" s="132"/>
      <c r="F41" s="132"/>
      <c r="P41" s="92"/>
    </row>
    <row r="42" spans="1:16" s="126" customFormat="1" x14ac:dyDescent="0.35">
      <c r="B42" s="132"/>
      <c r="C42" s="132"/>
      <c r="D42" s="132"/>
      <c r="E42" s="132"/>
      <c r="F42" s="132"/>
      <c r="P42" s="92"/>
    </row>
    <row r="43" spans="1:16" s="126" customFormat="1" ht="15" thickBot="1" x14ac:dyDescent="0.4">
      <c r="B43" s="130" t="s">
        <v>139</v>
      </c>
      <c r="C43" s="163"/>
      <c r="D43" s="163"/>
      <c r="E43" s="164"/>
      <c r="P43" s="92"/>
    </row>
    <row r="44" spans="1:16" s="126" customFormat="1" ht="15" thickTop="1" x14ac:dyDescent="0.35">
      <c r="B44" s="165" t="s">
        <v>140</v>
      </c>
      <c r="C44" s="166"/>
      <c r="D44" s="167"/>
      <c r="E44" s="168">
        <f>+'QUESTION 2'!E20</f>
        <v>0.20025000000000001</v>
      </c>
      <c r="P44" s="92">
        <v>2</v>
      </c>
    </row>
    <row r="45" spans="1:16" s="126" customFormat="1" x14ac:dyDescent="0.35">
      <c r="B45" s="169" t="s">
        <v>141</v>
      </c>
      <c r="C45" s="156"/>
      <c r="D45" s="170"/>
      <c r="E45" s="168">
        <f>+'QUESTION 2'!E21</f>
        <v>0.23294117647058823</v>
      </c>
      <c r="P45" s="92">
        <v>3</v>
      </c>
    </row>
    <row r="46" spans="1:16" s="126" customFormat="1" x14ac:dyDescent="0.35">
      <c r="B46" s="169" t="s">
        <v>142</v>
      </c>
      <c r="C46" s="156"/>
      <c r="D46" s="170"/>
      <c r="E46" s="168">
        <f>+'QUESTION 2'!E22</f>
        <v>0.2442150053910109</v>
      </c>
      <c r="P46" s="92">
        <v>3</v>
      </c>
    </row>
    <row r="47" spans="1:16" s="126" customFormat="1" x14ac:dyDescent="0.35">
      <c r="B47" s="169" t="s">
        <v>143</v>
      </c>
      <c r="C47" s="156"/>
      <c r="D47" s="170"/>
      <c r="E47" s="352">
        <f>+'QUESTION 2'!E23</f>
        <v>0.89241517375905788</v>
      </c>
      <c r="P47" s="92">
        <v>3</v>
      </c>
    </row>
    <row r="48" spans="1:16" s="126" customFormat="1" x14ac:dyDescent="0.35">
      <c r="B48" s="172"/>
      <c r="C48" s="132"/>
      <c r="D48" s="132"/>
      <c r="E48" s="132"/>
      <c r="P48" s="92"/>
    </row>
    <row r="49" spans="2:26" s="126" customFormat="1" x14ac:dyDescent="0.35">
      <c r="B49" s="169" t="s">
        <v>144</v>
      </c>
      <c r="C49" s="156"/>
      <c r="D49" s="170"/>
      <c r="E49" s="168">
        <f>+'QUESTION 2'!E25</f>
        <v>0.19350000000000001</v>
      </c>
      <c r="P49" s="92">
        <v>2</v>
      </c>
    </row>
    <row r="50" spans="2:26" s="126" customFormat="1" x14ac:dyDescent="0.35">
      <c r="B50" s="169" t="s">
        <v>145</v>
      </c>
      <c r="C50" s="156"/>
      <c r="D50" s="170"/>
      <c r="E50" s="168">
        <f>+'QUESTION 2'!E26</f>
        <v>0.16649999999999998</v>
      </c>
      <c r="P50" s="92">
        <v>2</v>
      </c>
    </row>
    <row r="51" spans="2:26" x14ac:dyDescent="0.35">
      <c r="P51" s="92"/>
    </row>
    <row r="52" spans="2:26" s="126" customFormat="1" ht="15.5" x14ac:dyDescent="0.35">
      <c r="B52" s="268" t="s">
        <v>165</v>
      </c>
      <c r="C52" s="272"/>
      <c r="D52" s="270"/>
      <c r="E52" s="270"/>
      <c r="F52" s="270"/>
      <c r="G52" s="270"/>
      <c r="H52" s="270"/>
      <c r="I52" s="270"/>
      <c r="J52" s="271"/>
      <c r="K52" s="271"/>
      <c r="L52" s="271"/>
      <c r="M52" s="271"/>
      <c r="N52" s="271"/>
      <c r="O52" s="271"/>
      <c r="P52" s="92"/>
    </row>
    <row r="53" spans="2:26" s="126" customFormat="1" x14ac:dyDescent="0.35">
      <c r="B53" s="462" t="s">
        <v>167</v>
      </c>
      <c r="C53" s="462"/>
      <c r="D53" s="462"/>
      <c r="E53" s="462"/>
      <c r="F53" s="462"/>
      <c r="G53" s="462"/>
      <c r="H53" s="462"/>
      <c r="I53" s="462"/>
      <c r="P53" s="92"/>
      <c r="Z53" s="128" t="s">
        <v>97</v>
      </c>
    </row>
    <row r="54" spans="2:26" s="126" customFormat="1" x14ac:dyDescent="0.35">
      <c r="B54" s="173"/>
      <c r="C54" s="173"/>
      <c r="D54" s="173"/>
      <c r="E54" s="173"/>
      <c r="F54" s="173"/>
      <c r="G54" s="173"/>
      <c r="H54" s="173"/>
      <c r="I54" s="173"/>
      <c r="P54" s="92"/>
      <c r="Z54" s="128"/>
    </row>
    <row r="55" spans="2:26" s="126" customFormat="1" x14ac:dyDescent="0.35">
      <c r="B55" s="173" t="s">
        <v>97</v>
      </c>
      <c r="C55" s="173"/>
      <c r="D55" s="173"/>
      <c r="P55" s="92"/>
      <c r="Z55" s="128"/>
    </row>
    <row r="56" spans="2:26" s="126" customFormat="1" x14ac:dyDescent="0.35">
      <c r="B56" s="175" t="s">
        <v>168</v>
      </c>
      <c r="C56" s="138"/>
      <c r="D56" s="176"/>
      <c r="P56" s="92"/>
    </row>
    <row r="57" spans="2:26" s="126" customFormat="1" x14ac:dyDescent="0.35">
      <c r="B57" s="177" t="s">
        <v>169</v>
      </c>
      <c r="C57" s="178"/>
      <c r="D57" s="356">
        <v>1000</v>
      </c>
      <c r="P57" s="92"/>
    </row>
    <row r="58" spans="2:26" s="126" customFormat="1" x14ac:dyDescent="0.35">
      <c r="B58" s="179" t="s">
        <v>170</v>
      </c>
      <c r="C58" s="180"/>
      <c r="D58" s="357">
        <f>+'QUESTION 3'!D10</f>
        <v>96.5</v>
      </c>
      <c r="P58" s="92"/>
    </row>
    <row r="59" spans="2:26" s="126" customFormat="1" x14ac:dyDescent="0.35">
      <c r="B59" s="179" t="s">
        <v>171</v>
      </c>
      <c r="C59" s="180"/>
      <c r="D59" s="358" t="s">
        <v>172</v>
      </c>
      <c r="P59" s="92"/>
    </row>
    <row r="60" spans="2:26" s="126" customFormat="1" x14ac:dyDescent="0.35">
      <c r="B60" s="179" t="s">
        <v>173</v>
      </c>
      <c r="C60" s="181"/>
      <c r="D60" s="359">
        <f>+'QUESTION 3'!D12</f>
        <v>0.09</v>
      </c>
      <c r="P60" s="92"/>
    </row>
    <row r="61" spans="2:26" s="126" customFormat="1" ht="15" thickBot="1" x14ac:dyDescent="0.4">
      <c r="B61" s="182" t="s">
        <v>174</v>
      </c>
      <c r="C61" s="183"/>
      <c r="D61" s="360" t="s">
        <v>175</v>
      </c>
      <c r="P61" s="92"/>
    </row>
    <row r="62" spans="2:26" s="126" customFormat="1" x14ac:dyDescent="0.35">
      <c r="C62" s="184"/>
      <c r="P62" s="92"/>
    </row>
    <row r="63" spans="2:26" s="126" customFormat="1" x14ac:dyDescent="0.35">
      <c r="B63" s="173" t="s">
        <v>85</v>
      </c>
      <c r="C63" s="173"/>
      <c r="P63" s="92"/>
    </row>
    <row r="64" spans="2:26" s="126" customFormat="1" x14ac:dyDescent="0.35">
      <c r="B64" s="185" t="s">
        <v>176</v>
      </c>
      <c r="C64" s="353">
        <f>+'QUESTION 3'!C16</f>
        <v>965</v>
      </c>
      <c r="P64" s="92">
        <v>3</v>
      </c>
    </row>
    <row r="65" spans="1:29" s="126" customFormat="1" x14ac:dyDescent="0.35">
      <c r="B65" s="185" t="s">
        <v>177</v>
      </c>
      <c r="C65" s="353">
        <f>+'QUESTION 3'!C17</f>
        <v>992.75</v>
      </c>
      <c r="P65" s="92">
        <v>4</v>
      </c>
    </row>
    <row r="66" spans="1:29" s="126" customFormat="1" x14ac:dyDescent="0.35">
      <c r="B66" s="185" t="s">
        <v>178</v>
      </c>
      <c r="C66" s="171">
        <f>+'QUESTION 3'!C18</f>
        <v>9.3264248704663211E-2</v>
      </c>
      <c r="P66" s="92">
        <v>3</v>
      </c>
    </row>
    <row r="67" spans="1:29" x14ac:dyDescent="0.35">
      <c r="P67" s="92"/>
    </row>
    <row r="68" spans="1:29" s="126" customFormat="1" ht="16" thickBot="1" x14ac:dyDescent="0.4">
      <c r="B68" s="268" t="s">
        <v>207</v>
      </c>
      <c r="C68" s="269"/>
      <c r="D68" s="270"/>
      <c r="E68" s="270"/>
      <c r="F68" s="270"/>
      <c r="G68" s="270"/>
      <c r="H68" s="270"/>
      <c r="I68" s="270"/>
      <c r="J68" s="270"/>
      <c r="K68" s="271"/>
      <c r="L68" s="271"/>
      <c r="M68" s="271"/>
      <c r="N68" s="271"/>
      <c r="O68" s="271"/>
      <c r="P68" s="92"/>
    </row>
    <row r="69" spans="1:29" s="126" customFormat="1" ht="15" thickBot="1" x14ac:dyDescent="0.4">
      <c r="B69" s="127" t="s">
        <v>179</v>
      </c>
      <c r="P69" s="92"/>
      <c r="AA69" s="186">
        <v>15000</v>
      </c>
      <c r="AC69" s="187">
        <f>+'RESTICTED-SUMMARY ANSWERS'!AA65</f>
        <v>0</v>
      </c>
    </row>
    <row r="70" spans="1:29" s="126" customFormat="1" x14ac:dyDescent="0.35">
      <c r="P70" s="92"/>
    </row>
    <row r="71" spans="1:29" s="126" customFormat="1" x14ac:dyDescent="0.35">
      <c r="A71" s="188"/>
      <c r="B71" s="201" t="s">
        <v>97</v>
      </c>
      <c r="C71" s="189"/>
      <c r="D71" s="189"/>
      <c r="E71" s="189"/>
      <c r="F71" s="189"/>
      <c r="G71" s="188"/>
      <c r="P71" s="92"/>
    </row>
    <row r="72" spans="1:29" s="126" customFormat="1" x14ac:dyDescent="0.35">
      <c r="A72" s="188"/>
      <c r="B72" s="190" t="s">
        <v>195</v>
      </c>
      <c r="C72" s="188"/>
      <c r="D72" s="188"/>
      <c r="E72" s="188"/>
      <c r="F72" s="188"/>
      <c r="G72" s="188"/>
      <c r="P72" s="92"/>
    </row>
    <row r="73" spans="1:29" s="126" customFormat="1" x14ac:dyDescent="0.35">
      <c r="A73" s="188"/>
      <c r="B73" s="434" t="s">
        <v>180</v>
      </c>
      <c r="C73" s="431"/>
      <c r="D73" s="361">
        <v>43631</v>
      </c>
      <c r="E73" s="188"/>
      <c r="F73" s="188"/>
      <c r="G73" s="188"/>
      <c r="P73" s="92"/>
    </row>
    <row r="74" spans="1:29" s="126" customFormat="1" x14ac:dyDescent="0.35">
      <c r="A74" s="188"/>
      <c r="B74" s="431" t="s">
        <v>196</v>
      </c>
      <c r="C74" s="431"/>
      <c r="D74" s="362">
        <v>1000</v>
      </c>
      <c r="E74" s="188"/>
      <c r="F74" s="188"/>
      <c r="G74" s="188"/>
      <c r="P74" s="92"/>
    </row>
    <row r="75" spans="1:29" s="126" customFormat="1" x14ac:dyDescent="0.35">
      <c r="A75" s="188"/>
      <c r="B75" s="431" t="s">
        <v>197</v>
      </c>
      <c r="C75" s="431"/>
      <c r="D75" s="363">
        <v>45</v>
      </c>
      <c r="E75" s="188"/>
      <c r="F75" s="188"/>
      <c r="G75" s="188"/>
      <c r="P75" s="92"/>
    </row>
    <row r="76" spans="1:29" s="126" customFormat="1" x14ac:dyDescent="0.35">
      <c r="A76" s="188"/>
      <c r="B76" s="431" t="s">
        <v>198</v>
      </c>
      <c r="C76" s="431"/>
      <c r="D76" s="362">
        <v>9</v>
      </c>
      <c r="E76" s="188"/>
      <c r="F76" s="188"/>
      <c r="G76" s="188"/>
      <c r="P76" s="92"/>
    </row>
    <row r="77" spans="1:29" s="126" customFormat="1" x14ac:dyDescent="0.35">
      <c r="A77" s="188"/>
      <c r="B77" s="431" t="s">
        <v>184</v>
      </c>
      <c r="C77" s="431"/>
      <c r="D77" s="362">
        <v>100</v>
      </c>
      <c r="E77" s="188"/>
      <c r="F77" s="188"/>
      <c r="G77" s="188"/>
      <c r="P77" s="92"/>
    </row>
    <row r="78" spans="1:29" s="126" customFormat="1" x14ac:dyDescent="0.35">
      <c r="A78" s="188"/>
      <c r="B78" s="431" t="s">
        <v>185</v>
      </c>
      <c r="C78" s="431"/>
      <c r="D78" s="362">
        <v>2</v>
      </c>
      <c r="E78" s="188"/>
      <c r="F78" s="188"/>
      <c r="G78" s="188"/>
      <c r="P78" s="92"/>
    </row>
    <row r="79" spans="1:29" s="126" customFormat="1" x14ac:dyDescent="0.35">
      <c r="A79" s="188"/>
      <c r="B79" s="431" t="s">
        <v>182</v>
      </c>
      <c r="C79" s="431"/>
      <c r="D79" s="354">
        <f>+'QUESTION 4'!D15</f>
        <v>46919</v>
      </c>
      <c r="E79" s="191" t="s">
        <v>199</v>
      </c>
      <c r="F79" s="188"/>
      <c r="G79" s="188"/>
      <c r="P79" s="92"/>
    </row>
    <row r="80" spans="1:29" s="126" customFormat="1" x14ac:dyDescent="0.35">
      <c r="A80" s="188"/>
      <c r="B80" s="188"/>
      <c r="C80" s="188"/>
      <c r="D80" s="188"/>
      <c r="E80" s="188"/>
      <c r="F80" s="188"/>
      <c r="G80" s="188"/>
      <c r="P80" s="92"/>
    </row>
    <row r="81" spans="1:16" s="126" customFormat="1" x14ac:dyDescent="0.35">
      <c r="A81" s="188"/>
      <c r="B81" s="192" t="s">
        <v>187</v>
      </c>
      <c r="C81" s="188"/>
      <c r="D81" s="193"/>
      <c r="E81" s="188"/>
      <c r="F81" s="188"/>
      <c r="G81" s="188"/>
      <c r="P81" s="92"/>
    </row>
    <row r="82" spans="1:16" s="126" customFormat="1" ht="29" x14ac:dyDescent="0.35">
      <c r="A82" s="188"/>
      <c r="B82" s="194" t="s">
        <v>188</v>
      </c>
      <c r="C82" s="195" t="s">
        <v>194</v>
      </c>
      <c r="D82" s="196" t="s">
        <v>200</v>
      </c>
      <c r="E82" s="188"/>
      <c r="F82" s="188"/>
      <c r="G82" s="188"/>
      <c r="P82" s="92"/>
    </row>
    <row r="83" spans="1:16" s="126" customFormat="1" x14ac:dyDescent="0.35">
      <c r="A83" s="188"/>
      <c r="B83" s="197" t="s">
        <v>189</v>
      </c>
      <c r="C83" s="198">
        <v>104</v>
      </c>
      <c r="D83" s="199">
        <f>+'QUESTION 4'!D19</f>
        <v>43997</v>
      </c>
      <c r="E83" s="191" t="s">
        <v>199</v>
      </c>
      <c r="F83" s="188"/>
      <c r="G83" s="188"/>
      <c r="P83" s="92"/>
    </row>
    <row r="84" spans="1:16" s="126" customFormat="1" x14ac:dyDescent="0.35">
      <c r="A84" s="188"/>
      <c r="B84" s="197" t="s">
        <v>190</v>
      </c>
      <c r="C84" s="198">
        <v>103</v>
      </c>
      <c r="D84" s="199">
        <f>+'QUESTION 4'!D20</f>
        <v>44362</v>
      </c>
      <c r="E84" s="191" t="s">
        <v>199</v>
      </c>
      <c r="F84" s="188"/>
      <c r="G84" s="188"/>
      <c r="P84" s="92"/>
    </row>
    <row r="85" spans="1:16" s="126" customFormat="1" x14ac:dyDescent="0.35">
      <c r="A85" s="188"/>
      <c r="B85" s="197" t="s">
        <v>191</v>
      </c>
      <c r="C85" s="198">
        <v>102</v>
      </c>
      <c r="D85" s="199">
        <f>+'QUESTION 4'!D21</f>
        <v>44727</v>
      </c>
      <c r="E85" s="191" t="s">
        <v>199</v>
      </c>
      <c r="F85" s="188"/>
      <c r="G85" s="188"/>
      <c r="P85" s="92"/>
    </row>
    <row r="86" spans="1:16" s="126" customFormat="1" x14ac:dyDescent="0.35">
      <c r="A86" s="188"/>
      <c r="B86" s="197" t="s">
        <v>192</v>
      </c>
      <c r="C86" s="198">
        <v>101</v>
      </c>
      <c r="D86" s="199">
        <f>+'QUESTION 4'!D22</f>
        <v>45092</v>
      </c>
      <c r="E86" s="191" t="s">
        <v>199</v>
      </c>
      <c r="F86" s="188"/>
      <c r="G86" s="188"/>
      <c r="P86" s="92"/>
    </row>
    <row r="87" spans="1:16" s="126" customFormat="1" x14ac:dyDescent="0.35">
      <c r="A87" s="188"/>
      <c r="B87" s="200"/>
      <c r="C87" s="201"/>
      <c r="D87" s="188"/>
      <c r="E87" s="188"/>
      <c r="F87" s="188"/>
      <c r="G87" s="188"/>
      <c r="P87" s="92"/>
    </row>
    <row r="88" spans="1:16" s="126" customFormat="1" x14ac:dyDescent="0.35">
      <c r="A88" s="188"/>
      <c r="B88" s="190" t="s">
        <v>201</v>
      </c>
      <c r="C88" s="188"/>
      <c r="D88" s="188"/>
      <c r="E88" s="188"/>
      <c r="F88" s="188"/>
      <c r="G88" s="188"/>
      <c r="P88" s="92"/>
    </row>
    <row r="89" spans="1:16" s="126" customFormat="1" x14ac:dyDescent="0.35">
      <c r="A89" s="188"/>
      <c r="B89" s="435" t="s">
        <v>202</v>
      </c>
      <c r="C89" s="435"/>
      <c r="D89" s="460">
        <v>44158</v>
      </c>
      <c r="E89" s="461"/>
      <c r="F89" s="461"/>
      <c r="G89" s="188"/>
      <c r="P89" s="92"/>
    </row>
    <row r="90" spans="1:16" s="126" customFormat="1" x14ac:dyDescent="0.35">
      <c r="A90" s="188"/>
      <c r="B90" s="431" t="s">
        <v>181</v>
      </c>
      <c r="C90" s="431"/>
      <c r="D90" s="354">
        <f>+'QUESTION 4'!D26</f>
        <v>44161</v>
      </c>
      <c r="E90" s="202" t="s">
        <v>199</v>
      </c>
      <c r="F90" s="203"/>
      <c r="G90" s="188"/>
      <c r="P90" s="92"/>
    </row>
    <row r="91" spans="1:16" s="126" customFormat="1" x14ac:dyDescent="0.35">
      <c r="A91" s="188"/>
      <c r="B91" s="431" t="s">
        <v>183</v>
      </c>
      <c r="C91" s="431"/>
      <c r="D91" s="364">
        <v>98</v>
      </c>
      <c r="E91" s="188"/>
      <c r="F91" s="188"/>
      <c r="G91" s="188"/>
      <c r="P91" s="92"/>
    </row>
    <row r="92" spans="1:16" s="126" customFormat="1" x14ac:dyDescent="0.35">
      <c r="A92" s="188"/>
      <c r="B92" s="188"/>
      <c r="C92" s="188"/>
      <c r="D92" s="204"/>
      <c r="E92" s="188"/>
      <c r="F92" s="188"/>
      <c r="G92" s="188"/>
      <c r="P92" s="92">
        <v>3</v>
      </c>
    </row>
    <row r="93" spans="1:16" s="126" customFormat="1" ht="15" thickBot="1" x14ac:dyDescent="0.4">
      <c r="B93" s="273" t="s">
        <v>85</v>
      </c>
      <c r="C93" s="273"/>
      <c r="D93" s="255"/>
      <c r="E93" s="273"/>
      <c r="F93" s="205"/>
      <c r="P93" s="92">
        <v>3</v>
      </c>
    </row>
    <row r="94" spans="1:16" s="126" customFormat="1" ht="16" customHeight="1" thickTop="1" x14ac:dyDescent="0.35">
      <c r="B94" s="206" t="s">
        <v>186</v>
      </c>
      <c r="C94" s="207">
        <f>+'QUESTION 4'!C30</f>
        <v>9.3735833850466299E-2</v>
      </c>
      <c r="D94" s="188"/>
      <c r="E94" s="208" t="s">
        <v>203</v>
      </c>
      <c r="F94" s="209" t="e">
        <f>+'QUESTION 4'!F30</f>
        <v>#NUM!</v>
      </c>
      <c r="P94" s="92">
        <v>3</v>
      </c>
    </row>
    <row r="95" spans="1:16" s="126" customFormat="1" ht="16" customHeight="1" x14ac:dyDescent="0.35">
      <c r="B95" s="206" t="s">
        <v>193</v>
      </c>
      <c r="C95" s="207">
        <f>+'QUESTION 4'!C31</f>
        <v>9.3735833850466299E-2</v>
      </c>
      <c r="D95" s="200"/>
      <c r="E95" s="208" t="s">
        <v>204</v>
      </c>
      <c r="F95" s="207">
        <f>+'QUESTION 4'!F31</f>
        <v>0.18332072559786089</v>
      </c>
      <c r="P95" s="92">
        <v>3</v>
      </c>
    </row>
    <row r="96" spans="1:16" s="126" customFormat="1" ht="16" customHeight="1" x14ac:dyDescent="0.35">
      <c r="C96" s="188"/>
      <c r="D96" s="188"/>
      <c r="E96" s="208" t="s">
        <v>205</v>
      </c>
      <c r="F96" s="207">
        <f>+'QUESTION 4'!F32</f>
        <v>0.1164840676378167</v>
      </c>
      <c r="P96" s="92">
        <v>3</v>
      </c>
    </row>
    <row r="97" spans="1:29" s="126" customFormat="1" ht="16" customHeight="1" x14ac:dyDescent="0.35">
      <c r="C97" s="188"/>
      <c r="D97" s="188"/>
      <c r="E97" s="208" t="s">
        <v>206</v>
      </c>
      <c r="F97" s="207">
        <f>+'QUESTION 4'!F33</f>
        <v>0.10258041182816466</v>
      </c>
      <c r="P97" s="92"/>
    </row>
    <row r="98" spans="1:29" x14ac:dyDescent="0.35">
      <c r="P98" s="92"/>
    </row>
    <row r="99" spans="1:29" s="126" customFormat="1" ht="16" thickBot="1" x14ac:dyDescent="0.4">
      <c r="B99" s="268" t="s">
        <v>224</v>
      </c>
      <c r="C99" s="269"/>
      <c r="D99" s="270"/>
      <c r="E99" s="270"/>
      <c r="F99" s="270"/>
      <c r="G99" s="270"/>
      <c r="H99" s="270"/>
      <c r="I99" s="270"/>
      <c r="J99" s="270"/>
      <c r="K99" s="271"/>
      <c r="L99" s="271"/>
      <c r="M99" s="271"/>
      <c r="N99" s="271"/>
      <c r="O99" s="271"/>
      <c r="P99" s="92"/>
    </row>
    <row r="100" spans="1:29" s="126" customFormat="1" ht="15" thickBot="1" x14ac:dyDescent="0.4">
      <c r="B100" s="462" t="s">
        <v>208</v>
      </c>
      <c r="C100" s="462"/>
      <c r="D100" s="462"/>
      <c r="E100" s="462"/>
      <c r="F100" s="462"/>
      <c r="G100" s="462"/>
      <c r="H100" s="462"/>
      <c r="I100" s="462"/>
      <c r="P100" s="92"/>
      <c r="AA100" s="186">
        <v>15000</v>
      </c>
      <c r="AC100" s="187">
        <f>+'RESTICTED-SUMMARY ANSWERS'!AA96</f>
        <v>0</v>
      </c>
    </row>
    <row r="101" spans="1:29" s="126" customFormat="1" x14ac:dyDescent="0.3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P101" s="92"/>
    </row>
    <row r="102" spans="1:29" s="126" customFormat="1" x14ac:dyDescent="0.35">
      <c r="A102" s="46"/>
      <c r="B102" s="201" t="s">
        <v>97</v>
      </c>
      <c r="C102" s="201"/>
      <c r="D102" s="201"/>
      <c r="E102" s="46"/>
      <c r="F102" s="46"/>
      <c r="G102" s="46"/>
      <c r="H102" s="46"/>
      <c r="I102" s="46"/>
      <c r="J102" s="46"/>
      <c r="K102" s="46"/>
      <c r="P102" s="92"/>
    </row>
    <row r="103" spans="1:29" s="126" customFormat="1" x14ac:dyDescent="0.35">
      <c r="A103" s="46"/>
      <c r="B103" s="454" t="s">
        <v>169</v>
      </c>
      <c r="C103" s="455"/>
      <c r="D103" s="365">
        <v>1000</v>
      </c>
      <c r="E103" s="46"/>
      <c r="F103" s="46"/>
      <c r="G103" s="46"/>
      <c r="H103" s="46"/>
      <c r="I103" s="46"/>
      <c r="J103" s="46"/>
      <c r="K103" s="46"/>
      <c r="P103" s="92"/>
    </row>
    <row r="104" spans="1:29" s="126" customFormat="1" x14ac:dyDescent="0.35">
      <c r="A104" s="46"/>
      <c r="B104" s="454" t="s">
        <v>173</v>
      </c>
      <c r="C104" s="455"/>
      <c r="D104" s="366">
        <v>7.4999999999999997E-2</v>
      </c>
      <c r="E104" s="46"/>
      <c r="F104" s="46"/>
      <c r="G104" s="46"/>
      <c r="H104" s="46"/>
      <c r="I104" s="46"/>
      <c r="J104" s="46"/>
      <c r="K104" s="46"/>
      <c r="P104" s="92"/>
    </row>
    <row r="105" spans="1:29" s="126" customFormat="1" x14ac:dyDescent="0.35">
      <c r="A105" s="46"/>
      <c r="B105" s="210" t="s">
        <v>209</v>
      </c>
      <c r="C105" s="211"/>
      <c r="D105" s="366">
        <v>0.1</v>
      </c>
      <c r="E105" s="46"/>
      <c r="F105" s="46"/>
      <c r="G105" s="46"/>
      <c r="H105" s="46"/>
      <c r="I105" s="46"/>
      <c r="J105" s="46"/>
      <c r="K105" s="46"/>
      <c r="P105" s="92"/>
    </row>
    <row r="106" spans="1:29" s="126" customFormat="1" x14ac:dyDescent="0.35">
      <c r="A106" s="46"/>
      <c r="B106" s="175" t="s">
        <v>210</v>
      </c>
      <c r="C106" s="212"/>
      <c r="D106" s="367">
        <v>3</v>
      </c>
      <c r="E106" s="46"/>
      <c r="F106" s="46"/>
      <c r="G106" s="46"/>
      <c r="H106" s="46"/>
      <c r="I106" s="46"/>
      <c r="J106" s="46"/>
      <c r="K106" s="46"/>
      <c r="P106" s="92"/>
    </row>
    <row r="107" spans="1:29" s="126" customFormat="1" x14ac:dyDescent="0.35">
      <c r="A107" s="46"/>
      <c r="B107" s="175" t="s">
        <v>211</v>
      </c>
      <c r="C107" s="212"/>
      <c r="D107" s="368">
        <v>100</v>
      </c>
      <c r="E107" s="46"/>
      <c r="F107" s="46"/>
      <c r="G107" s="46"/>
      <c r="H107" s="46"/>
      <c r="I107" s="46"/>
      <c r="J107" s="46"/>
      <c r="K107" s="46"/>
      <c r="P107" s="92"/>
    </row>
    <row r="108" spans="1:29" s="126" customFormat="1" x14ac:dyDescent="0.35">
      <c r="A108" s="46"/>
      <c r="B108" s="175" t="s">
        <v>212</v>
      </c>
      <c r="C108" s="212"/>
      <c r="D108" s="368">
        <v>2</v>
      </c>
      <c r="E108" s="46"/>
      <c r="F108" s="46"/>
      <c r="G108" s="46"/>
      <c r="H108" s="46"/>
      <c r="I108" s="46"/>
      <c r="J108" s="46"/>
      <c r="K108" s="46"/>
      <c r="P108" s="92"/>
    </row>
    <row r="109" spans="1:29" s="126" customFormat="1" x14ac:dyDescent="0.3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P109" s="92"/>
    </row>
    <row r="110" spans="1:29" s="126" customFormat="1" x14ac:dyDescent="0.3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P110" s="92"/>
    </row>
    <row r="111" spans="1:29" s="126" customFormat="1" x14ac:dyDescent="0.3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P111" s="92"/>
    </row>
    <row r="112" spans="1:29" s="126" customFormat="1" x14ac:dyDescent="0.35">
      <c r="A112" s="46"/>
      <c r="B112" s="273" t="s">
        <v>85</v>
      </c>
      <c r="C112" s="205"/>
      <c r="D112" s="205"/>
      <c r="E112" s="205"/>
      <c r="F112" s="205"/>
      <c r="G112" s="46"/>
      <c r="H112" s="46"/>
      <c r="I112" s="46"/>
      <c r="J112" s="46"/>
      <c r="K112" s="46"/>
      <c r="P112" s="92"/>
    </row>
    <row r="113" spans="1:16" s="126" customFormat="1" x14ac:dyDescent="0.35">
      <c r="A113" s="46"/>
      <c r="B113" s="173" t="s">
        <v>213</v>
      </c>
      <c r="C113" s="213" t="s">
        <v>214</v>
      </c>
      <c r="D113" s="213" t="s">
        <v>215</v>
      </c>
      <c r="E113" s="214" t="s">
        <v>216</v>
      </c>
      <c r="F113" s="215" t="s">
        <v>217</v>
      </c>
      <c r="G113" s="46"/>
      <c r="H113" s="46"/>
      <c r="I113" s="46"/>
      <c r="J113" s="46"/>
      <c r="K113" s="46"/>
      <c r="P113" s="92"/>
    </row>
    <row r="114" spans="1:16" s="126" customFormat="1" x14ac:dyDescent="0.35">
      <c r="A114" s="46"/>
      <c r="B114" s="173" t="s">
        <v>218</v>
      </c>
      <c r="C114" s="173"/>
      <c r="D114" s="213"/>
      <c r="E114" s="214" t="s">
        <v>219</v>
      </c>
      <c r="F114" s="213" t="s">
        <v>220</v>
      </c>
      <c r="G114" s="46"/>
      <c r="H114" s="46"/>
      <c r="I114" s="46"/>
      <c r="J114" s="46"/>
      <c r="K114" s="46"/>
      <c r="P114" s="92">
        <v>3</v>
      </c>
    </row>
    <row r="115" spans="1:16" s="126" customFormat="1" x14ac:dyDescent="0.35">
      <c r="A115" s="46"/>
      <c r="B115" s="216">
        <v>1</v>
      </c>
      <c r="C115" s="217">
        <f>+'QUESTION 5'!C18</f>
        <v>37.5</v>
      </c>
      <c r="D115" s="218">
        <f>+'QUESTION 5'!D18</f>
        <v>35.714285714285715</v>
      </c>
      <c r="E115" s="219">
        <f>+'QUESTION 5'!E18</f>
        <v>3.8133723700297842E-2</v>
      </c>
      <c r="F115" s="220">
        <f>+'QUESTION 5'!F18</f>
        <v>3.8133723700297842E-2</v>
      </c>
      <c r="G115" s="46"/>
      <c r="H115" s="46"/>
      <c r="I115" s="46"/>
      <c r="J115" s="46"/>
      <c r="K115" s="46"/>
      <c r="P115" s="92">
        <v>5</v>
      </c>
    </row>
    <row r="116" spans="1:16" s="126" customFormat="1" x14ac:dyDescent="0.35">
      <c r="A116" s="46"/>
      <c r="B116" s="216">
        <v>2</v>
      </c>
      <c r="C116" s="217">
        <f>+'QUESTION 5'!C19</f>
        <v>37.5</v>
      </c>
      <c r="D116" s="218">
        <f>+'QUESTION 5'!D19</f>
        <v>34.013605442176868</v>
      </c>
      <c r="E116" s="219">
        <f>+'QUESTION 5'!E19</f>
        <v>3.6317832095521752E-2</v>
      </c>
      <c r="F116" s="220">
        <f>+'QUESTION 5'!F19</f>
        <v>7.2635664191043503E-2</v>
      </c>
      <c r="G116" s="46"/>
      <c r="H116" s="46"/>
      <c r="I116" s="46"/>
      <c r="J116" s="46"/>
      <c r="K116" s="46"/>
      <c r="P116" s="92">
        <v>5</v>
      </c>
    </row>
    <row r="117" spans="1:16" s="126" customFormat="1" x14ac:dyDescent="0.35">
      <c r="A117" s="46"/>
      <c r="B117" s="216">
        <v>3</v>
      </c>
      <c r="C117" s="217">
        <f>+'QUESTION 5'!C20</f>
        <v>37.5</v>
      </c>
      <c r="D117" s="218">
        <f>+'QUESTION 5'!D20</f>
        <v>32.39390994493035</v>
      </c>
      <c r="E117" s="219">
        <f>+'QUESTION 5'!E20</f>
        <v>3.4588411519544525E-2</v>
      </c>
      <c r="F117" s="220">
        <f>+'QUESTION 5'!F20</f>
        <v>0.10376523455863357</v>
      </c>
      <c r="G117" s="46"/>
      <c r="H117" s="46"/>
      <c r="I117" s="46"/>
      <c r="J117" s="46"/>
      <c r="K117" s="46"/>
      <c r="P117" s="92"/>
    </row>
    <row r="118" spans="1:16" s="126" customFormat="1" x14ac:dyDescent="0.35">
      <c r="A118" s="46"/>
      <c r="B118" s="216">
        <v>4</v>
      </c>
      <c r="C118" s="217">
        <f>+'QUESTION 5'!C21</f>
        <v>37.5</v>
      </c>
      <c r="D118" s="218">
        <f>+'QUESTION 5'!D21</f>
        <v>30.851342804695573</v>
      </c>
      <c r="E118" s="219">
        <f>+'QUESTION 5'!E21</f>
        <v>3.2941344304328123E-2</v>
      </c>
      <c r="F118" s="220">
        <f>+'QUESTION 5'!F21</f>
        <v>0.13176537721731249</v>
      </c>
      <c r="G118" s="46"/>
      <c r="H118" s="46"/>
      <c r="I118" s="46"/>
      <c r="J118" s="46"/>
      <c r="K118" s="46"/>
      <c r="P118" s="92"/>
    </row>
    <row r="119" spans="1:16" s="126" customFormat="1" x14ac:dyDescent="0.35">
      <c r="A119" s="46"/>
      <c r="B119" s="216">
        <v>5</v>
      </c>
      <c r="C119" s="217">
        <f>+'QUESTION 5'!C22</f>
        <v>37.5</v>
      </c>
      <c r="D119" s="218">
        <f>+'QUESTION 5'!D22</f>
        <v>29.382231242567212</v>
      </c>
      <c r="E119" s="219">
        <f>+'QUESTION 5'!E22</f>
        <v>3.1372708861264878E-2</v>
      </c>
      <c r="F119" s="220">
        <f>+'QUESTION 5'!F22</f>
        <v>0.15686354430632438</v>
      </c>
      <c r="G119" s="46"/>
      <c r="H119" s="46"/>
      <c r="I119" s="46"/>
      <c r="J119" s="46"/>
      <c r="K119" s="46"/>
      <c r="P119" s="92"/>
    </row>
    <row r="120" spans="1:16" s="126" customFormat="1" x14ac:dyDescent="0.35">
      <c r="A120" s="46"/>
      <c r="B120" s="216">
        <v>6</v>
      </c>
      <c r="C120" s="217">
        <f>+'QUESTION 5'!C23</f>
        <v>1037.5</v>
      </c>
      <c r="D120" s="218">
        <f>+'QUESTION 5'!D23</f>
        <v>774.19847401050117</v>
      </c>
      <c r="E120" s="219">
        <f>+'QUESTION 5'!E23</f>
        <v>0.82664597951904284</v>
      </c>
      <c r="F120" s="220">
        <f>+'QUESTION 5'!F23</f>
        <v>4.959875877114257</v>
      </c>
      <c r="G120" s="46"/>
      <c r="H120" s="46"/>
      <c r="I120" s="46"/>
      <c r="J120" s="46"/>
      <c r="K120" s="46"/>
      <c r="P120" s="92"/>
    </row>
    <row r="121" spans="1:16" s="126" customFormat="1" x14ac:dyDescent="0.35">
      <c r="A121" s="46"/>
      <c r="B121" s="216">
        <v>7</v>
      </c>
      <c r="C121" s="217">
        <f>+'QUESTION 5'!C24</f>
        <v>0</v>
      </c>
      <c r="D121" s="218">
        <f>+'QUESTION 5'!D24</f>
        <v>0</v>
      </c>
      <c r="E121" s="219">
        <f>+'QUESTION 5'!E24</f>
        <v>0</v>
      </c>
      <c r="F121" s="220">
        <f>+'QUESTION 5'!F24</f>
        <v>0</v>
      </c>
      <c r="G121" s="46"/>
      <c r="H121" s="46"/>
      <c r="I121" s="46"/>
      <c r="J121" s="46"/>
      <c r="K121" s="46"/>
      <c r="P121" s="92"/>
    </row>
    <row r="122" spans="1:16" s="126" customFormat="1" x14ac:dyDescent="0.35">
      <c r="A122" s="46"/>
      <c r="B122" s="216">
        <v>8</v>
      </c>
      <c r="C122" s="217">
        <f>+'QUESTION 5'!C25</f>
        <v>0</v>
      </c>
      <c r="D122" s="218">
        <f>+'QUESTION 5'!D25</f>
        <v>0</v>
      </c>
      <c r="E122" s="219">
        <f>+'QUESTION 5'!E25</f>
        <v>0</v>
      </c>
      <c r="F122" s="220">
        <f>+'QUESTION 5'!F25</f>
        <v>0</v>
      </c>
      <c r="G122" s="46"/>
      <c r="H122" s="46"/>
      <c r="I122" s="46"/>
      <c r="J122" s="46"/>
      <c r="K122" s="46"/>
      <c r="P122" s="92"/>
    </row>
    <row r="123" spans="1:16" s="126" customFormat="1" x14ac:dyDescent="0.35">
      <c r="A123" s="46"/>
      <c r="B123" s="216">
        <v>9</v>
      </c>
      <c r="C123" s="217">
        <f>+'QUESTION 5'!C26</f>
        <v>0</v>
      </c>
      <c r="D123" s="218">
        <f>+'QUESTION 5'!D26</f>
        <v>0</v>
      </c>
      <c r="E123" s="219">
        <f>+'QUESTION 5'!E26</f>
        <v>0</v>
      </c>
      <c r="F123" s="220">
        <f>+'QUESTION 5'!F26</f>
        <v>0</v>
      </c>
      <c r="G123" s="46"/>
      <c r="H123" s="46"/>
      <c r="I123" s="46"/>
      <c r="J123" s="46"/>
      <c r="K123" s="46"/>
      <c r="P123" s="92"/>
    </row>
    <row r="124" spans="1:16" s="126" customFormat="1" x14ac:dyDescent="0.35">
      <c r="A124" s="46"/>
      <c r="B124" s="216">
        <v>10</v>
      </c>
      <c r="C124" s="217">
        <f>+'QUESTION 5'!C27</f>
        <v>0</v>
      </c>
      <c r="D124" s="218">
        <f>+'QUESTION 5'!D27</f>
        <v>0</v>
      </c>
      <c r="E124" s="219">
        <f>+'QUESTION 5'!E27</f>
        <v>0</v>
      </c>
      <c r="F124" s="220">
        <f>+'QUESTION 5'!F27</f>
        <v>0</v>
      </c>
      <c r="G124" s="46"/>
      <c r="H124" s="46"/>
      <c r="I124" s="46"/>
      <c r="J124" s="46"/>
      <c r="K124" s="46"/>
      <c r="P124" s="92"/>
    </row>
    <row r="125" spans="1:16" s="126" customFormat="1" ht="9.5" customHeight="1" thickBot="1" x14ac:dyDescent="0.4">
      <c r="A125" s="46"/>
      <c r="B125" s="221"/>
      <c r="C125" s="221"/>
      <c r="D125" s="221"/>
      <c r="E125" s="221"/>
      <c r="F125" s="221"/>
      <c r="G125" s="221"/>
      <c r="H125" s="221"/>
      <c r="I125" s="46"/>
      <c r="J125" s="46"/>
      <c r="K125" s="46"/>
      <c r="P125" s="92"/>
    </row>
    <row r="126" spans="1:16" s="126" customFormat="1" ht="21.5" customHeight="1" thickBot="1" x14ac:dyDescent="0.4">
      <c r="A126" s="46"/>
      <c r="C126" s="222" t="s">
        <v>221</v>
      </c>
      <c r="D126" s="355">
        <f>+'QUESTION 5'!D29</f>
        <v>936.55384915915693</v>
      </c>
      <c r="E126" s="223" t="s">
        <v>222</v>
      </c>
      <c r="F126" s="224">
        <f>+'QUESTION 5'!F29</f>
        <v>2.7315197105439344</v>
      </c>
      <c r="G126" s="46"/>
      <c r="H126" s="46"/>
      <c r="I126" s="46"/>
      <c r="J126" s="46"/>
      <c r="K126" s="46"/>
      <c r="P126" s="92"/>
    </row>
    <row r="127" spans="1:16" x14ac:dyDescent="0.35">
      <c r="P127" s="92"/>
    </row>
    <row r="128" spans="1:16" s="126" customFormat="1" ht="15.5" x14ac:dyDescent="0.35">
      <c r="B128" s="268" t="s">
        <v>166</v>
      </c>
      <c r="C128" s="269"/>
      <c r="D128" s="270"/>
      <c r="E128" s="270"/>
      <c r="F128" s="270"/>
      <c r="G128" s="270"/>
      <c r="H128" s="270"/>
      <c r="I128" s="270"/>
      <c r="J128" s="270"/>
      <c r="K128" s="271"/>
      <c r="L128" s="271"/>
      <c r="M128" s="271"/>
      <c r="N128" s="271"/>
      <c r="O128" s="271"/>
      <c r="P128" s="92"/>
    </row>
    <row r="129" spans="2:24" s="126" customFormat="1" ht="34" customHeight="1" x14ac:dyDescent="0.35">
      <c r="B129" s="456" t="str">
        <f>"You obtain $10,000 margin loan with "&amp;X132*100&amp;"% interest to buy "&amp;+X133&amp;" shares of IBM $"&amp;+X134&amp;".  A year later you sold all the shares at $"&amp;+X135&amp;".  During the hold period you received a total dividend of $"&amp;+X136&amp;". What is your $ profit and return of your investment."</f>
        <v>You obtain $10,000 margin loan with 10% interest to buy 100 shares of IBM $200.  A year later you sold all the shares at $225.  During the hold period you received a total dividend of $450. What is your $ profit and return of your investment.</v>
      </c>
      <c r="C129" s="457"/>
      <c r="D129" s="457"/>
      <c r="E129" s="457"/>
      <c r="F129" s="457"/>
      <c r="G129" s="457"/>
      <c r="H129" s="457"/>
      <c r="I129" s="457"/>
      <c r="J129" s="457"/>
      <c r="K129" s="225"/>
      <c r="L129" s="225"/>
      <c r="P129" s="92"/>
    </row>
    <row r="130" spans="2:24" s="126" customFormat="1" x14ac:dyDescent="0.35">
      <c r="P130" s="92"/>
    </row>
    <row r="131" spans="2:24" s="126" customFormat="1" x14ac:dyDescent="0.35">
      <c r="B131" s="389" t="s">
        <v>147</v>
      </c>
      <c r="C131" s="226">
        <f>+'QUESTION 6'!C7</f>
        <v>1950</v>
      </c>
      <c r="P131" s="92">
        <v>5</v>
      </c>
      <c r="X131" s="184">
        <v>10000</v>
      </c>
    </row>
    <row r="132" spans="2:24" s="126" customFormat="1" x14ac:dyDescent="0.35">
      <c r="B132" s="389" t="s">
        <v>148</v>
      </c>
      <c r="C132" s="171">
        <f>+'QUESTION 6'!C8</f>
        <v>0.19500000000000001</v>
      </c>
      <c r="P132" s="92">
        <v>5</v>
      </c>
      <c r="X132" s="388">
        <v>0.1</v>
      </c>
    </row>
    <row r="133" spans="2:24" s="126" customFormat="1" x14ac:dyDescent="0.35">
      <c r="P133" s="92"/>
      <c r="X133" s="126">
        <v>100</v>
      </c>
    </row>
    <row r="134" spans="2:24" s="126" customFormat="1" x14ac:dyDescent="0.35">
      <c r="B134" s="227" t="s">
        <v>149</v>
      </c>
      <c r="C134" s="228"/>
      <c r="D134" s="228"/>
      <c r="E134" s="228"/>
      <c r="F134" s="228"/>
      <c r="G134" s="228"/>
      <c r="H134" s="228"/>
      <c r="I134" s="228"/>
      <c r="J134" s="229"/>
      <c r="P134" s="92"/>
      <c r="X134" s="126">
        <v>200</v>
      </c>
    </row>
    <row r="135" spans="2:24" s="126" customFormat="1" x14ac:dyDescent="0.35">
      <c r="B135" s="230"/>
      <c r="C135" s="188"/>
      <c r="D135" s="188"/>
      <c r="E135" s="188"/>
      <c r="F135" s="188"/>
      <c r="G135" s="188"/>
      <c r="H135" s="188"/>
      <c r="I135" s="188"/>
      <c r="J135" s="231"/>
      <c r="P135" s="92"/>
      <c r="X135" s="126">
        <v>225</v>
      </c>
    </row>
    <row r="136" spans="2:24" s="126" customFormat="1" x14ac:dyDescent="0.35">
      <c r="B136" s="230"/>
      <c r="C136" s="188"/>
      <c r="D136" s="188"/>
      <c r="E136" s="188"/>
      <c r="F136" s="188"/>
      <c r="G136" s="188"/>
      <c r="H136" s="188"/>
      <c r="I136" s="188"/>
      <c r="J136" s="231"/>
      <c r="P136" s="92"/>
      <c r="X136" s="126">
        <v>450</v>
      </c>
    </row>
    <row r="137" spans="2:24" s="126" customFormat="1" x14ac:dyDescent="0.35">
      <c r="B137" s="230"/>
      <c r="C137" s="188"/>
      <c r="D137" s="188"/>
      <c r="E137" s="188"/>
      <c r="F137" s="188"/>
      <c r="G137" s="188"/>
      <c r="H137" s="188"/>
      <c r="I137" s="188"/>
      <c r="J137" s="231"/>
      <c r="P137" s="92"/>
    </row>
    <row r="138" spans="2:24" s="126" customFormat="1" x14ac:dyDescent="0.35">
      <c r="B138" s="230"/>
      <c r="C138" s="188"/>
      <c r="D138" s="188"/>
      <c r="E138" s="188"/>
      <c r="F138" s="188"/>
      <c r="G138" s="188"/>
      <c r="H138" s="188"/>
      <c r="I138" s="188"/>
      <c r="J138" s="231"/>
      <c r="P138" s="92"/>
    </row>
    <row r="139" spans="2:24" s="126" customFormat="1" x14ac:dyDescent="0.35">
      <c r="B139" s="230"/>
      <c r="C139" s="188"/>
      <c r="D139" s="188"/>
      <c r="E139" s="188"/>
      <c r="F139" s="188"/>
      <c r="G139" s="188"/>
      <c r="H139" s="188"/>
      <c r="I139" s="188"/>
      <c r="J139" s="231"/>
      <c r="P139" s="92"/>
    </row>
    <row r="140" spans="2:24" s="126" customFormat="1" x14ac:dyDescent="0.35">
      <c r="B140" s="230"/>
      <c r="C140" s="188"/>
      <c r="D140" s="188"/>
      <c r="E140" s="188"/>
      <c r="F140" s="188"/>
      <c r="G140" s="188"/>
      <c r="H140" s="188"/>
      <c r="I140" s="188"/>
      <c r="J140" s="231"/>
      <c r="P140" s="92"/>
    </row>
    <row r="141" spans="2:24" s="126" customFormat="1" x14ac:dyDescent="0.35">
      <c r="B141" s="230"/>
      <c r="C141" s="188"/>
      <c r="D141" s="188"/>
      <c r="E141" s="188"/>
      <c r="F141" s="188"/>
      <c r="G141" s="188"/>
      <c r="H141" s="188"/>
      <c r="I141" s="188"/>
      <c r="J141" s="231"/>
      <c r="P141" s="92"/>
    </row>
    <row r="142" spans="2:24" s="126" customFormat="1" x14ac:dyDescent="0.35">
      <c r="B142" s="230"/>
      <c r="C142" s="188"/>
      <c r="D142" s="188"/>
      <c r="E142" s="188"/>
      <c r="F142" s="188"/>
      <c r="G142" s="188"/>
      <c r="H142" s="188"/>
      <c r="I142" s="188"/>
      <c r="J142" s="231"/>
      <c r="P142" s="92"/>
    </row>
    <row r="143" spans="2:24" s="126" customFormat="1" x14ac:dyDescent="0.35">
      <c r="B143" s="230"/>
      <c r="C143" s="188"/>
      <c r="D143" s="188"/>
      <c r="E143" s="188"/>
      <c r="F143" s="188"/>
      <c r="G143" s="188"/>
      <c r="H143" s="188"/>
      <c r="I143" s="188"/>
      <c r="J143" s="231"/>
      <c r="P143" s="92"/>
    </row>
    <row r="144" spans="2:24" s="126" customFormat="1" x14ac:dyDescent="0.35">
      <c r="B144" s="230"/>
      <c r="C144" s="188"/>
      <c r="D144" s="188"/>
      <c r="E144" s="188"/>
      <c r="F144" s="188"/>
      <c r="G144" s="188"/>
      <c r="H144" s="188"/>
      <c r="I144" s="188"/>
      <c r="J144" s="231"/>
      <c r="P144" s="92"/>
    </row>
    <row r="145" spans="2:28" s="126" customFormat="1" x14ac:dyDescent="0.35">
      <c r="B145" s="230"/>
      <c r="C145" s="188"/>
      <c r="D145" s="188"/>
      <c r="E145" s="188"/>
      <c r="F145" s="188"/>
      <c r="G145" s="188"/>
      <c r="H145" s="188"/>
      <c r="I145" s="188"/>
      <c r="J145" s="231"/>
      <c r="P145" s="92"/>
    </row>
    <row r="146" spans="2:28" s="126" customFormat="1" x14ac:dyDescent="0.35">
      <c r="B146" s="230"/>
      <c r="C146" s="188"/>
      <c r="D146" s="188"/>
      <c r="E146" s="188"/>
      <c r="F146" s="188"/>
      <c r="G146" s="188"/>
      <c r="H146" s="188"/>
      <c r="I146" s="188"/>
      <c r="J146" s="231"/>
      <c r="P146" s="92"/>
    </row>
    <row r="147" spans="2:28" s="126" customFormat="1" x14ac:dyDescent="0.35">
      <c r="B147" s="230"/>
      <c r="C147" s="188"/>
      <c r="D147" s="188"/>
      <c r="E147" s="188"/>
      <c r="F147" s="188"/>
      <c r="G147" s="188"/>
      <c r="H147" s="188"/>
      <c r="I147" s="188"/>
      <c r="J147" s="231"/>
      <c r="P147" s="92"/>
    </row>
    <row r="148" spans="2:28" s="126" customFormat="1" x14ac:dyDescent="0.35">
      <c r="B148" s="230"/>
      <c r="C148" s="188"/>
      <c r="D148" s="188"/>
      <c r="E148" s="188"/>
      <c r="F148" s="188"/>
      <c r="G148" s="188"/>
      <c r="H148" s="188"/>
      <c r="I148" s="188"/>
      <c r="J148" s="231"/>
      <c r="P148" s="92"/>
    </row>
    <row r="149" spans="2:28" s="126" customFormat="1" x14ac:dyDescent="0.35">
      <c r="B149" s="230"/>
      <c r="C149" s="188"/>
      <c r="D149" s="188"/>
      <c r="E149" s="188"/>
      <c r="F149" s="188"/>
      <c r="G149" s="188"/>
      <c r="H149" s="188"/>
      <c r="I149" s="188"/>
      <c r="J149" s="231"/>
      <c r="P149" s="92"/>
    </row>
    <row r="150" spans="2:28" s="126" customFormat="1" x14ac:dyDescent="0.35">
      <c r="B150" s="230"/>
      <c r="C150" s="188"/>
      <c r="D150" s="188"/>
      <c r="E150" s="188"/>
      <c r="F150" s="188"/>
      <c r="G150" s="188"/>
      <c r="H150" s="188"/>
      <c r="I150" s="188"/>
      <c r="J150" s="231"/>
      <c r="P150" s="92"/>
    </row>
    <row r="151" spans="2:28" s="126" customFormat="1" x14ac:dyDescent="0.35">
      <c r="B151" s="230"/>
      <c r="C151" s="188"/>
      <c r="D151" s="188"/>
      <c r="E151" s="188"/>
      <c r="F151" s="188"/>
      <c r="G151" s="188"/>
      <c r="H151" s="188"/>
      <c r="I151" s="188"/>
      <c r="J151" s="231"/>
      <c r="P151" s="92"/>
    </row>
    <row r="152" spans="2:28" s="126" customFormat="1" x14ac:dyDescent="0.35">
      <c r="B152" s="230"/>
      <c r="C152" s="188"/>
      <c r="D152" s="188"/>
      <c r="E152" s="188"/>
      <c r="F152" s="188"/>
      <c r="G152" s="188"/>
      <c r="H152" s="188"/>
      <c r="I152" s="188"/>
      <c r="J152" s="231"/>
      <c r="P152" s="92"/>
    </row>
    <row r="153" spans="2:28" s="126" customFormat="1" x14ac:dyDescent="0.35">
      <c r="B153" s="230"/>
      <c r="C153" s="188"/>
      <c r="D153" s="188"/>
      <c r="E153" s="188"/>
      <c r="F153" s="188"/>
      <c r="G153" s="188"/>
      <c r="H153" s="188"/>
      <c r="I153" s="188"/>
      <c r="J153" s="231"/>
      <c r="P153" s="92"/>
    </row>
    <row r="154" spans="2:28" s="126" customFormat="1" x14ac:dyDescent="0.35">
      <c r="B154" s="232"/>
      <c r="C154" s="134"/>
      <c r="D154" s="134"/>
      <c r="E154" s="134"/>
      <c r="F154" s="134"/>
      <c r="G154" s="134"/>
      <c r="H154" s="134"/>
      <c r="I154" s="134"/>
      <c r="J154" s="233"/>
      <c r="P154" s="92"/>
    </row>
    <row r="155" spans="2:28" s="126" customFormat="1" x14ac:dyDescent="0.35">
      <c r="P155" s="92"/>
    </row>
    <row r="156" spans="2:28" x14ac:dyDescent="0.35">
      <c r="P156" s="92"/>
    </row>
    <row r="157" spans="2:28" s="126" customFormat="1" ht="15.5" x14ac:dyDescent="0.35">
      <c r="B157" s="268" t="s">
        <v>225</v>
      </c>
      <c r="C157" s="269"/>
      <c r="D157" s="270"/>
      <c r="E157" s="270"/>
      <c r="F157" s="270"/>
      <c r="G157" s="270"/>
      <c r="H157" s="270"/>
      <c r="I157" s="270"/>
      <c r="J157" s="270"/>
      <c r="K157" s="270"/>
      <c r="L157" s="270"/>
      <c r="M157" s="271"/>
      <c r="N157" s="271"/>
      <c r="O157" s="271"/>
      <c r="P157" s="92"/>
    </row>
    <row r="158" spans="2:28" s="126" customFormat="1" x14ac:dyDescent="0.35">
      <c r="B158" s="127" t="s">
        <v>150</v>
      </c>
      <c r="P158" s="92"/>
      <c r="AA158" s="128" t="s">
        <v>97</v>
      </c>
    </row>
    <row r="159" spans="2:28" s="126" customFormat="1" x14ac:dyDescent="0.35">
      <c r="P159" s="92"/>
      <c r="AA159" s="234">
        <v>0.05</v>
      </c>
      <c r="AB159" s="235">
        <v>25000</v>
      </c>
    </row>
    <row r="160" spans="2:28" s="126" customFormat="1" x14ac:dyDescent="0.35">
      <c r="B160" s="173" t="s">
        <v>97</v>
      </c>
      <c r="C160" s="174"/>
      <c r="P160" s="92"/>
      <c r="AA160" s="234">
        <v>0.1</v>
      </c>
      <c r="AB160" s="235">
        <v>10000</v>
      </c>
    </row>
    <row r="161" spans="1:16" s="126" customFormat="1" x14ac:dyDescent="0.35">
      <c r="A161" s="188"/>
      <c r="B161" s="203" t="s">
        <v>151</v>
      </c>
      <c r="C161" s="377">
        <v>7.5</v>
      </c>
      <c r="D161" s="173"/>
      <c r="E161" s="274"/>
      <c r="F161" s="237"/>
      <c r="P161" s="92"/>
    </row>
    <row r="162" spans="1:16" s="126" customFormat="1" x14ac:dyDescent="0.35">
      <c r="A162" s="188"/>
      <c r="B162" s="203" t="s">
        <v>152</v>
      </c>
      <c r="C162" s="362">
        <v>1500</v>
      </c>
      <c r="D162" s="173" t="s">
        <v>153</v>
      </c>
      <c r="E162" s="274"/>
      <c r="F162" s="237"/>
      <c r="P162" s="92"/>
    </row>
    <row r="163" spans="1:16" s="126" customFormat="1" x14ac:dyDescent="0.35">
      <c r="A163" s="188"/>
      <c r="B163" s="203" t="s">
        <v>154</v>
      </c>
      <c r="C163" s="362">
        <v>130</v>
      </c>
      <c r="D163" s="173" t="s">
        <v>153</v>
      </c>
      <c r="E163" s="274"/>
      <c r="F163" s="237"/>
      <c r="P163" s="92"/>
    </row>
    <row r="164" spans="1:16" s="126" customFormat="1" x14ac:dyDescent="0.35">
      <c r="A164" s="188"/>
      <c r="B164" s="203" t="s">
        <v>98</v>
      </c>
      <c r="C164" s="362">
        <v>1200</v>
      </c>
      <c r="D164" s="173" t="s">
        <v>153</v>
      </c>
      <c r="E164" s="274"/>
      <c r="F164" s="237"/>
      <c r="P164" s="92"/>
    </row>
    <row r="165" spans="1:16" s="126" customFormat="1" x14ac:dyDescent="0.35">
      <c r="A165" s="188"/>
      <c r="B165" s="203" t="s">
        <v>104</v>
      </c>
      <c r="C165" s="362">
        <v>1500</v>
      </c>
      <c r="D165" s="173" t="s">
        <v>153</v>
      </c>
      <c r="E165" s="274"/>
      <c r="F165" s="237"/>
      <c r="P165" s="92"/>
    </row>
    <row r="166" spans="1:16" s="126" customFormat="1" x14ac:dyDescent="0.35">
      <c r="A166" s="188"/>
      <c r="B166" s="203" t="s">
        <v>33</v>
      </c>
      <c r="C166" s="362">
        <f>+C165+C162</f>
        <v>3000</v>
      </c>
      <c r="D166" s="173" t="s">
        <v>153</v>
      </c>
      <c r="E166" s="274"/>
      <c r="F166" s="237"/>
      <c r="P166" s="92"/>
    </row>
    <row r="167" spans="1:16" s="126" customFormat="1" x14ac:dyDescent="0.35">
      <c r="A167" s="188"/>
      <c r="B167" s="203" t="s">
        <v>103</v>
      </c>
      <c r="C167" s="362">
        <v>300</v>
      </c>
      <c r="D167" s="173" t="s">
        <v>153</v>
      </c>
      <c r="E167" s="274"/>
      <c r="F167" s="237"/>
      <c r="P167" s="92"/>
    </row>
    <row r="168" spans="1:16" s="126" customFormat="1" x14ac:dyDescent="0.35">
      <c r="A168" s="188"/>
      <c r="B168" s="203" t="s">
        <v>39</v>
      </c>
      <c r="C168" s="362">
        <v>500</v>
      </c>
      <c r="D168" s="173" t="s">
        <v>153</v>
      </c>
      <c r="E168" s="274"/>
      <c r="F168" s="237"/>
      <c r="P168" s="92"/>
    </row>
    <row r="169" spans="1:16" s="126" customFormat="1" x14ac:dyDescent="0.35">
      <c r="A169" s="188"/>
      <c r="B169" s="203" t="s">
        <v>155</v>
      </c>
      <c r="C169" s="378">
        <v>2.5</v>
      </c>
      <c r="D169" s="173" t="s">
        <v>156</v>
      </c>
      <c r="E169" s="274"/>
      <c r="F169" s="237"/>
      <c r="P169" s="92"/>
    </row>
    <row r="170" spans="1:16" s="126" customFormat="1" x14ac:dyDescent="0.35">
      <c r="A170" s="188"/>
      <c r="B170" s="203"/>
      <c r="C170" s="368"/>
      <c r="D170" s="173"/>
      <c r="E170" s="172"/>
      <c r="P170" s="92"/>
    </row>
    <row r="171" spans="1:16" s="126" customFormat="1" x14ac:dyDescent="0.35">
      <c r="A171" s="188"/>
      <c r="B171" s="203" t="s">
        <v>157</v>
      </c>
      <c r="C171" s="379">
        <v>1.4999999999999999E-2</v>
      </c>
      <c r="D171" s="173"/>
      <c r="E171" s="172"/>
      <c r="P171" s="92"/>
    </row>
    <row r="172" spans="1:16" s="126" customFormat="1" x14ac:dyDescent="0.35">
      <c r="A172" s="188"/>
      <c r="B172" s="203" t="s">
        <v>158</v>
      </c>
      <c r="C172" s="379">
        <v>0.1</v>
      </c>
      <c r="D172" s="173"/>
      <c r="E172" s="172"/>
      <c r="P172" s="92"/>
    </row>
    <row r="173" spans="1:16" s="126" customFormat="1" x14ac:dyDescent="0.35">
      <c r="A173" s="188"/>
      <c r="B173" s="203" t="s">
        <v>159</v>
      </c>
      <c r="C173" s="377">
        <v>1.8</v>
      </c>
      <c r="D173" s="173"/>
      <c r="E173" s="172"/>
      <c r="P173" s="92"/>
    </row>
    <row r="174" spans="1:16" s="126" customFormat="1" x14ac:dyDescent="0.35">
      <c r="A174" s="188"/>
      <c r="B174" s="203" t="s">
        <v>160</v>
      </c>
      <c r="C174" s="379">
        <v>0.1</v>
      </c>
      <c r="D174" s="173"/>
      <c r="E174" s="172"/>
      <c r="P174" s="92"/>
    </row>
    <row r="175" spans="1:16" s="126" customFormat="1" x14ac:dyDescent="0.35">
      <c r="B175" s="203"/>
      <c r="C175" s="379"/>
      <c r="D175" s="173"/>
      <c r="E175" s="172"/>
      <c r="P175" s="92"/>
    </row>
    <row r="176" spans="1:16" s="126" customFormat="1" x14ac:dyDescent="0.35">
      <c r="B176" s="203" t="s">
        <v>162</v>
      </c>
      <c r="C176" s="378">
        <v>26</v>
      </c>
      <c r="D176" s="173"/>
      <c r="E176" s="172"/>
      <c r="P176" s="92"/>
    </row>
    <row r="177" spans="2:31" s="126" customFormat="1" x14ac:dyDescent="0.35">
      <c r="B177" s="188"/>
      <c r="C177" s="275"/>
      <c r="D177" s="173"/>
      <c r="E177" s="172"/>
      <c r="P177" s="92"/>
    </row>
    <row r="178" spans="2:31" s="126" customFormat="1" x14ac:dyDescent="0.35">
      <c r="B178" s="188"/>
      <c r="C178" s="238"/>
      <c r="D178" s="236"/>
      <c r="P178" s="92"/>
    </row>
    <row r="179" spans="2:31" s="126" customFormat="1" ht="14" customHeight="1" x14ac:dyDescent="0.35">
      <c r="B179" s="173" t="s">
        <v>85</v>
      </c>
      <c r="C179" s="174"/>
      <c r="D179" s="174"/>
      <c r="E179" s="174"/>
      <c r="F179" s="174"/>
      <c r="P179" s="92"/>
    </row>
    <row r="180" spans="2:31" s="126" customFormat="1" ht="18" customHeight="1" x14ac:dyDescent="0.35">
      <c r="B180" s="126" t="s">
        <v>161</v>
      </c>
      <c r="F180" s="226">
        <f>+'QUESTION 7'!F28</f>
        <v>21.923076923076923</v>
      </c>
      <c r="G180" s="239"/>
      <c r="H180" s="239"/>
      <c r="I180" s="240"/>
      <c r="J180" s="240"/>
      <c r="P180" s="92">
        <v>3</v>
      </c>
    </row>
    <row r="181" spans="2:31" s="126" customFormat="1" ht="18" customHeight="1" x14ac:dyDescent="0.35">
      <c r="B181" s="458" t="s">
        <v>164</v>
      </c>
      <c r="C181" s="458"/>
      <c r="D181" s="458"/>
      <c r="E181" s="459"/>
      <c r="F181" s="226">
        <f>+'QUESTION 7'!F29</f>
        <v>22.68835616438356</v>
      </c>
      <c r="P181" s="92">
        <v>3</v>
      </c>
    </row>
    <row r="182" spans="2:31" s="126" customFormat="1" ht="18" customHeight="1" x14ac:dyDescent="0.35">
      <c r="B182" s="458" t="s">
        <v>163</v>
      </c>
      <c r="C182" s="458"/>
      <c r="D182" s="458"/>
      <c r="E182" s="459"/>
      <c r="F182" s="226">
        <f>+'QUESTION 7'!F30</f>
        <v>36.764705882352921</v>
      </c>
      <c r="P182" s="92">
        <v>4</v>
      </c>
    </row>
    <row r="183" spans="2:31" s="126" customFormat="1" x14ac:dyDescent="0.35">
      <c r="P183" s="92"/>
    </row>
    <row r="184" spans="2:31" x14ac:dyDescent="0.35">
      <c r="P184" s="92"/>
    </row>
    <row r="185" spans="2:31" s="126" customFormat="1" ht="15.5" x14ac:dyDescent="0.35">
      <c r="B185" s="268" t="s">
        <v>226</v>
      </c>
      <c r="C185" s="269"/>
      <c r="D185" s="270"/>
      <c r="E185" s="270"/>
      <c r="F185" s="270"/>
      <c r="G185" s="270"/>
      <c r="H185" s="270"/>
      <c r="I185" s="271"/>
      <c r="J185" s="271"/>
      <c r="K185" s="271"/>
      <c r="L185" s="271"/>
      <c r="M185" s="271"/>
      <c r="N185" s="271"/>
      <c r="O185" s="271"/>
      <c r="P185" s="92"/>
    </row>
    <row r="186" spans="2:31" s="126" customFormat="1" x14ac:dyDescent="0.35">
      <c r="B186" s="127" t="s">
        <v>69</v>
      </c>
      <c r="C186" s="172"/>
      <c r="D186" s="172"/>
      <c r="E186" s="172"/>
      <c r="F186" s="172"/>
      <c r="G186" s="172"/>
      <c r="H186" s="172"/>
      <c r="P186" s="92"/>
    </row>
    <row r="187" spans="2:31" s="126" customFormat="1" x14ac:dyDescent="0.35">
      <c r="C187" s="172"/>
      <c r="D187" s="172"/>
      <c r="E187" s="172"/>
      <c r="F187" s="172"/>
      <c r="G187" s="172"/>
      <c r="H187" s="172"/>
      <c r="P187" s="92"/>
    </row>
    <row r="188" spans="2:31" s="244" customFormat="1" ht="19" customHeight="1" thickBot="1" x14ac:dyDescent="0.4">
      <c r="B188" s="241" t="s">
        <v>0</v>
      </c>
      <c r="C188" s="242" t="s">
        <v>72</v>
      </c>
      <c r="D188" s="242" t="s">
        <v>73</v>
      </c>
      <c r="E188" s="243"/>
      <c r="F188" s="241" t="s">
        <v>2</v>
      </c>
      <c r="G188" s="242" t="str">
        <f>+C188</f>
        <v>Year 1</v>
      </c>
      <c r="H188" s="242" t="str">
        <f>+D188</f>
        <v>Year 2</v>
      </c>
      <c r="P188" s="393"/>
    </row>
    <row r="189" spans="2:31" s="126" customFormat="1" ht="15" thickTop="1" x14ac:dyDescent="0.35">
      <c r="B189" s="152" t="s">
        <v>3</v>
      </c>
      <c r="C189" s="172"/>
      <c r="D189" s="172"/>
      <c r="E189" s="172"/>
      <c r="F189" s="152" t="s">
        <v>4</v>
      </c>
      <c r="G189" s="172"/>
      <c r="H189" s="172"/>
      <c r="P189" s="92"/>
      <c r="AA189" s="245">
        <v>50000</v>
      </c>
      <c r="AB189" s="245">
        <f>+AB227-AB202-AB204-AB205-AB190-AB191-AB192-AB193</f>
        <v>36800</v>
      </c>
      <c r="AD189" s="245">
        <v>300000</v>
      </c>
      <c r="AE189" s="245">
        <v>320000</v>
      </c>
    </row>
    <row r="190" spans="2:31" s="126" customFormat="1" ht="13.5" customHeight="1" x14ac:dyDescent="0.35">
      <c r="B190" s="126" t="s">
        <v>5</v>
      </c>
      <c r="C190" s="369">
        <f>+'RESTICTED-SUMMARY ANSWERS'!$AA$1*AA189</f>
        <v>50000</v>
      </c>
      <c r="D190" s="369">
        <f>+'RESTICTED-SUMMARY ANSWERS'!$AA$1*AB189</f>
        <v>36800</v>
      </c>
      <c r="E190" s="172"/>
      <c r="F190" s="172" t="s">
        <v>7</v>
      </c>
      <c r="G190" s="369">
        <f>+AD189*'RESTICTED-SUMMARY ANSWERS'!$AA$1</f>
        <v>300000</v>
      </c>
      <c r="H190" s="369">
        <f>+AE189*'RESTICTED-SUMMARY ANSWERS'!$AA$1</f>
        <v>320000</v>
      </c>
      <c r="P190" s="92"/>
      <c r="AA190" s="245">
        <v>23500</v>
      </c>
      <c r="AB190" s="245">
        <v>30000</v>
      </c>
      <c r="AD190" s="245">
        <v>180000</v>
      </c>
      <c r="AE190" s="245">
        <v>160000</v>
      </c>
    </row>
    <row r="191" spans="2:31" s="126" customFormat="1" ht="13.5" customHeight="1" x14ac:dyDescent="0.35">
      <c r="B191" s="126" t="s">
        <v>8</v>
      </c>
      <c r="C191" s="369">
        <f>+'RESTICTED-SUMMARY ANSWERS'!$AA$1*AA190</f>
        <v>23500</v>
      </c>
      <c r="D191" s="369">
        <f>+'RESTICTED-SUMMARY ANSWERS'!$AA$1*AB190</f>
        <v>30000</v>
      </c>
      <c r="E191" s="172"/>
      <c r="F191" s="172" t="s">
        <v>10</v>
      </c>
      <c r="G191" s="369">
        <f>+AD190*'RESTICTED-SUMMARY ANSWERS'!$AA$1</f>
        <v>180000</v>
      </c>
      <c r="H191" s="369">
        <f>+AE190*'RESTICTED-SUMMARY ANSWERS'!$AA$1</f>
        <v>160000</v>
      </c>
      <c r="P191" s="92"/>
      <c r="AA191" s="245">
        <v>18000</v>
      </c>
      <c r="AB191" s="245">
        <v>22000</v>
      </c>
      <c r="AD191" s="245">
        <v>120000</v>
      </c>
      <c r="AE191" s="245">
        <v>200000</v>
      </c>
    </row>
    <row r="192" spans="2:31" s="126" customFormat="1" ht="13.5" customHeight="1" thickBot="1" x14ac:dyDescent="0.4">
      <c r="B192" s="126" t="s">
        <v>11</v>
      </c>
      <c r="C192" s="369">
        <f>+'RESTICTED-SUMMARY ANSWERS'!$AA$1*AA191</f>
        <v>18000</v>
      </c>
      <c r="D192" s="369">
        <f>+'RESTICTED-SUMMARY ANSWERS'!$AA$1*AB191</f>
        <v>22000</v>
      </c>
      <c r="E192" s="172"/>
      <c r="F192" s="172" t="s">
        <v>13</v>
      </c>
      <c r="G192" s="369">
        <f>+AD191*'RESTICTED-SUMMARY ANSWERS'!$AA$1</f>
        <v>120000</v>
      </c>
      <c r="H192" s="369">
        <f>+AE191*'RESTICTED-SUMMARY ANSWERS'!$AA$1</f>
        <v>200000</v>
      </c>
      <c r="P192" s="92"/>
      <c r="AA192" s="245">
        <v>5000</v>
      </c>
      <c r="AB192" s="245">
        <v>3000</v>
      </c>
      <c r="AD192" s="246">
        <f>SUM(AD189:AD191)</f>
        <v>600000</v>
      </c>
      <c r="AE192" s="246">
        <f>SUM(AE189:AE191)</f>
        <v>680000</v>
      </c>
    </row>
    <row r="193" spans="2:31" s="126" customFormat="1" ht="13.5" customHeight="1" thickTop="1" thickBot="1" x14ac:dyDescent="0.4">
      <c r="B193" s="126" t="s">
        <v>14</v>
      </c>
      <c r="C193" s="369">
        <f>+'RESTICTED-SUMMARY ANSWERS'!$AA$1*AA192</f>
        <v>5000</v>
      </c>
      <c r="D193" s="369">
        <f>+'RESTICTED-SUMMARY ANSWERS'!$AA$1*AB192</f>
        <v>3000</v>
      </c>
      <c r="E193" s="172"/>
      <c r="F193" s="172" t="s">
        <v>16</v>
      </c>
      <c r="G193" s="372">
        <f>SUM(G190:G192)</f>
        <v>600000</v>
      </c>
      <c r="H193" s="372">
        <f>SUM(H190:H192)</f>
        <v>680000</v>
      </c>
      <c r="P193" s="92"/>
      <c r="AA193" s="245">
        <v>3500</v>
      </c>
      <c r="AB193" s="245">
        <v>5000</v>
      </c>
      <c r="AD193" s="247"/>
      <c r="AE193" s="247"/>
    </row>
    <row r="194" spans="2:31" s="126" customFormat="1" ht="13.5" customHeight="1" thickTop="1" thickBot="1" x14ac:dyDescent="0.4">
      <c r="B194" s="126" t="s">
        <v>70</v>
      </c>
      <c r="C194" s="369">
        <f>+'RESTICTED-SUMMARY ANSWERS'!$AA$1*AA193</f>
        <v>3500</v>
      </c>
      <c r="D194" s="369">
        <f>+'RESTICTED-SUMMARY ANSWERS'!$AA$1*AB193</f>
        <v>5000</v>
      </c>
      <c r="E194" s="172"/>
      <c r="F194" s="172"/>
      <c r="G194" s="373"/>
      <c r="H194" s="373"/>
      <c r="P194" s="92"/>
      <c r="AA194" s="248">
        <f>SUM(AA189:AA193)</f>
        <v>100000</v>
      </c>
      <c r="AB194" s="248">
        <f>SUM(AB189:AB193)</f>
        <v>96800</v>
      </c>
      <c r="AD194" s="247"/>
      <c r="AE194" s="247"/>
    </row>
    <row r="195" spans="2:31" s="126" customFormat="1" ht="13.5" customHeight="1" thickTop="1" thickBot="1" x14ac:dyDescent="0.4">
      <c r="B195" s="126" t="s">
        <v>17</v>
      </c>
      <c r="C195" s="370">
        <f>SUM(C190:C194)</f>
        <v>100000</v>
      </c>
      <c r="D195" s="370">
        <f>SUM(D190:D194)</f>
        <v>96800</v>
      </c>
      <c r="E195" s="172"/>
      <c r="F195" s="152" t="s">
        <v>19</v>
      </c>
      <c r="G195" s="373"/>
      <c r="H195" s="373"/>
      <c r="P195" s="92"/>
      <c r="AA195" s="245"/>
      <c r="AB195" s="245"/>
      <c r="AD195" s="245">
        <v>120000</v>
      </c>
      <c r="AE195" s="245">
        <v>128000</v>
      </c>
    </row>
    <row r="196" spans="2:31" s="126" customFormat="1" ht="13.5" customHeight="1" thickTop="1" x14ac:dyDescent="0.35">
      <c r="C196" s="369"/>
      <c r="D196" s="369"/>
      <c r="E196" s="172"/>
      <c r="F196" s="172" t="s">
        <v>7</v>
      </c>
      <c r="G196" s="369">
        <f>+AD195*'RESTICTED-SUMMARY ANSWERS'!$AA$1</f>
        <v>120000</v>
      </c>
      <c r="H196" s="369">
        <f>+AE195*'RESTICTED-SUMMARY ANSWERS'!$AA$1</f>
        <v>128000</v>
      </c>
      <c r="P196" s="92"/>
      <c r="AA196" s="245"/>
      <c r="AB196" s="245"/>
      <c r="AD196" s="245">
        <v>80000</v>
      </c>
      <c r="AE196" s="245">
        <v>72000</v>
      </c>
    </row>
    <row r="197" spans="2:31" s="126" customFormat="1" ht="13.5" customHeight="1" x14ac:dyDescent="0.35">
      <c r="B197" s="152" t="s">
        <v>20</v>
      </c>
      <c r="C197" s="369"/>
      <c r="D197" s="369"/>
      <c r="E197" s="172"/>
      <c r="F197" s="172" t="s">
        <v>10</v>
      </c>
      <c r="G197" s="369">
        <f>+AD196*'RESTICTED-SUMMARY ANSWERS'!$AA$1</f>
        <v>80000</v>
      </c>
      <c r="H197" s="369">
        <f>+AE196*'RESTICTED-SUMMARY ANSWERS'!$AA$1</f>
        <v>72000</v>
      </c>
      <c r="P197" s="92"/>
      <c r="AA197" s="245">
        <v>1500000</v>
      </c>
      <c r="AB197" s="245">
        <v>1500000</v>
      </c>
      <c r="AD197" s="245">
        <v>60000</v>
      </c>
      <c r="AE197" s="245">
        <v>100000</v>
      </c>
    </row>
    <row r="198" spans="2:31" s="126" customFormat="1" ht="13.5" customHeight="1" x14ac:dyDescent="0.35">
      <c r="B198" s="126" t="s">
        <v>21</v>
      </c>
      <c r="C198" s="369">
        <f>+'RESTICTED-SUMMARY ANSWERS'!$AA$1*AA197</f>
        <v>1500000</v>
      </c>
      <c r="D198" s="369">
        <f>+'RESTICTED-SUMMARY ANSWERS'!$AA$1*AB197</f>
        <v>1500000</v>
      </c>
      <c r="E198" s="172"/>
      <c r="F198" s="172" t="s">
        <v>13</v>
      </c>
      <c r="G198" s="369">
        <f>+AD197*'RESTICTED-SUMMARY ANSWERS'!$AA$1</f>
        <v>60000</v>
      </c>
      <c r="H198" s="369">
        <f>+AE197*'RESTICTED-SUMMARY ANSWERS'!$AA$1</f>
        <v>100000</v>
      </c>
      <c r="P198" s="92"/>
      <c r="AA198" s="245">
        <v>120000</v>
      </c>
      <c r="AB198" s="245">
        <v>200000</v>
      </c>
      <c r="AD198" s="249">
        <f>SUM(AD195:AD197)</f>
        <v>260000</v>
      </c>
      <c r="AE198" s="249">
        <f>SUM(AE195:AE197)</f>
        <v>300000</v>
      </c>
    </row>
    <row r="199" spans="2:31" s="126" customFormat="1" ht="13.5" customHeight="1" x14ac:dyDescent="0.35">
      <c r="B199" s="126" t="s">
        <v>22</v>
      </c>
      <c r="C199" s="369">
        <f>+'RESTICTED-SUMMARY ANSWERS'!$AA$1*AA198</f>
        <v>120000</v>
      </c>
      <c r="D199" s="369">
        <f>+'RESTICTED-SUMMARY ANSWERS'!$AA$1*AB198</f>
        <v>200000</v>
      </c>
      <c r="E199" s="172"/>
      <c r="F199" s="172" t="s">
        <v>24</v>
      </c>
      <c r="G199" s="374">
        <f>SUM(G196:G198)</f>
        <v>260000</v>
      </c>
      <c r="H199" s="374">
        <f>SUM(H196:H198)</f>
        <v>300000</v>
      </c>
      <c r="P199" s="92"/>
      <c r="AA199" s="245">
        <v>80000</v>
      </c>
      <c r="AB199" s="245">
        <v>100000</v>
      </c>
      <c r="AD199" s="247"/>
      <c r="AE199" s="247"/>
    </row>
    <row r="200" spans="2:31" s="126" customFormat="1" ht="13.5" customHeight="1" x14ac:dyDescent="0.35">
      <c r="B200" s="126" t="s">
        <v>23</v>
      </c>
      <c r="C200" s="369">
        <f>+'RESTICTED-SUMMARY ANSWERS'!$AA$1*AA199</f>
        <v>80000</v>
      </c>
      <c r="D200" s="369">
        <f>+'RESTICTED-SUMMARY ANSWERS'!$AA$1*AB199</f>
        <v>100000</v>
      </c>
      <c r="E200" s="172"/>
      <c r="F200" s="172"/>
      <c r="G200" s="373"/>
      <c r="H200" s="373"/>
      <c r="P200" s="92"/>
      <c r="AA200" s="250">
        <f>SUM(AA197:AA199)</f>
        <v>1700000</v>
      </c>
      <c r="AB200" s="250">
        <f>SUM(AB197:AB199)</f>
        <v>1800000</v>
      </c>
      <c r="AD200" s="251">
        <f>+AD192-AD198</f>
        <v>340000</v>
      </c>
      <c r="AE200" s="251">
        <f>+AE192-AE198</f>
        <v>380000</v>
      </c>
    </row>
    <row r="201" spans="2:31" s="126" customFormat="1" ht="13.5" customHeight="1" x14ac:dyDescent="0.35">
      <c r="B201" s="126" t="s">
        <v>25</v>
      </c>
      <c r="C201" s="371">
        <f>SUM(C198:C200)</f>
        <v>1700000</v>
      </c>
      <c r="D201" s="371">
        <f>SUM(D198:D200)</f>
        <v>1800000</v>
      </c>
      <c r="E201" s="172"/>
      <c r="F201" s="173" t="s">
        <v>27</v>
      </c>
      <c r="G201" s="375">
        <f>+G193-G199</f>
        <v>340000</v>
      </c>
      <c r="H201" s="375">
        <f>+H193-H199</f>
        <v>380000</v>
      </c>
      <c r="P201" s="92"/>
      <c r="AA201" s="245">
        <v>-200000</v>
      </c>
      <c r="AB201" s="245">
        <v>-250000</v>
      </c>
      <c r="AD201" s="247"/>
      <c r="AE201" s="247"/>
    </row>
    <row r="202" spans="2:31" s="126" customFormat="1" ht="13.5" customHeight="1" thickBot="1" x14ac:dyDescent="0.4">
      <c r="B202" s="126" t="s">
        <v>26</v>
      </c>
      <c r="C202" s="369">
        <f>+'RESTICTED-SUMMARY ANSWERS'!$AA$1*AA201</f>
        <v>-200000</v>
      </c>
      <c r="D202" s="369">
        <f>+'RESTICTED-SUMMARY ANSWERS'!$AA$1*AB201</f>
        <v>-250000</v>
      </c>
      <c r="E202" s="172"/>
      <c r="F202" s="172"/>
      <c r="G202" s="373"/>
      <c r="H202" s="373"/>
      <c r="P202" s="92"/>
      <c r="AA202" s="248">
        <f>+AA200+AA201</f>
        <v>1500000</v>
      </c>
      <c r="AB202" s="248">
        <f>+AB200+AB201</f>
        <v>1550000</v>
      </c>
      <c r="AD202" s="247">
        <v>120000</v>
      </c>
      <c r="AE202" s="247">
        <v>125000</v>
      </c>
    </row>
    <row r="203" spans="2:31" s="126" customFormat="1" ht="13.5" customHeight="1" thickTop="1" thickBot="1" x14ac:dyDescent="0.4">
      <c r="B203" s="126" t="s">
        <v>28</v>
      </c>
      <c r="C203" s="370">
        <f>+C201+C202</f>
        <v>1500000</v>
      </c>
      <c r="D203" s="370">
        <f>+D201+D202</f>
        <v>1550000</v>
      </c>
      <c r="E203" s="172"/>
      <c r="F203" s="152" t="s">
        <v>30</v>
      </c>
      <c r="G203" s="373">
        <f>+'RESTICTED-SUMMARY ANSWERS'!$AA$1*AD202</f>
        <v>120000</v>
      </c>
      <c r="H203" s="373">
        <f>+'RESTICTED-SUMMARY ANSWERS'!$AA$1*AE202</f>
        <v>125000</v>
      </c>
      <c r="P203" s="92"/>
      <c r="AA203" s="245"/>
      <c r="AB203" s="245"/>
      <c r="AD203" s="249">
        <f>+AD200-AD202</f>
        <v>220000</v>
      </c>
      <c r="AE203" s="249">
        <f>+AE200-AE202</f>
        <v>255000</v>
      </c>
    </row>
    <row r="204" spans="2:31" s="126" customFormat="1" ht="13.5" customHeight="1" thickTop="1" x14ac:dyDescent="0.35">
      <c r="C204" s="369"/>
      <c r="D204" s="369"/>
      <c r="E204" s="172"/>
      <c r="F204" s="152" t="s">
        <v>39</v>
      </c>
      <c r="G204" s="374">
        <f>+G201-G203</f>
        <v>220000</v>
      </c>
      <c r="H204" s="374">
        <f>+H201-H203</f>
        <v>255000</v>
      </c>
      <c r="P204" s="92"/>
      <c r="AA204" s="245">
        <v>200000</v>
      </c>
      <c r="AB204" s="245">
        <v>180000</v>
      </c>
      <c r="AD204" s="245">
        <v>45000</v>
      </c>
      <c r="AE204" s="245">
        <v>50000</v>
      </c>
    </row>
    <row r="205" spans="2:31" s="126" customFormat="1" ht="13.5" customHeight="1" x14ac:dyDescent="0.35">
      <c r="B205" s="126" t="s">
        <v>75</v>
      </c>
      <c r="C205" s="369">
        <f>+'RESTICTED-SUMMARY ANSWERS'!$AA$1*AA204</f>
        <v>200000</v>
      </c>
      <c r="D205" s="369">
        <f>+'RESTICTED-SUMMARY ANSWERS'!$AA$1*AB204</f>
        <v>180000</v>
      </c>
      <c r="E205" s="172"/>
      <c r="F205" s="152" t="s">
        <v>43</v>
      </c>
      <c r="G205" s="369">
        <f>+'RESTICTED-SUMMARY ANSWERS'!$AA$1*AD204</f>
        <v>45000</v>
      </c>
      <c r="H205" s="369">
        <f>+'RESTICTED-SUMMARY ANSWERS'!$AA$1*AE204</f>
        <v>50000</v>
      </c>
      <c r="P205" s="92"/>
      <c r="AA205" s="245">
        <v>200000</v>
      </c>
      <c r="AB205" s="245">
        <v>250000</v>
      </c>
      <c r="AD205" s="172">
        <v>20000</v>
      </c>
      <c r="AE205" s="245">
        <v>20000</v>
      </c>
    </row>
    <row r="206" spans="2:31" s="126" customFormat="1" ht="13.5" customHeight="1" thickBot="1" x14ac:dyDescent="0.4">
      <c r="B206" s="126" t="s">
        <v>31</v>
      </c>
      <c r="C206" s="369">
        <f>+'RESTICTED-SUMMARY ANSWERS'!$AA$1*AA205</f>
        <v>200000</v>
      </c>
      <c r="D206" s="369">
        <f>+'RESTICTED-SUMMARY ANSWERS'!$AA$1*AB205</f>
        <v>250000</v>
      </c>
      <c r="E206" s="172"/>
      <c r="F206" s="152" t="s">
        <v>76</v>
      </c>
      <c r="G206" s="369">
        <f>+'RESTICTED-SUMMARY ANSWERS'!$AA$1*AD205</f>
        <v>20000</v>
      </c>
      <c r="H206" s="369">
        <f>+'RESTICTED-SUMMARY ANSWERS'!$AA$1*AE205</f>
        <v>20000</v>
      </c>
      <c r="P206" s="92"/>
      <c r="AA206" s="248">
        <f>+AA205+AA204++AA202+AA194</f>
        <v>2000000</v>
      </c>
      <c r="AB206" s="248">
        <f t="shared" ref="AB206" si="1">+AB205+AB204++AB202+AB194</f>
        <v>2076800</v>
      </c>
      <c r="AD206" s="252">
        <f>+AD203-AD204-AD205</f>
        <v>155000</v>
      </c>
      <c r="AE206" s="252">
        <f>+AE203-AE204-AE205</f>
        <v>185000</v>
      </c>
    </row>
    <row r="207" spans="2:31" s="126" customFormat="1" ht="13.5" customHeight="1" thickTop="1" thickBot="1" x14ac:dyDescent="0.4">
      <c r="B207" s="126" t="s">
        <v>33</v>
      </c>
      <c r="C207" s="248">
        <f>+C206+C205++C203+C195</f>
        <v>2000000</v>
      </c>
      <c r="D207" s="248">
        <f t="shared" ref="D207" si="2">+D206+D205++D203+D195</f>
        <v>2076800</v>
      </c>
      <c r="E207" s="172"/>
      <c r="F207" s="152" t="s">
        <v>47</v>
      </c>
      <c r="G207" s="376">
        <f>+G204-G205-G206</f>
        <v>155000</v>
      </c>
      <c r="H207" s="376">
        <f>+H204-H205-H206</f>
        <v>185000</v>
      </c>
      <c r="P207" s="92"/>
      <c r="AA207" s="245"/>
      <c r="AB207" s="245"/>
      <c r="AD207" s="249">
        <v>30000</v>
      </c>
      <c r="AE207" s="250">
        <v>25000</v>
      </c>
    </row>
    <row r="208" spans="2:31" s="126" customFormat="1" ht="13.5" customHeight="1" thickTop="1" x14ac:dyDescent="0.35">
      <c r="C208" s="245"/>
      <c r="D208" s="245"/>
      <c r="E208" s="172"/>
      <c r="F208" s="152" t="s">
        <v>52</v>
      </c>
      <c r="G208" s="374">
        <f>+'RESTICTED-SUMMARY ANSWERS'!$AA$1*AD207</f>
        <v>30000</v>
      </c>
      <c r="H208" s="371">
        <f>+'RESTICTED-SUMMARY ANSWERS'!$AA$1*AE207</f>
        <v>25000</v>
      </c>
      <c r="P208" s="92"/>
      <c r="AA208" s="245"/>
      <c r="AB208" s="245"/>
      <c r="AD208" s="249">
        <f>+AD206-AD207</f>
        <v>125000</v>
      </c>
      <c r="AE208" s="249">
        <f>+AE206-AE207</f>
        <v>160000</v>
      </c>
    </row>
    <row r="209" spans="1:31" s="126" customFormat="1" ht="13.5" customHeight="1" x14ac:dyDescent="0.35">
      <c r="B209" s="152" t="s">
        <v>36</v>
      </c>
      <c r="C209" s="245"/>
      <c r="D209" s="245"/>
      <c r="E209" s="172"/>
      <c r="F209" s="172" t="s">
        <v>56</v>
      </c>
      <c r="G209" s="374">
        <f>+G207-G208</f>
        <v>125000</v>
      </c>
      <c r="H209" s="374">
        <f>+H207-H208</f>
        <v>160000</v>
      </c>
      <c r="P209" s="92"/>
      <c r="AA209" s="245"/>
      <c r="AB209" s="245"/>
      <c r="AD209" s="247">
        <v>27500</v>
      </c>
      <c r="AE209" s="247">
        <v>35200</v>
      </c>
    </row>
    <row r="210" spans="1:31" s="126" customFormat="1" ht="13.5" customHeight="1" thickBot="1" x14ac:dyDescent="0.4">
      <c r="B210" s="152" t="s">
        <v>40</v>
      </c>
      <c r="C210" s="245"/>
      <c r="D210" s="245"/>
      <c r="E210" s="172"/>
      <c r="F210" s="152" t="s">
        <v>59</v>
      </c>
      <c r="G210" s="373">
        <f>+'RESTICTED-SUMMARY ANSWERS'!$AA$1*AD209</f>
        <v>27500</v>
      </c>
      <c r="H210" s="373">
        <f>+'RESTICTED-SUMMARY ANSWERS'!$AA$1*AE209</f>
        <v>35200</v>
      </c>
      <c r="P210" s="92"/>
      <c r="AA210" s="245">
        <v>18000</v>
      </c>
      <c r="AB210" s="245">
        <v>21000</v>
      </c>
      <c r="AD210" s="246">
        <f>+AD208-AD209</f>
        <v>97500</v>
      </c>
      <c r="AE210" s="246">
        <f>+AE208-AE209</f>
        <v>124800</v>
      </c>
    </row>
    <row r="211" spans="1:31" s="126" customFormat="1" ht="13.5" customHeight="1" thickTop="1" thickBot="1" x14ac:dyDescent="0.4">
      <c r="B211" s="126" t="s">
        <v>41</v>
      </c>
      <c r="C211" s="369">
        <f>+'RESTICTED-SUMMARY ANSWERS'!$AA$1*AA210</f>
        <v>18000</v>
      </c>
      <c r="D211" s="369">
        <f>+'RESTICTED-SUMMARY ANSWERS'!$AA$1*AB210</f>
        <v>21000</v>
      </c>
      <c r="E211" s="172"/>
      <c r="F211" s="172" t="s">
        <v>6</v>
      </c>
      <c r="G211" s="372">
        <f>+G209-G210</f>
        <v>97500</v>
      </c>
      <c r="H211" s="372">
        <f>+H209-H210</f>
        <v>124800</v>
      </c>
      <c r="P211" s="92"/>
      <c r="AA211" s="245">
        <v>7000</v>
      </c>
      <c r="AB211" s="245">
        <v>10000</v>
      </c>
    </row>
    <row r="212" spans="1:31" s="126" customFormat="1" ht="13.5" customHeight="1" thickTop="1" x14ac:dyDescent="0.35">
      <c r="B212" s="126" t="s">
        <v>44</v>
      </c>
      <c r="C212" s="369">
        <f>+'RESTICTED-SUMMARY ANSWERS'!$AA$1*AA211</f>
        <v>7000</v>
      </c>
      <c r="D212" s="369">
        <f>+'RESTICTED-SUMMARY ANSWERS'!$AA$1*AB211</f>
        <v>10000</v>
      </c>
      <c r="E212" s="172"/>
      <c r="F212" s="172"/>
      <c r="G212" s="172"/>
      <c r="H212" s="172"/>
      <c r="P212" s="92"/>
      <c r="AA212" s="245">
        <v>4000</v>
      </c>
      <c r="AB212" s="245">
        <v>3000</v>
      </c>
    </row>
    <row r="213" spans="1:31" s="126" customFormat="1" ht="13.5" customHeight="1" x14ac:dyDescent="0.35">
      <c r="B213" s="126" t="s">
        <v>45</v>
      </c>
      <c r="C213" s="369">
        <f>+'RESTICTED-SUMMARY ANSWERS'!$AA$1*AA212</f>
        <v>4000</v>
      </c>
      <c r="D213" s="369">
        <f>+'RESTICTED-SUMMARY ANSWERS'!$AA$1*AB212</f>
        <v>3000</v>
      </c>
      <c r="E213" s="172"/>
      <c r="F213" s="172"/>
      <c r="G213" s="172"/>
      <c r="H213" s="172"/>
      <c r="P213" s="92"/>
      <c r="AA213" s="245">
        <v>2000</v>
      </c>
      <c r="AB213" s="245">
        <v>1000</v>
      </c>
    </row>
    <row r="214" spans="1:31" s="126" customFormat="1" ht="13.5" customHeight="1" x14ac:dyDescent="0.35">
      <c r="B214" s="126" t="s">
        <v>71</v>
      </c>
      <c r="C214" s="369">
        <f>+'RESTICTED-SUMMARY ANSWERS'!$AA$1*AA213</f>
        <v>2000</v>
      </c>
      <c r="D214" s="369">
        <f>+'RESTICTED-SUMMARY ANSWERS'!$AA$1*AB213</f>
        <v>1000</v>
      </c>
      <c r="E214" s="172"/>
      <c r="F214" s="172"/>
      <c r="G214" s="172"/>
      <c r="H214" s="172"/>
      <c r="P214" s="92"/>
      <c r="AA214" s="245">
        <v>9000</v>
      </c>
      <c r="AB214" s="245">
        <v>11000</v>
      </c>
    </row>
    <row r="215" spans="1:31" s="126" customFormat="1" ht="13.5" customHeight="1" x14ac:dyDescent="0.35">
      <c r="B215" s="126" t="s">
        <v>48</v>
      </c>
      <c r="C215" s="369">
        <f>+'RESTICTED-SUMMARY ANSWERS'!$AA$1*AA214</f>
        <v>9000</v>
      </c>
      <c r="D215" s="369">
        <f>+'RESTICTED-SUMMARY ANSWERS'!$AA$1*AB214</f>
        <v>11000</v>
      </c>
      <c r="E215" s="172"/>
      <c r="F215" s="172"/>
      <c r="G215" s="172"/>
      <c r="H215" s="172"/>
      <c r="P215" s="92"/>
      <c r="AA215" s="250">
        <f>SUM(AA209:AA214)</f>
        <v>40000</v>
      </c>
      <c r="AB215" s="250">
        <f>SUM(AB209:AB214)</f>
        <v>46000</v>
      </c>
    </row>
    <row r="216" spans="1:31" s="126" customFormat="1" ht="13.5" customHeight="1" x14ac:dyDescent="0.35">
      <c r="B216" s="126" t="s">
        <v>50</v>
      </c>
      <c r="C216" s="371">
        <f>SUM(C210:C215)</f>
        <v>40000</v>
      </c>
      <c r="D216" s="371">
        <f>SUM(D210:D215)</f>
        <v>46000</v>
      </c>
      <c r="E216" s="172"/>
      <c r="F216" s="172"/>
      <c r="G216" s="172"/>
      <c r="H216" s="172"/>
      <c r="P216" s="92"/>
      <c r="AA216" s="245"/>
      <c r="AB216" s="245"/>
    </row>
    <row r="217" spans="1:31" s="126" customFormat="1" ht="13.5" customHeight="1" x14ac:dyDescent="0.35">
      <c r="A217" s="245"/>
      <c r="C217" s="369"/>
      <c r="D217" s="369"/>
      <c r="E217" s="172"/>
      <c r="F217" s="152"/>
      <c r="G217" s="247"/>
      <c r="H217" s="247"/>
      <c r="P217" s="92"/>
      <c r="AA217" s="245">
        <v>571000</v>
      </c>
      <c r="AB217" s="245">
        <v>471000</v>
      </c>
    </row>
    <row r="218" spans="1:31" s="126" customFormat="1" ht="13.5" customHeight="1" x14ac:dyDescent="0.35">
      <c r="B218" s="126" t="s">
        <v>54</v>
      </c>
      <c r="C218" s="369">
        <f>+'RESTICTED-SUMMARY ANSWERS'!$AA$1*AA217</f>
        <v>571000</v>
      </c>
      <c r="D218" s="369">
        <f>+'RESTICTED-SUMMARY ANSWERS'!$AA$1*AB217</f>
        <v>471000</v>
      </c>
      <c r="E218" s="172"/>
      <c r="F218" s="172"/>
      <c r="G218" s="172"/>
      <c r="H218" s="172"/>
      <c r="P218" s="92"/>
      <c r="AA218" s="245">
        <v>14000</v>
      </c>
      <c r="AB218" s="245">
        <v>20000</v>
      </c>
    </row>
    <row r="219" spans="1:31" s="126" customFormat="1" ht="13.5" customHeight="1" x14ac:dyDescent="0.35">
      <c r="B219" s="126" t="s">
        <v>57</v>
      </c>
      <c r="C219" s="369">
        <f>+'RESTICTED-SUMMARY ANSWERS'!$AA$1*AA218</f>
        <v>14000</v>
      </c>
      <c r="D219" s="369">
        <f>+'RESTICTED-SUMMARY ANSWERS'!$AA$1*AB218</f>
        <v>20000</v>
      </c>
      <c r="E219" s="172"/>
      <c r="F219" s="172"/>
      <c r="G219" s="172"/>
      <c r="H219" s="172"/>
      <c r="P219" s="92"/>
      <c r="AA219" s="250">
        <f>SUM(AA215:AA218)</f>
        <v>625000</v>
      </c>
      <c r="AB219" s="250">
        <f>SUM(AB215:AB218)</f>
        <v>537000</v>
      </c>
    </row>
    <row r="220" spans="1:31" s="126" customFormat="1" ht="13.5" customHeight="1" x14ac:dyDescent="0.35">
      <c r="B220" s="126" t="s">
        <v>60</v>
      </c>
      <c r="C220" s="371">
        <f>SUM(C216:C219)</f>
        <v>625000</v>
      </c>
      <c r="D220" s="371">
        <f>SUM(D216:D219)</f>
        <v>537000</v>
      </c>
      <c r="E220" s="172"/>
      <c r="F220" s="172"/>
      <c r="G220" s="172"/>
      <c r="H220" s="172"/>
      <c r="P220" s="92"/>
      <c r="AA220" s="245"/>
      <c r="AB220" s="245"/>
    </row>
    <row r="221" spans="1:31" s="126" customFormat="1" ht="13.5" customHeight="1" x14ac:dyDescent="0.35">
      <c r="C221" s="369"/>
      <c r="D221" s="369"/>
      <c r="E221" s="172"/>
      <c r="F221" s="172"/>
      <c r="G221" s="247"/>
      <c r="H221" s="247"/>
      <c r="P221" s="92"/>
      <c r="AA221" s="245"/>
      <c r="AB221" s="245"/>
    </row>
    <row r="222" spans="1:31" s="126" customFormat="1" ht="13.5" customHeight="1" x14ac:dyDescent="0.35">
      <c r="B222" s="152" t="s">
        <v>62</v>
      </c>
      <c r="C222" s="369"/>
      <c r="D222" s="369"/>
      <c r="E222" s="172"/>
      <c r="F222" s="172"/>
      <c r="G222" s="172"/>
      <c r="H222" s="172"/>
      <c r="P222" s="92"/>
      <c r="AA222" s="245">
        <v>1000000</v>
      </c>
      <c r="AB222" s="245">
        <f>+AA222</f>
        <v>1000000</v>
      </c>
    </row>
    <row r="223" spans="1:31" s="126" customFormat="1" ht="13.5" customHeight="1" x14ac:dyDescent="0.35">
      <c r="B223" s="126" t="s">
        <v>64</v>
      </c>
      <c r="C223" s="369">
        <f>+'RESTICTED-SUMMARY ANSWERS'!$AA$1*AA222</f>
        <v>1000000</v>
      </c>
      <c r="D223" s="369">
        <f>+'RESTICTED-SUMMARY ANSWERS'!$AA$1*AB222</f>
        <v>1000000</v>
      </c>
      <c r="E223" s="172"/>
      <c r="F223" s="172"/>
      <c r="G223" s="172"/>
      <c r="H223" s="172"/>
      <c r="P223" s="92"/>
      <c r="AA223" s="245">
        <v>100000</v>
      </c>
      <c r="AB223" s="245">
        <v>140000</v>
      </c>
    </row>
    <row r="224" spans="1:31" s="126" customFormat="1" ht="13.5" customHeight="1" x14ac:dyDescent="0.35">
      <c r="B224" s="126" t="s">
        <v>65</v>
      </c>
      <c r="C224" s="369">
        <f>+'RESTICTED-SUMMARY ANSWERS'!$AA$1*AA223</f>
        <v>100000</v>
      </c>
      <c r="D224" s="369">
        <f>+'RESTICTED-SUMMARY ANSWERS'!$AA$1*AB223</f>
        <v>140000</v>
      </c>
      <c r="E224" s="172"/>
      <c r="F224" s="172"/>
      <c r="G224" s="172"/>
      <c r="H224" s="172"/>
      <c r="P224" s="92"/>
      <c r="AA224" s="245">
        <v>275000</v>
      </c>
      <c r="AB224" s="245">
        <f>+AA224+AE210</f>
        <v>399800</v>
      </c>
    </row>
    <row r="225" spans="2:28" s="126" customFormat="1" ht="13.5" customHeight="1" x14ac:dyDescent="0.35">
      <c r="B225" s="126" t="s">
        <v>66</v>
      </c>
      <c r="C225" s="369">
        <f>+'RESTICTED-SUMMARY ANSWERS'!$AA$1*AA224</f>
        <v>275000</v>
      </c>
      <c r="D225" s="369">
        <f>+'RESTICTED-SUMMARY ANSWERS'!$AA$1*AB224</f>
        <v>399800</v>
      </c>
      <c r="E225" s="172"/>
      <c r="F225" s="172"/>
      <c r="G225" s="172"/>
      <c r="H225" s="172"/>
      <c r="P225" s="92"/>
      <c r="AA225" s="250">
        <f>SUM(AA222:AA224)</f>
        <v>1375000</v>
      </c>
      <c r="AB225" s="250">
        <f>SUM(AB222:AB224)</f>
        <v>1539800</v>
      </c>
    </row>
    <row r="226" spans="2:28" s="126" customFormat="1" ht="13.5" customHeight="1" x14ac:dyDescent="0.35">
      <c r="B226" s="126" t="s">
        <v>67</v>
      </c>
      <c r="C226" s="371">
        <f>SUM(C223:C225)</f>
        <v>1375000</v>
      </c>
      <c r="D226" s="371">
        <f>SUM(D223:D225)</f>
        <v>1539800</v>
      </c>
      <c r="E226" s="172"/>
      <c r="F226" s="172"/>
      <c r="G226" s="172"/>
      <c r="H226" s="172"/>
      <c r="P226" s="92"/>
      <c r="AA226" s="245"/>
      <c r="AB226" s="245"/>
    </row>
    <row r="227" spans="2:28" s="126" customFormat="1" ht="13.5" customHeight="1" thickBot="1" x14ac:dyDescent="0.4">
      <c r="C227" s="369"/>
      <c r="D227" s="369"/>
      <c r="E227" s="172"/>
      <c r="F227" s="172"/>
      <c r="G227" s="172"/>
      <c r="H227" s="172"/>
      <c r="P227" s="92"/>
      <c r="AA227" s="246">
        <f>+AA225+AA219</f>
        <v>2000000</v>
      </c>
      <c r="AB227" s="246">
        <f>+AB225+AB219</f>
        <v>2076800</v>
      </c>
    </row>
    <row r="228" spans="2:28" s="126" customFormat="1" ht="13.5" customHeight="1" thickTop="1" thickBot="1" x14ac:dyDescent="0.4">
      <c r="B228" s="126" t="s">
        <v>68</v>
      </c>
      <c r="C228" s="372">
        <f>+C226+C220</f>
        <v>2000000</v>
      </c>
      <c r="D228" s="372">
        <f>+D226+D220</f>
        <v>2076800</v>
      </c>
      <c r="E228" s="172"/>
      <c r="F228" s="172"/>
      <c r="G228" s="172"/>
      <c r="H228" s="172"/>
      <c r="P228" s="92"/>
    </row>
    <row r="229" spans="2:28" s="126" customFormat="1" ht="15" thickTop="1" x14ac:dyDescent="0.35">
      <c r="C229" s="253"/>
      <c r="D229" s="253"/>
      <c r="E229" s="172"/>
      <c r="F229" s="172"/>
      <c r="G229" s="172"/>
      <c r="H229" s="172"/>
      <c r="K229" s="254"/>
      <c r="P229" s="92"/>
    </row>
    <row r="230" spans="2:28" s="126" customFormat="1" x14ac:dyDescent="0.35">
      <c r="B230" s="127" t="s">
        <v>85</v>
      </c>
      <c r="C230" s="174"/>
      <c r="D230" s="174"/>
      <c r="E230" s="174"/>
      <c r="F230" s="174"/>
      <c r="G230" s="174"/>
      <c r="H230" s="174"/>
      <c r="P230" s="92"/>
    </row>
    <row r="231" spans="2:28" s="126" customFormat="1" ht="15" thickBot="1" x14ac:dyDescent="0.4">
      <c r="B231" s="255" t="s">
        <v>1</v>
      </c>
      <c r="C231" s="256"/>
      <c r="D231" s="257" t="str">
        <f>+D188</f>
        <v>Year 2</v>
      </c>
      <c r="E231" s="172"/>
      <c r="F231" s="255" t="s">
        <v>86</v>
      </c>
      <c r="G231" s="257" t="str">
        <f>+G188</f>
        <v>Year 1</v>
      </c>
      <c r="H231" s="257" t="str">
        <f>+H188</f>
        <v>Year 2</v>
      </c>
      <c r="P231" s="92"/>
    </row>
    <row r="232" spans="2:28" s="126" customFormat="1" ht="15" thickTop="1" x14ac:dyDescent="0.35">
      <c r="B232" s="258"/>
      <c r="C232" s="247"/>
      <c r="D232" s="247"/>
      <c r="E232" s="172"/>
      <c r="F232" s="172"/>
      <c r="G232" s="172"/>
      <c r="H232" s="172"/>
      <c r="P232" s="92"/>
    </row>
    <row r="233" spans="2:28" s="126" customFormat="1" x14ac:dyDescent="0.35">
      <c r="B233" s="152" t="s">
        <v>6</v>
      </c>
      <c r="C233" s="247"/>
      <c r="D233" s="259">
        <f>+'QUESTION 8'!D52</f>
        <v>124800</v>
      </c>
      <c r="E233" s="172"/>
      <c r="F233" s="172" t="s">
        <v>87</v>
      </c>
      <c r="G233" s="260"/>
      <c r="H233" s="261">
        <f>+'QUESTION 8'!H52</f>
        <v>6.6666666666666652E-2</v>
      </c>
      <c r="P233" s="92"/>
      <c r="Q233" s="92">
        <v>1</v>
      </c>
    </row>
    <row r="234" spans="2:28" s="126" customFormat="1" x14ac:dyDescent="0.35">
      <c r="B234" s="126" t="s">
        <v>9</v>
      </c>
      <c r="C234" s="247"/>
      <c r="D234" s="259">
        <f>+'QUESTION 8'!D53</f>
        <v>50000</v>
      </c>
      <c r="E234" s="172"/>
      <c r="F234" s="172"/>
      <c r="G234" s="172"/>
      <c r="H234" s="172"/>
      <c r="P234" s="92">
        <v>2</v>
      </c>
      <c r="Q234" s="92"/>
    </row>
    <row r="235" spans="2:28" s="126" customFormat="1" x14ac:dyDescent="0.35">
      <c r="B235" s="126" t="s">
        <v>74</v>
      </c>
      <c r="C235" s="247"/>
      <c r="D235" s="259">
        <f>+'QUESTION 8'!D54</f>
        <v>20000</v>
      </c>
      <c r="E235" s="172"/>
      <c r="F235" s="172" t="s">
        <v>88</v>
      </c>
      <c r="G235" s="262">
        <f>+'QUESTION 8'!G54</f>
        <v>0.5</v>
      </c>
      <c r="H235" s="261">
        <f>+'QUESTION 8'!H54</f>
        <v>0.5</v>
      </c>
      <c r="P235" s="92">
        <v>2</v>
      </c>
      <c r="Q235" s="92">
        <v>1</v>
      </c>
    </row>
    <row r="236" spans="2:28" s="126" customFormat="1" x14ac:dyDescent="0.35">
      <c r="B236" s="263" t="s">
        <v>12</v>
      </c>
      <c r="C236" s="247"/>
      <c r="D236" s="259">
        <f>+'QUESTION 8'!D55</f>
        <v>6000</v>
      </c>
      <c r="E236" s="172"/>
      <c r="F236" s="172" t="s">
        <v>95</v>
      </c>
      <c r="G236" s="262">
        <f>+'QUESTION 8'!G55</f>
        <v>0.36666666666666664</v>
      </c>
      <c r="H236" s="261">
        <f>+'QUESTION 8'!H55</f>
        <v>0.375</v>
      </c>
      <c r="P236" s="92">
        <v>2</v>
      </c>
      <c r="Q236" s="92">
        <v>1</v>
      </c>
    </row>
    <row r="237" spans="2:28" s="126" customFormat="1" ht="15" thickBot="1" x14ac:dyDescent="0.4">
      <c r="B237" s="152" t="s">
        <v>15</v>
      </c>
      <c r="C237" s="247"/>
      <c r="D237" s="264">
        <f>+'QUESTION 8'!D56</f>
        <v>200800</v>
      </c>
      <c r="E237" s="172"/>
      <c r="P237" s="92"/>
      <c r="Q237" s="92"/>
    </row>
    <row r="238" spans="2:28" s="126" customFormat="1" ht="15" thickTop="1" x14ac:dyDescent="0.35">
      <c r="B238" s="152"/>
      <c r="C238" s="247"/>
      <c r="D238" s="265"/>
      <c r="E238" s="172"/>
      <c r="F238" s="172" t="s">
        <v>89</v>
      </c>
      <c r="G238" s="172"/>
      <c r="H238" s="266">
        <f>+'QUESTION 8'!H57</f>
        <v>14.358455882352942</v>
      </c>
      <c r="I238" s="126" t="s">
        <v>94</v>
      </c>
      <c r="P238" s="92"/>
      <c r="Q238" s="92"/>
    </row>
    <row r="239" spans="2:28" s="126" customFormat="1" x14ac:dyDescent="0.35">
      <c r="C239" s="247"/>
      <c r="D239" s="265"/>
      <c r="E239" s="172"/>
      <c r="F239" s="172" t="s">
        <v>93</v>
      </c>
      <c r="G239" s="172"/>
      <c r="H239" s="266">
        <f>+'QUESTION 8'!H58</f>
        <v>24.333333333333332</v>
      </c>
      <c r="I239" s="126" t="s">
        <v>94</v>
      </c>
      <c r="P239" s="92"/>
      <c r="Q239" s="92">
        <v>1</v>
      </c>
    </row>
    <row r="240" spans="2:28" s="126" customFormat="1" x14ac:dyDescent="0.35">
      <c r="B240" s="152" t="s">
        <v>18</v>
      </c>
      <c r="C240" s="245"/>
      <c r="D240" s="265"/>
      <c r="E240" s="172"/>
      <c r="F240" s="172"/>
      <c r="G240" s="172"/>
      <c r="H240" s="172"/>
      <c r="P240" s="92"/>
      <c r="Q240" s="92">
        <v>1</v>
      </c>
    </row>
    <row r="241" spans="2:17" s="126" customFormat="1" x14ac:dyDescent="0.35">
      <c r="B241" s="126" t="s">
        <v>77</v>
      </c>
      <c r="C241" s="245"/>
      <c r="D241" s="259">
        <f>+'QUESTION 8'!D60</f>
        <v>-6500</v>
      </c>
      <c r="E241" s="172"/>
      <c r="F241" s="172" t="s">
        <v>90</v>
      </c>
      <c r="G241" s="267">
        <f>+'QUESTION 8'!G60</f>
        <v>1.8374999999999999</v>
      </c>
      <c r="H241" s="267">
        <f>+'QUESTION 8'!H60</f>
        <v>1.4521739130434783</v>
      </c>
      <c r="P241" s="92">
        <v>2</v>
      </c>
      <c r="Q241" s="92"/>
    </row>
    <row r="242" spans="2:17" s="126" customFormat="1" x14ac:dyDescent="0.35">
      <c r="B242" s="126" t="s">
        <v>78</v>
      </c>
      <c r="C242" s="245"/>
      <c r="D242" s="259">
        <f>+'QUESTION 8'!D61</f>
        <v>-4000</v>
      </c>
      <c r="E242" s="172"/>
      <c r="F242" s="172" t="s">
        <v>91</v>
      </c>
      <c r="G242" s="172"/>
      <c r="H242" s="261">
        <f>+'QUESTION 8'!H61</f>
        <v>8.5631947303417041E-2</v>
      </c>
      <c r="P242" s="92">
        <v>2</v>
      </c>
      <c r="Q242" s="92">
        <v>1</v>
      </c>
    </row>
    <row r="243" spans="2:17" s="126" customFormat="1" x14ac:dyDescent="0.35">
      <c r="B243" s="126" t="s">
        <v>79</v>
      </c>
      <c r="C243" s="245"/>
      <c r="D243" s="259">
        <f>+'QUESTION 8'!D62</f>
        <v>2000</v>
      </c>
      <c r="E243" s="172"/>
      <c r="F243" s="172" t="s">
        <v>92</v>
      </c>
      <c r="G243" s="267">
        <f>+'QUESTION 8'!G62</f>
        <v>2.6363636363636362</v>
      </c>
      <c r="H243" s="267">
        <f>+'QUESTION 8'!H62</f>
        <v>1.8901960784313725</v>
      </c>
      <c r="P243" s="92">
        <v>1</v>
      </c>
      <c r="Q243" s="92">
        <v>1</v>
      </c>
    </row>
    <row r="244" spans="2:17" s="126" customFormat="1" x14ac:dyDescent="0.35">
      <c r="B244" s="126" t="s">
        <v>80</v>
      </c>
      <c r="C244" s="245"/>
      <c r="D244" s="259">
        <f>+'QUESTION 8'!D63</f>
        <v>-1500</v>
      </c>
      <c r="E244" s="172"/>
      <c r="F244" s="172"/>
      <c r="G244" s="172"/>
      <c r="H244" s="172"/>
      <c r="P244" s="92">
        <v>1</v>
      </c>
      <c r="Q244" s="92">
        <v>1</v>
      </c>
    </row>
    <row r="245" spans="2:17" s="126" customFormat="1" x14ac:dyDescent="0.35">
      <c r="B245" s="126" t="s">
        <v>81</v>
      </c>
      <c r="C245" s="245"/>
      <c r="D245" s="259">
        <f>+'QUESTION 8'!D64</f>
        <v>3000</v>
      </c>
      <c r="E245" s="172"/>
      <c r="F245" s="172"/>
      <c r="G245" s="172"/>
      <c r="H245" s="172"/>
      <c r="P245" s="92">
        <v>2</v>
      </c>
      <c r="Q245" s="92"/>
    </row>
    <row r="246" spans="2:17" s="126" customFormat="1" x14ac:dyDescent="0.35">
      <c r="B246" s="126" t="s">
        <v>82</v>
      </c>
      <c r="C246" s="245"/>
      <c r="D246" s="259">
        <f>+'QUESTION 8'!D65</f>
        <v>3000</v>
      </c>
      <c r="E246" s="172"/>
      <c r="F246" s="172"/>
      <c r="G246" s="172"/>
      <c r="H246" s="172"/>
      <c r="P246" s="92">
        <v>1</v>
      </c>
      <c r="Q246" s="92"/>
    </row>
    <row r="247" spans="2:17" s="126" customFormat="1" x14ac:dyDescent="0.35">
      <c r="B247" s="126" t="s">
        <v>83</v>
      </c>
      <c r="C247" s="245"/>
      <c r="D247" s="259">
        <f>+'QUESTION 8'!D66</f>
        <v>-1000</v>
      </c>
      <c r="E247" s="172"/>
      <c r="F247" s="172"/>
      <c r="G247" s="172"/>
      <c r="H247" s="172"/>
      <c r="P247" s="92">
        <v>1</v>
      </c>
      <c r="Q247" s="92"/>
    </row>
    <row r="248" spans="2:17" s="126" customFormat="1" x14ac:dyDescent="0.35">
      <c r="B248" s="126" t="s">
        <v>84</v>
      </c>
      <c r="C248" s="245"/>
      <c r="D248" s="259">
        <f>+'QUESTION 8'!D67</f>
        <v>-1000</v>
      </c>
      <c r="E248" s="172"/>
      <c r="F248" s="172"/>
      <c r="G248" s="172"/>
      <c r="H248" s="172"/>
      <c r="P248" s="92">
        <v>1</v>
      </c>
      <c r="Q248" s="92"/>
    </row>
    <row r="249" spans="2:17" s="126" customFormat="1" x14ac:dyDescent="0.35">
      <c r="B249" s="152" t="s">
        <v>29</v>
      </c>
      <c r="C249" s="245"/>
      <c r="D249" s="259">
        <f>+'QUESTION 8'!D68</f>
        <v>-6000</v>
      </c>
      <c r="E249" s="172"/>
      <c r="F249" s="172"/>
      <c r="G249" s="172"/>
      <c r="H249" s="172"/>
      <c r="P249" s="92"/>
    </row>
    <row r="250" spans="2:17" s="126" customFormat="1" x14ac:dyDescent="0.35">
      <c r="C250" s="247"/>
      <c r="D250" s="265"/>
      <c r="E250" s="172"/>
      <c r="F250" s="172"/>
      <c r="G250" s="172"/>
      <c r="H250" s="172"/>
      <c r="P250" s="92"/>
    </row>
    <row r="251" spans="2:17" s="126" customFormat="1" ht="15" thickBot="1" x14ac:dyDescent="0.4">
      <c r="B251" s="126" t="s">
        <v>32</v>
      </c>
      <c r="C251" s="247"/>
      <c r="D251" s="264">
        <f>+'QUESTION 8'!D70</f>
        <v>194800</v>
      </c>
      <c r="E251" s="172"/>
      <c r="F251" s="172"/>
      <c r="G251" s="172"/>
      <c r="H251" s="172"/>
      <c r="P251" s="92"/>
    </row>
    <row r="252" spans="2:17" s="126" customFormat="1" ht="15" thickTop="1" x14ac:dyDescent="0.35">
      <c r="C252" s="247"/>
      <c r="D252" s="247"/>
      <c r="E252" s="172"/>
      <c r="F252" s="172"/>
      <c r="G252" s="172"/>
      <c r="H252" s="172"/>
      <c r="P252" s="92"/>
    </row>
    <row r="253" spans="2:17" s="126" customFormat="1" x14ac:dyDescent="0.35">
      <c r="B253" s="152" t="s">
        <v>34</v>
      </c>
      <c r="C253" s="245"/>
      <c r="D253" s="245"/>
      <c r="E253" s="172"/>
      <c r="F253" s="172"/>
      <c r="G253" s="172"/>
      <c r="H253" s="172"/>
      <c r="P253" s="92"/>
    </row>
    <row r="254" spans="2:17" s="126" customFormat="1" x14ac:dyDescent="0.35">
      <c r="B254" s="126" t="s">
        <v>35</v>
      </c>
      <c r="C254" s="245"/>
      <c r="D254" s="259">
        <f>+'QUESTION 8'!D73</f>
        <v>-100000</v>
      </c>
      <c r="E254" s="172"/>
      <c r="F254" s="172"/>
      <c r="G254" s="172"/>
      <c r="H254" s="172"/>
      <c r="P254" s="92">
        <v>2</v>
      </c>
    </row>
    <row r="255" spans="2:17" s="126" customFormat="1" x14ac:dyDescent="0.35">
      <c r="B255" s="126" t="s">
        <v>37</v>
      </c>
      <c r="C255" s="245"/>
      <c r="D255" s="259">
        <f>+'QUESTION 8'!D74</f>
        <v>-50000</v>
      </c>
      <c r="E255" s="172"/>
      <c r="F255" s="172"/>
      <c r="G255" s="172"/>
      <c r="H255" s="172"/>
      <c r="P255" s="92">
        <v>1</v>
      </c>
    </row>
    <row r="256" spans="2:17" s="126" customFormat="1" x14ac:dyDescent="0.35">
      <c r="B256" s="152" t="s">
        <v>38</v>
      </c>
      <c r="C256" s="245"/>
      <c r="D256" s="259">
        <f>+'QUESTION 8'!D75</f>
        <v>-150000</v>
      </c>
      <c r="E256" s="172"/>
      <c r="F256" s="172"/>
      <c r="G256" s="172"/>
      <c r="H256" s="172"/>
      <c r="P256" s="92"/>
    </row>
    <row r="257" spans="2:34" s="126" customFormat="1" x14ac:dyDescent="0.35">
      <c r="C257" s="247"/>
      <c r="D257" s="265"/>
      <c r="E257" s="172"/>
      <c r="F257" s="172"/>
      <c r="G257" s="172"/>
      <c r="H257" s="172"/>
      <c r="P257" s="92"/>
    </row>
    <row r="258" spans="2:34" s="126" customFormat="1" ht="15" thickBot="1" x14ac:dyDescent="0.4">
      <c r="B258" s="126" t="s">
        <v>42</v>
      </c>
      <c r="C258" s="247"/>
      <c r="D258" s="264">
        <f>+'QUESTION 8'!D77</f>
        <v>44800</v>
      </c>
      <c r="E258" s="172"/>
      <c r="F258" s="172"/>
      <c r="G258" s="172"/>
      <c r="H258" s="172"/>
      <c r="P258" s="92"/>
    </row>
    <row r="259" spans="2:34" s="126" customFormat="1" ht="15" thickTop="1" x14ac:dyDescent="0.35">
      <c r="C259" s="247"/>
      <c r="D259" s="265"/>
      <c r="E259" s="172"/>
      <c r="F259" s="172"/>
      <c r="G259" s="172"/>
      <c r="H259" s="172"/>
      <c r="P259" s="92"/>
    </row>
    <row r="260" spans="2:34" s="126" customFormat="1" x14ac:dyDescent="0.35">
      <c r="B260" s="152" t="s">
        <v>46</v>
      </c>
      <c r="C260" s="245"/>
      <c r="D260" s="265"/>
      <c r="E260" s="172"/>
      <c r="F260" s="172"/>
      <c r="G260" s="172"/>
      <c r="H260" s="172"/>
      <c r="P260" s="92"/>
    </row>
    <row r="261" spans="2:34" s="126" customFormat="1" x14ac:dyDescent="0.35">
      <c r="B261" s="152"/>
      <c r="C261" s="245"/>
      <c r="D261" s="265"/>
      <c r="E261" s="172"/>
      <c r="F261" s="172"/>
      <c r="G261" s="172"/>
      <c r="H261" s="172"/>
      <c r="P261" s="92"/>
    </row>
    <row r="262" spans="2:34" s="126" customFormat="1" x14ac:dyDescent="0.35">
      <c r="B262" s="126" t="s">
        <v>49</v>
      </c>
      <c r="C262" s="245"/>
      <c r="D262" s="259">
        <f>+'QUESTION 8'!D81</f>
        <v>2000</v>
      </c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394">
        <v>2</v>
      </c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</row>
    <row r="263" spans="2:34" s="126" customFormat="1" x14ac:dyDescent="0.35">
      <c r="B263" s="126" t="s">
        <v>51</v>
      </c>
      <c r="C263" s="245"/>
      <c r="D263" s="259">
        <f>+'QUESTION 8'!D82</f>
        <v>-100000</v>
      </c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394">
        <v>2</v>
      </c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</row>
    <row r="264" spans="2:34" s="126" customFormat="1" x14ac:dyDescent="0.35">
      <c r="B264" s="126" t="s">
        <v>53</v>
      </c>
      <c r="C264" s="245"/>
      <c r="D264" s="259">
        <f>+'QUESTION 8'!D83</f>
        <v>40000</v>
      </c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394">
        <v>2</v>
      </c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</row>
    <row r="265" spans="2:34" s="126" customFormat="1" x14ac:dyDescent="0.35">
      <c r="B265" s="126" t="s">
        <v>55</v>
      </c>
      <c r="C265" s="245"/>
      <c r="D265" s="259">
        <f>+'QUESTION 8'!D84</f>
        <v>-58000</v>
      </c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394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</row>
    <row r="266" spans="2:34" s="126" customFormat="1" x14ac:dyDescent="0.35">
      <c r="C266" s="247"/>
      <c r="D266" s="265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394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</row>
    <row r="267" spans="2:34" s="126" customFormat="1" ht="15" thickBot="1" x14ac:dyDescent="0.4">
      <c r="B267" s="152" t="s">
        <v>58</v>
      </c>
      <c r="C267" s="247"/>
      <c r="D267" s="264">
        <f>+'QUESTION 8'!D86</f>
        <v>-13200</v>
      </c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394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</row>
    <row r="268" spans="2:34" s="126" customFormat="1" ht="15" thickTop="1" x14ac:dyDescent="0.35">
      <c r="C268" s="247"/>
      <c r="D268" s="265"/>
      <c r="E268" s="263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394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</row>
    <row r="269" spans="2:34" s="126" customFormat="1" x14ac:dyDescent="0.35">
      <c r="B269" s="126" t="s">
        <v>61</v>
      </c>
      <c r="C269" s="247"/>
      <c r="D269" s="259">
        <f>+'QUESTION 8'!D88</f>
        <v>50000</v>
      </c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394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</row>
    <row r="270" spans="2:34" s="126" customFormat="1" x14ac:dyDescent="0.35">
      <c r="C270" s="247"/>
      <c r="D270" s="265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394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</row>
    <row r="271" spans="2:34" s="126" customFormat="1" ht="15" thickBot="1" x14ac:dyDescent="0.4">
      <c r="B271" s="126" t="s">
        <v>63</v>
      </c>
      <c r="C271" s="247"/>
      <c r="D271" s="264">
        <f>+'QUESTION 8'!D90</f>
        <v>36800</v>
      </c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394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</row>
    <row r="272" spans="2:34" ht="15" thickTop="1" x14ac:dyDescent="0.35"/>
  </sheetData>
  <sheetProtection formatCells="0" formatColumns="0" formatRows="0" insertColumns="0" insertRows="0" insertHyperlinks="0" deleteColumns="0" deleteRows="0" sort="0" autoFilter="0" pivotTables="0"/>
  <mergeCells count="24">
    <mergeCell ref="D3:F3"/>
    <mergeCell ref="I3:K3"/>
    <mergeCell ref="E9:I9"/>
    <mergeCell ref="K9:O9"/>
    <mergeCell ref="B18:L18"/>
    <mergeCell ref="B29:L29"/>
    <mergeCell ref="B53:I53"/>
    <mergeCell ref="B73:C73"/>
    <mergeCell ref="B74:C74"/>
    <mergeCell ref="B75:C75"/>
    <mergeCell ref="B76:C76"/>
    <mergeCell ref="B77:C77"/>
    <mergeCell ref="B78:C78"/>
    <mergeCell ref="B79:C79"/>
    <mergeCell ref="B89:C89"/>
    <mergeCell ref="B104:C104"/>
    <mergeCell ref="B129:J129"/>
    <mergeCell ref="B181:E181"/>
    <mergeCell ref="B182:E182"/>
    <mergeCell ref="D89:F89"/>
    <mergeCell ref="B90:C90"/>
    <mergeCell ref="B91:C91"/>
    <mergeCell ref="B100:I100"/>
    <mergeCell ref="B103:C103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D83F-B25B-4C2D-9170-CCDB0D455DD7}">
  <sheetPr>
    <tabColor theme="4"/>
  </sheetPr>
  <dimension ref="A1:AA24"/>
  <sheetViews>
    <sheetView showGridLines="0" workbookViewId="0">
      <selection activeCell="K25" sqref="K25"/>
    </sheetView>
  </sheetViews>
  <sheetFormatPr defaultRowHeight="14.5" x14ac:dyDescent="0.35"/>
  <cols>
    <col min="1" max="1" width="2.7265625" customWidth="1"/>
    <col min="2" max="2" width="25.453125" customWidth="1"/>
    <col min="3" max="3" width="11.08984375" customWidth="1"/>
    <col min="4" max="4" width="2.26953125" customWidth="1"/>
    <col min="5" max="5" width="8.7265625" bestFit="1" customWidth="1"/>
    <col min="6" max="6" width="10.08984375" customWidth="1"/>
    <col min="7" max="7" width="9.7265625" customWidth="1"/>
    <col min="8" max="8" width="11.453125" bestFit="1" customWidth="1"/>
    <col min="9" max="9" width="9.90625" customWidth="1"/>
    <col min="10" max="10" width="2.26953125" customWidth="1"/>
    <col min="11" max="15" width="10.7265625" customWidth="1"/>
  </cols>
  <sheetData>
    <row r="1" spans="1:27" ht="19" thickBot="1" x14ac:dyDescent="0.5">
      <c r="A1" s="320" t="str">
        <f>+INTRODUCTION!A1</f>
        <v>BARUCH COLLEGE - MS FIN9793 MIDTERM EXAM</v>
      </c>
    </row>
    <row r="2" spans="1:27" ht="22.5" customHeight="1" thickBot="1" x14ac:dyDescent="0.4">
      <c r="B2" s="50" t="s">
        <v>96</v>
      </c>
      <c r="C2" s="425" t="str">
        <f>+INTRODUCTION!H4&amp;", "&amp;INTRODUCTION!C4</f>
        <v xml:space="preserve">, </v>
      </c>
      <c r="D2" s="426"/>
      <c r="E2" s="426"/>
      <c r="F2" s="426"/>
      <c r="G2" s="426"/>
      <c r="H2" s="426"/>
      <c r="I2" s="426"/>
      <c r="J2" s="427"/>
      <c r="L2" s="74"/>
    </row>
    <row r="3" spans="1:27" ht="11" customHeight="1" x14ac:dyDescent="0.35">
      <c r="B3" s="51"/>
      <c r="C3" s="50"/>
      <c r="D3" s="52"/>
      <c r="E3" s="52"/>
      <c r="F3" s="52"/>
      <c r="G3" s="52"/>
      <c r="H3" s="52"/>
    </row>
    <row r="4" spans="1:27" ht="15.5" x14ac:dyDescent="0.35">
      <c r="B4" s="19" t="s">
        <v>223</v>
      </c>
      <c r="C4" s="20"/>
      <c r="D4" s="53"/>
      <c r="E4" s="53"/>
      <c r="F4" s="53"/>
      <c r="G4" s="53"/>
      <c r="H4" s="53"/>
      <c r="I4" s="53"/>
      <c r="J4" s="53"/>
    </row>
    <row r="5" spans="1:27" x14ac:dyDescent="0.35">
      <c r="B5" s="6" t="s">
        <v>111</v>
      </c>
      <c r="AA5" s="27" t="s">
        <v>97</v>
      </c>
    </row>
    <row r="6" spans="1:27" x14ac:dyDescent="0.35">
      <c r="AA6" s="27"/>
    </row>
    <row r="7" spans="1:27" x14ac:dyDescent="0.35">
      <c r="E7" s="428" t="s">
        <v>122</v>
      </c>
      <c r="F7" s="428"/>
      <c r="G7" s="428"/>
      <c r="H7" s="428"/>
      <c r="I7" s="428"/>
      <c r="J7" s="6"/>
      <c r="K7" s="423" t="s">
        <v>123</v>
      </c>
      <c r="L7" s="423"/>
      <c r="M7" s="423"/>
      <c r="N7" s="423"/>
      <c r="O7" s="423"/>
      <c r="AA7" s="27"/>
    </row>
    <row r="8" spans="1:27" s="89" customFormat="1" x14ac:dyDescent="0.35">
      <c r="A8"/>
      <c r="B8" s="283" t="s">
        <v>119</v>
      </c>
      <c r="C8" s="125" t="s">
        <v>120</v>
      </c>
      <c r="D8" s="88"/>
      <c r="E8" s="124" t="s">
        <v>121</v>
      </c>
      <c r="F8" s="125"/>
      <c r="G8" s="125"/>
      <c r="H8" s="125"/>
      <c r="I8" s="125"/>
      <c r="J8" s="88"/>
      <c r="K8" s="124" t="s">
        <v>121</v>
      </c>
      <c r="L8" s="124"/>
      <c r="M8" s="124"/>
      <c r="N8" s="124"/>
      <c r="O8" s="124"/>
    </row>
    <row r="9" spans="1:27" x14ac:dyDescent="0.35">
      <c r="B9" s="203" t="s">
        <v>112</v>
      </c>
      <c r="C9" s="289">
        <f>+'RESTICTED-SUMMARY ANSWERS'!C11</f>
        <v>0.15</v>
      </c>
      <c r="D9" s="49"/>
      <c r="E9" s="290">
        <f>+'RESTICTED-SUMMARY ANSWERS'!E11</f>
        <v>-0.2</v>
      </c>
      <c r="F9" s="314">
        <f>+E9*C9</f>
        <v>-0.03</v>
      </c>
      <c r="G9" s="285">
        <f>+E9-$F$14</f>
        <v>-0.29700000000000004</v>
      </c>
      <c r="H9" s="285">
        <f>+G9^2</f>
        <v>8.8209000000000024E-2</v>
      </c>
      <c r="I9" s="285">
        <f>+H9*C9</f>
        <v>1.3231350000000003E-2</v>
      </c>
      <c r="J9" s="49"/>
      <c r="K9" s="290">
        <f>+'RESTICTED-SUMMARY ANSWERS'!K11</f>
        <v>0.08</v>
      </c>
      <c r="L9" s="314">
        <f>+K9*C9</f>
        <v>1.2E-2</v>
      </c>
      <c r="M9" s="285">
        <f>+K9-L14</f>
        <v>7.1000000000000008E-2</v>
      </c>
      <c r="N9" s="285">
        <f>+M9^2</f>
        <v>5.0410000000000012E-3</v>
      </c>
      <c r="O9" s="285">
        <f>+N9*C9</f>
        <v>7.5615000000000014E-4</v>
      </c>
    </row>
    <row r="10" spans="1:27" x14ac:dyDescent="0.35">
      <c r="B10" s="203" t="s">
        <v>113</v>
      </c>
      <c r="C10" s="289">
        <f>+'RESTICTED-SUMMARY ANSWERS'!C12</f>
        <v>0.2</v>
      </c>
      <c r="D10" s="49"/>
      <c r="E10" s="290">
        <f>+'RESTICTED-SUMMARY ANSWERS'!E12</f>
        <v>-7.0000000000000007E-2</v>
      </c>
      <c r="F10" s="314">
        <f t="shared" ref="F10:F12" si="0">+E10*C10</f>
        <v>-1.4000000000000002E-2</v>
      </c>
      <c r="G10" s="285">
        <f t="shared" ref="G10:G12" si="1">+E10-$F$14</f>
        <v>-0.16700000000000001</v>
      </c>
      <c r="H10" s="285">
        <f t="shared" ref="H10:H12" si="2">+G10^2</f>
        <v>2.7889000000000004E-2</v>
      </c>
      <c r="I10" s="285">
        <f t="shared" ref="I10:I12" si="3">+H10*C10</f>
        <v>5.5778000000000008E-3</v>
      </c>
      <c r="J10" s="49"/>
      <c r="K10" s="290">
        <f>+'RESTICTED-SUMMARY ANSWERS'!K12</f>
        <v>0.04</v>
      </c>
      <c r="L10" s="314">
        <f t="shared" ref="L10:L12" si="4">+K10*C10</f>
        <v>8.0000000000000002E-3</v>
      </c>
      <c r="M10" s="285">
        <f t="shared" ref="M10:M12" si="5">+K10-L15</f>
        <v>0.04</v>
      </c>
      <c r="N10" s="285">
        <f t="shared" ref="N10:N12" si="6">+M10^2</f>
        <v>1.6000000000000001E-3</v>
      </c>
      <c r="O10" s="285">
        <f t="shared" ref="O10:O12" si="7">+N10*C10</f>
        <v>3.2000000000000003E-4</v>
      </c>
    </row>
    <row r="11" spans="1:27" x14ac:dyDescent="0.35">
      <c r="B11" s="203" t="s">
        <v>114</v>
      </c>
      <c r="C11" s="289">
        <f>+'RESTICTED-SUMMARY ANSWERS'!C13</f>
        <v>0.3</v>
      </c>
      <c r="D11" s="49"/>
      <c r="E11" s="290">
        <f>+'RESTICTED-SUMMARY ANSWERS'!E13</f>
        <v>0.12</v>
      </c>
      <c r="F11" s="314">
        <f t="shared" si="0"/>
        <v>3.5999999999999997E-2</v>
      </c>
      <c r="G11" s="285">
        <f t="shared" si="1"/>
        <v>2.2999999999999993E-2</v>
      </c>
      <c r="H11" s="285">
        <f t="shared" si="2"/>
        <v>5.2899999999999963E-4</v>
      </c>
      <c r="I11" s="285">
        <f t="shared" si="3"/>
        <v>1.5869999999999987E-4</v>
      </c>
      <c r="J11" s="49"/>
      <c r="K11" s="290">
        <f>+'RESTICTED-SUMMARY ANSWERS'!K13</f>
        <v>0.01</v>
      </c>
      <c r="L11" s="314">
        <f t="shared" si="4"/>
        <v>3.0000000000000001E-3</v>
      </c>
      <c r="M11" s="285">
        <f t="shared" si="5"/>
        <v>0.01</v>
      </c>
      <c r="N11" s="285">
        <f t="shared" si="6"/>
        <v>1E-4</v>
      </c>
      <c r="O11" s="285">
        <f t="shared" si="7"/>
        <v>3.0000000000000001E-5</v>
      </c>
    </row>
    <row r="12" spans="1:27" x14ac:dyDescent="0.35">
      <c r="B12" s="203" t="s">
        <v>115</v>
      </c>
      <c r="C12" s="289">
        <f>+'RESTICTED-SUMMARY ANSWERS'!C14</f>
        <v>0.35</v>
      </c>
      <c r="D12" s="49"/>
      <c r="E12" s="290">
        <f>+'RESTICTED-SUMMARY ANSWERS'!E14</f>
        <v>0.3</v>
      </c>
      <c r="F12" s="314">
        <f t="shared" si="0"/>
        <v>0.105</v>
      </c>
      <c r="G12" s="285">
        <f t="shared" si="1"/>
        <v>0.20299999999999999</v>
      </c>
      <c r="H12" s="285">
        <f t="shared" si="2"/>
        <v>4.1208999999999996E-2</v>
      </c>
      <c r="I12" s="285">
        <f t="shared" si="3"/>
        <v>1.4423149999999997E-2</v>
      </c>
      <c r="J12" s="49"/>
      <c r="K12" s="290">
        <f>+'RESTICTED-SUMMARY ANSWERS'!K14</f>
        <v>-0.04</v>
      </c>
      <c r="L12" s="314">
        <f t="shared" si="4"/>
        <v>-1.3999999999999999E-2</v>
      </c>
      <c r="M12" s="285">
        <f t="shared" si="5"/>
        <v>-0.04</v>
      </c>
      <c r="N12" s="285">
        <f t="shared" si="6"/>
        <v>1.6000000000000001E-3</v>
      </c>
      <c r="O12" s="285">
        <f t="shared" si="7"/>
        <v>5.5999999999999995E-4</v>
      </c>
    </row>
    <row r="13" spans="1:27" ht="15" thickBot="1" x14ac:dyDescent="0.4">
      <c r="B13" s="126" t="s">
        <v>116</v>
      </c>
      <c r="C13" s="291">
        <f>SUM(C9:C12)</f>
        <v>0.99999999999999989</v>
      </c>
      <c r="G13" s="85"/>
      <c r="H13" s="318" t="s">
        <v>227</v>
      </c>
      <c r="I13" s="390">
        <f>SUM(I9:I12)</f>
        <v>3.3391000000000004E-2</v>
      </c>
      <c r="K13" s="6"/>
      <c r="M13" s="86"/>
      <c r="N13" s="318" t="s">
        <v>227</v>
      </c>
      <c r="O13" s="316">
        <f>SUM(O9:O12)</f>
        <v>1.6661500000000001E-3</v>
      </c>
    </row>
    <row r="14" spans="1:27" ht="15.5" thickTop="1" thickBot="1" x14ac:dyDescent="0.4">
      <c r="E14" s="34" t="s">
        <v>117</v>
      </c>
      <c r="F14" s="315">
        <f>SUM(F9:F12)</f>
        <v>9.7000000000000003E-2</v>
      </c>
      <c r="H14" s="87" t="s">
        <v>118</v>
      </c>
      <c r="I14" s="315">
        <f>SQRT(I13)</f>
        <v>0.18273204426153614</v>
      </c>
      <c r="K14" s="34" t="s">
        <v>117</v>
      </c>
      <c r="L14" s="315">
        <f>SUM(L9:L12)</f>
        <v>9.0000000000000011E-3</v>
      </c>
      <c r="N14" s="87" t="s">
        <v>118</v>
      </c>
      <c r="O14" s="317">
        <f>SQRT(O13)</f>
        <v>4.0818500707399827E-2</v>
      </c>
    </row>
    <row r="16" spans="1:27" x14ac:dyDescent="0.35">
      <c r="B16" s="424" t="s">
        <v>124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</row>
    <row r="18" spans="2:15" x14ac:dyDescent="0.35">
      <c r="B18" s="283" t="s">
        <v>119</v>
      </c>
      <c r="C18" s="125" t="s">
        <v>120</v>
      </c>
      <c r="D18" s="88"/>
      <c r="E18" s="280"/>
      <c r="F18" s="280"/>
      <c r="G18" s="281"/>
      <c r="H18" s="282"/>
      <c r="I18" s="88"/>
      <c r="J18" s="88"/>
      <c r="K18" s="88"/>
      <c r="L18" s="88"/>
      <c r="M18" s="88"/>
      <c r="N18" s="88"/>
      <c r="O18" s="88"/>
    </row>
    <row r="19" spans="2:15" x14ac:dyDescent="0.35">
      <c r="B19" s="203" t="s">
        <v>112</v>
      </c>
      <c r="C19" s="292">
        <f>+C9</f>
        <v>0.15</v>
      </c>
      <c r="E19" s="123">
        <f>+G9</f>
        <v>-0.29700000000000004</v>
      </c>
      <c r="F19" s="123">
        <f>+M9</f>
        <v>7.1000000000000008E-2</v>
      </c>
      <c r="G19" s="123">
        <f>+F19*E19</f>
        <v>-2.1087000000000005E-2</v>
      </c>
      <c r="H19" s="123">
        <f>+G19*C19</f>
        <v>-3.1630500000000006E-3</v>
      </c>
    </row>
    <row r="20" spans="2:15" x14ac:dyDescent="0.35">
      <c r="B20" s="203" t="s">
        <v>113</v>
      </c>
      <c r="C20" s="292">
        <f t="shared" ref="C20:C22" si="8">+C10</f>
        <v>0.2</v>
      </c>
      <c r="E20" s="123">
        <f t="shared" ref="E20:E22" si="9">+G10</f>
        <v>-0.16700000000000001</v>
      </c>
      <c r="F20" s="123">
        <f t="shared" ref="F20:F22" si="10">+M10</f>
        <v>0.04</v>
      </c>
      <c r="G20" s="123">
        <f t="shared" ref="G20:G22" si="11">+F20*E20</f>
        <v>-6.6800000000000002E-3</v>
      </c>
      <c r="H20" s="123">
        <f t="shared" ref="H20:H22" si="12">+G20*C20</f>
        <v>-1.3360000000000002E-3</v>
      </c>
    </row>
    <row r="21" spans="2:15" x14ac:dyDescent="0.35">
      <c r="B21" s="203" t="s">
        <v>114</v>
      </c>
      <c r="C21" s="292">
        <f t="shared" si="8"/>
        <v>0.3</v>
      </c>
      <c r="E21" s="123">
        <f t="shared" si="9"/>
        <v>2.2999999999999993E-2</v>
      </c>
      <c r="F21" s="123">
        <f t="shared" si="10"/>
        <v>0.01</v>
      </c>
      <c r="G21" s="123">
        <f t="shared" si="11"/>
        <v>2.2999999999999993E-4</v>
      </c>
      <c r="H21" s="123">
        <f t="shared" si="12"/>
        <v>6.899999999999997E-5</v>
      </c>
    </row>
    <row r="22" spans="2:15" x14ac:dyDescent="0.35">
      <c r="B22" s="203" t="s">
        <v>115</v>
      </c>
      <c r="C22" s="292">
        <f t="shared" si="8"/>
        <v>0.35</v>
      </c>
      <c r="E22" s="123">
        <f t="shared" si="9"/>
        <v>0.20299999999999999</v>
      </c>
      <c r="F22" s="123">
        <f t="shared" si="10"/>
        <v>-0.04</v>
      </c>
      <c r="G22" s="123">
        <f t="shared" si="11"/>
        <v>-8.1199999999999987E-3</v>
      </c>
      <c r="H22" s="123">
        <f t="shared" si="12"/>
        <v>-2.8419999999999995E-3</v>
      </c>
    </row>
    <row r="23" spans="2:15" ht="15" thickBot="1" x14ac:dyDescent="0.4">
      <c r="B23" s="203" t="s">
        <v>116</v>
      </c>
      <c r="C23" s="293">
        <f>SUM(C19:C22)</f>
        <v>0.99999999999999989</v>
      </c>
      <c r="G23" s="87" t="s">
        <v>125</v>
      </c>
      <c r="H23" s="319">
        <f>SUM(H19:H22)</f>
        <v>-7.2720500000000004E-3</v>
      </c>
    </row>
    <row r="24" spans="2:15" ht="15.5" thickTop="1" thickBot="1" x14ac:dyDescent="0.4">
      <c r="G24" s="87" t="s">
        <v>126</v>
      </c>
      <c r="H24" s="90">
        <f>+H23/(I14*O14)</f>
        <v>-0.97495617607412577</v>
      </c>
    </row>
  </sheetData>
  <mergeCells count="4">
    <mergeCell ref="K7:O7"/>
    <mergeCell ref="B16:L16"/>
    <mergeCell ref="C2:J2"/>
    <mergeCell ref="E7:I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ED31-5AF1-4941-ABD6-CBD2ABDBCB1E}">
  <sheetPr>
    <tabColor theme="4"/>
  </sheetPr>
  <dimension ref="A1:AA26"/>
  <sheetViews>
    <sheetView showGridLines="0" tabSelected="1" topLeftCell="A5" workbookViewId="0">
      <selection activeCell="E23" sqref="E23"/>
    </sheetView>
  </sheetViews>
  <sheetFormatPr defaultRowHeight="14.5" x14ac:dyDescent="0.35"/>
  <cols>
    <col min="1" max="1" width="2.7265625" customWidth="1"/>
    <col min="2" max="2" width="27" customWidth="1"/>
    <col min="3" max="3" width="11.08984375" customWidth="1"/>
    <col min="4" max="4" width="10.90625" customWidth="1"/>
    <col min="5" max="5" width="10.453125" customWidth="1"/>
    <col min="6" max="6" width="10.08984375" customWidth="1"/>
    <col min="7" max="7" width="13.6328125" customWidth="1"/>
    <col min="8" max="8" width="10.90625" customWidth="1"/>
    <col min="9" max="9" width="9.90625" customWidth="1"/>
    <col min="10" max="10" width="2.26953125" customWidth="1"/>
  </cols>
  <sheetData>
    <row r="1" spans="1:27" ht="19" thickBot="1" x14ac:dyDescent="0.5">
      <c r="A1" s="320" t="str">
        <f>+INTRODUCTION!A1</f>
        <v>BARUCH COLLEGE - MS FIN9793 MIDTERM EXAM</v>
      </c>
    </row>
    <row r="2" spans="1:27" ht="22.5" customHeight="1" thickBot="1" x14ac:dyDescent="0.4">
      <c r="B2" s="50" t="s">
        <v>96</v>
      </c>
      <c r="C2" s="425" t="str">
        <f>+INTRODUCTION!H4&amp;", "&amp;INTRODUCTION!C4</f>
        <v xml:space="preserve">, </v>
      </c>
      <c r="D2" s="426"/>
      <c r="E2" s="426"/>
      <c r="F2" s="426"/>
      <c r="G2" s="426"/>
      <c r="H2" s="426"/>
      <c r="I2" s="426"/>
      <c r="J2" s="427"/>
      <c r="L2" s="74"/>
    </row>
    <row r="3" spans="1:27" ht="11" customHeight="1" x14ac:dyDescent="0.35">
      <c r="B3" s="51"/>
      <c r="C3" s="50"/>
      <c r="D3" s="52"/>
      <c r="E3" s="52"/>
      <c r="F3" s="52"/>
      <c r="G3" s="52"/>
      <c r="H3" s="52"/>
    </row>
    <row r="4" spans="1:27" ht="15.5" x14ac:dyDescent="0.35">
      <c r="B4" s="19" t="s">
        <v>146</v>
      </c>
      <c r="C4" s="20"/>
      <c r="D4" s="53"/>
      <c r="E4" s="53"/>
      <c r="F4" s="53"/>
      <c r="G4" s="53"/>
      <c r="H4" s="53"/>
      <c r="I4" s="53"/>
      <c r="J4" s="53"/>
    </row>
    <row r="5" spans="1:27" x14ac:dyDescent="0.35">
      <c r="B5" s="424" t="s">
        <v>127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AA5" s="27" t="s">
        <v>97</v>
      </c>
    </row>
    <row r="6" spans="1:27" x14ac:dyDescent="0.35">
      <c r="AA6" s="27"/>
    </row>
    <row r="7" spans="1:27" s="89" customFormat="1" ht="15" thickBot="1" x14ac:dyDescent="0.4">
      <c r="B7" s="279" t="s">
        <v>128</v>
      </c>
      <c r="C7" s="93" t="s">
        <v>136</v>
      </c>
      <c r="D7" s="93" t="s">
        <v>137</v>
      </c>
      <c r="E7" s="93" t="s">
        <v>138</v>
      </c>
      <c r="F7" s="88"/>
      <c r="G7"/>
      <c r="H7"/>
      <c r="I7"/>
      <c r="J7"/>
      <c r="K7"/>
      <c r="L7"/>
      <c r="M7"/>
      <c r="N7"/>
      <c r="O7"/>
    </row>
    <row r="8" spans="1:27" ht="15" thickTop="1" x14ac:dyDescent="0.35">
      <c r="A8" s="89"/>
      <c r="B8" s="158" t="s">
        <v>129</v>
      </c>
      <c r="C8" s="294">
        <f>+'RESTICTED-SUMMARY ANSWERS'!C32</f>
        <v>0.15</v>
      </c>
      <c r="D8" s="294">
        <f>+'RESTICTED-SUMMARY ANSWERS'!D32</f>
        <v>1.4999999999999999E-2</v>
      </c>
      <c r="E8" s="294">
        <f>+'RESTICTED-SUMMARY ANSWERS'!E32</f>
        <v>0</v>
      </c>
      <c r="F8" s="88"/>
    </row>
    <row r="9" spans="1:27" x14ac:dyDescent="0.35">
      <c r="A9" s="89"/>
      <c r="B9" s="158" t="s">
        <v>130</v>
      </c>
      <c r="C9" s="294">
        <f>+'RESTICTED-SUMMARY ANSWERS'!C33</f>
        <v>0.4</v>
      </c>
      <c r="D9" s="294">
        <f>+'RESTICTED-SUMMARY ANSWERS'!D33</f>
        <v>0.09</v>
      </c>
      <c r="E9" s="294">
        <f>+'RESTICTED-SUMMARY ANSWERS'!E33</f>
        <v>0.14000000000000001</v>
      </c>
      <c r="F9" s="88"/>
    </row>
    <row r="10" spans="1:27" x14ac:dyDescent="0.35">
      <c r="A10" s="89"/>
      <c r="B10" s="158" t="s">
        <v>131</v>
      </c>
      <c r="C10" s="294">
        <f>+'RESTICTED-SUMMARY ANSWERS'!C34</f>
        <v>0.45</v>
      </c>
      <c r="D10" s="294">
        <f>+'RESTICTED-SUMMARY ANSWERS'!D34</f>
        <v>0.36</v>
      </c>
      <c r="E10" s="294">
        <f>+'RESTICTED-SUMMARY ANSWERS'!E34</f>
        <v>0.42</v>
      </c>
      <c r="F10" s="88"/>
    </row>
    <row r="11" spans="1:27" x14ac:dyDescent="0.35">
      <c r="A11" s="89"/>
      <c r="B11" s="99"/>
      <c r="C11" s="88"/>
      <c r="D11" s="88"/>
      <c r="E11" s="88"/>
      <c r="F11" s="88"/>
    </row>
    <row r="12" spans="1:27" x14ac:dyDescent="0.35">
      <c r="A12" s="89"/>
      <c r="B12" s="158" t="s">
        <v>132</v>
      </c>
      <c r="C12" s="321">
        <v>0.2</v>
      </c>
      <c r="D12" s="88"/>
      <c r="E12" s="88"/>
      <c r="F12" s="88"/>
    </row>
    <row r="13" spans="1:27" x14ac:dyDescent="0.35">
      <c r="A13" s="89"/>
      <c r="B13" s="158" t="s">
        <v>133</v>
      </c>
      <c r="C13" s="311">
        <v>1.7</v>
      </c>
      <c r="D13" s="88"/>
      <c r="E13" s="88"/>
      <c r="F13" s="88"/>
    </row>
    <row r="14" spans="1:27" x14ac:dyDescent="0.35">
      <c r="A14" s="89"/>
      <c r="B14" s="88"/>
      <c r="C14" s="88"/>
      <c r="D14" s="88"/>
      <c r="E14" s="88"/>
      <c r="F14" s="88"/>
    </row>
    <row r="15" spans="1:27" ht="15" thickBot="1" x14ac:dyDescent="0.4">
      <c r="A15" s="89"/>
      <c r="B15" s="279" t="s">
        <v>134</v>
      </c>
      <c r="C15" s="93" t="s">
        <v>137</v>
      </c>
      <c r="D15" s="93" t="s">
        <v>138</v>
      </c>
      <c r="E15" s="88"/>
      <c r="F15" s="88"/>
    </row>
    <row r="16" spans="1:27" ht="15" thickTop="1" x14ac:dyDescent="0.35">
      <c r="A16" s="89"/>
      <c r="B16" s="158" t="s">
        <v>135</v>
      </c>
      <c r="C16" s="295">
        <v>0.12</v>
      </c>
      <c r="D16" s="296">
        <v>0.18</v>
      </c>
      <c r="E16" s="88"/>
      <c r="F16" s="88"/>
    </row>
    <row r="17" spans="2:8" x14ac:dyDescent="0.35">
      <c r="B17" s="88"/>
      <c r="C17" s="88"/>
      <c r="D17" s="88"/>
      <c r="E17" s="88"/>
      <c r="F17" s="88"/>
    </row>
    <row r="18" spans="2:8" x14ac:dyDescent="0.35">
      <c r="B18" s="88"/>
      <c r="C18" s="88"/>
      <c r="D18" s="88"/>
      <c r="E18" s="88"/>
      <c r="F18" s="88"/>
    </row>
    <row r="19" spans="2:8" ht="15" thickBot="1" x14ac:dyDescent="0.4">
      <c r="B19" s="91" t="s">
        <v>139</v>
      </c>
      <c r="C19" s="97"/>
      <c r="D19" s="97"/>
      <c r="E19" s="98"/>
    </row>
    <row r="20" spans="2:8" ht="18.5" customHeight="1" thickTop="1" x14ac:dyDescent="0.35">
      <c r="B20" s="322" t="s">
        <v>140</v>
      </c>
      <c r="C20" s="323"/>
      <c r="D20" s="324"/>
      <c r="E20" s="96">
        <f>C8*D8+C9*D9+C10*D10</f>
        <v>0.20025000000000001</v>
      </c>
    </row>
    <row r="21" spans="2:8" ht="18.5" customHeight="1" x14ac:dyDescent="0.35">
      <c r="B21" s="325" t="s">
        <v>141</v>
      </c>
      <c r="C21" s="326"/>
      <c r="D21" s="327"/>
      <c r="E21" s="94">
        <f>(C9/SUM(C9:C10))*D9+(C10/SUM(C9:C10))*D10</f>
        <v>0.23294117647058823</v>
      </c>
      <c r="G21" s="24">
        <f>+C9</f>
        <v>0.4</v>
      </c>
      <c r="H21" s="33">
        <f>+G21/$G$23</f>
        <v>0.47058823529411764</v>
      </c>
    </row>
    <row r="22" spans="2:8" ht="18.5" customHeight="1" x14ac:dyDescent="0.35">
      <c r="B22" s="325" t="s">
        <v>142</v>
      </c>
      <c r="C22" s="326"/>
      <c r="D22" s="327"/>
      <c r="E22" s="94">
        <f>SQRT(((H21*E9)^2)+((H22*E10)^2)+(2*H21*H22*E9*E10*C12))</f>
        <v>0.2442150053910109</v>
      </c>
      <c r="G22" s="24">
        <f>+C10</f>
        <v>0.45</v>
      </c>
      <c r="H22" s="33">
        <f>+G22/$G$23</f>
        <v>0.52941176470588236</v>
      </c>
    </row>
    <row r="23" spans="2:8" ht="18.5" customHeight="1" x14ac:dyDescent="0.35">
      <c r="B23" s="325" t="s">
        <v>143</v>
      </c>
      <c r="C23" s="326"/>
      <c r="D23" s="327"/>
      <c r="E23" s="95">
        <f>+(E21-D8)/E22</f>
        <v>0.89241517375905788</v>
      </c>
      <c r="G23" s="24">
        <f>SUM(G21:G22)</f>
        <v>0.85000000000000009</v>
      </c>
    </row>
    <row r="24" spans="2:8" x14ac:dyDescent="0.35">
      <c r="B24" s="328"/>
      <c r="C24" s="329"/>
      <c r="D24" s="329"/>
    </row>
    <row r="25" spans="2:8" ht="18.5" customHeight="1" x14ac:dyDescent="0.35">
      <c r="B25" s="325" t="s">
        <v>144</v>
      </c>
      <c r="C25" s="326"/>
      <c r="D25" s="327"/>
      <c r="E25" s="94">
        <f>+D8+(C13*(C16-D8))</f>
        <v>0.19350000000000001</v>
      </c>
    </row>
    <row r="26" spans="2:8" ht="18.5" customHeight="1" x14ac:dyDescent="0.35">
      <c r="B26" s="325" t="s">
        <v>145</v>
      </c>
      <c r="C26" s="326"/>
      <c r="D26" s="327"/>
      <c r="E26" s="94">
        <f>+D10-E25</f>
        <v>0.16649999999999998</v>
      </c>
    </row>
  </sheetData>
  <mergeCells count="2">
    <mergeCell ref="C2:J2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C38B-2A46-4C8C-BD24-8B4E54DA9759}">
  <sheetPr>
    <tabColor theme="4"/>
  </sheetPr>
  <dimension ref="A1:Z18"/>
  <sheetViews>
    <sheetView showGridLines="0" zoomScaleNormal="100" workbookViewId="0">
      <selection activeCell="D12" sqref="D12"/>
    </sheetView>
  </sheetViews>
  <sheetFormatPr defaultRowHeight="14.5" x14ac:dyDescent="0.35"/>
  <cols>
    <col min="1" max="1" width="1.7265625" customWidth="1"/>
    <col min="2" max="2" width="32.36328125" customWidth="1"/>
    <col min="3" max="3" width="13.1796875" style="29" customWidth="1"/>
    <col min="4" max="4" width="9.26953125" customWidth="1"/>
    <col min="5" max="5" width="14.36328125" customWidth="1"/>
    <col min="6" max="6" width="13.6328125" customWidth="1"/>
    <col min="7" max="7" width="3.26953125" customWidth="1"/>
    <col min="8" max="8" width="14.453125" customWidth="1"/>
    <col min="9" max="9" width="13" customWidth="1"/>
    <col min="27" max="27" width="10.90625" customWidth="1"/>
    <col min="28" max="28" width="11.26953125" customWidth="1"/>
    <col min="30" max="30" width="10.1796875" customWidth="1"/>
  </cols>
  <sheetData>
    <row r="1" spans="1:26" ht="15" thickBot="1" x14ac:dyDescent="0.4">
      <c r="A1" t="str">
        <f>+INTRODUCTION!A1</f>
        <v>BARUCH COLLEGE - MS FIN9793 MIDTERM EXAM</v>
      </c>
    </row>
    <row r="2" spans="1:26" ht="22.5" customHeight="1" thickBot="1" x14ac:dyDescent="0.4">
      <c r="B2" s="50" t="s">
        <v>96</v>
      </c>
      <c r="C2" s="425" t="str">
        <f>+INTRODUCTION!H4&amp;", "&amp;INTRODUCTION!C4</f>
        <v xml:space="preserve">, </v>
      </c>
      <c r="D2" s="426"/>
      <c r="E2" s="426"/>
      <c r="F2" s="426"/>
      <c r="G2" s="426"/>
      <c r="H2" s="426"/>
      <c r="I2" s="427"/>
      <c r="K2" s="74"/>
    </row>
    <row r="3" spans="1:26" ht="11" customHeight="1" x14ac:dyDescent="0.35">
      <c r="B3" s="51"/>
      <c r="C3" s="68"/>
      <c r="D3" s="52"/>
      <c r="E3" s="52"/>
      <c r="F3" s="52"/>
      <c r="G3" s="52"/>
    </row>
    <row r="4" spans="1:26" ht="15.5" x14ac:dyDescent="0.35">
      <c r="B4" s="19" t="s">
        <v>165</v>
      </c>
      <c r="C4" s="69"/>
      <c r="D4" s="53"/>
      <c r="E4" s="53"/>
      <c r="F4" s="53"/>
      <c r="G4" s="53"/>
      <c r="H4" s="53"/>
      <c r="I4" s="53"/>
    </row>
    <row r="5" spans="1:26" x14ac:dyDescent="0.35">
      <c r="B5" s="429" t="s">
        <v>167</v>
      </c>
      <c r="C5" s="429"/>
      <c r="D5" s="429"/>
      <c r="E5" s="429"/>
      <c r="F5" s="429"/>
      <c r="G5" s="429"/>
      <c r="H5" s="429"/>
      <c r="I5" s="429"/>
      <c r="Z5" s="27" t="s">
        <v>97</v>
      </c>
    </row>
    <row r="6" spans="1:26" x14ac:dyDescent="0.35">
      <c r="B6" s="58"/>
      <c r="C6" s="58"/>
      <c r="D6" s="58"/>
      <c r="E6" s="58"/>
      <c r="F6" s="58"/>
      <c r="G6" s="58"/>
      <c r="H6" s="58"/>
      <c r="I6" s="58"/>
      <c r="Z6" s="27"/>
    </row>
    <row r="7" spans="1:26" x14ac:dyDescent="0.35">
      <c r="B7" s="15" t="s">
        <v>97</v>
      </c>
      <c r="C7" s="15"/>
      <c r="D7" s="15"/>
      <c r="F7" s="58"/>
      <c r="G7" s="58"/>
      <c r="H7" s="58"/>
      <c r="Z7" s="27"/>
    </row>
    <row r="8" spans="1:26" x14ac:dyDescent="0.35">
      <c r="B8" s="175" t="s">
        <v>168</v>
      </c>
      <c r="C8" s="138"/>
      <c r="D8" s="176"/>
      <c r="F8" s="396">
        <v>44834</v>
      </c>
    </row>
    <row r="9" spans="1:26" x14ac:dyDescent="0.35">
      <c r="B9" s="210" t="s">
        <v>169</v>
      </c>
      <c r="C9" s="178"/>
      <c r="D9" s="298">
        <f>+'RESTICTED-SUMMARY ANSWERS'!D57</f>
        <v>1000</v>
      </c>
      <c r="F9" s="396">
        <v>44865</v>
      </c>
      <c r="H9">
        <v>30</v>
      </c>
    </row>
    <row r="10" spans="1:26" x14ac:dyDescent="0.35">
      <c r="B10" s="175" t="s">
        <v>170</v>
      </c>
      <c r="C10" s="180"/>
      <c r="D10" s="299">
        <v>96.5</v>
      </c>
      <c r="F10" s="396">
        <v>44895</v>
      </c>
      <c r="H10">
        <v>30</v>
      </c>
    </row>
    <row r="11" spans="1:26" x14ac:dyDescent="0.35">
      <c r="B11" s="175" t="s">
        <v>171</v>
      </c>
      <c r="C11" s="180"/>
      <c r="D11" s="300" t="str">
        <f>+'RESTICTED-SUMMARY ANSWERS'!D59</f>
        <v>Wednesday, January 16</v>
      </c>
      <c r="F11" s="396">
        <v>44926</v>
      </c>
      <c r="H11">
        <v>30</v>
      </c>
    </row>
    <row r="12" spans="1:26" x14ac:dyDescent="0.35">
      <c r="B12" s="175" t="s">
        <v>173</v>
      </c>
      <c r="C12" s="181"/>
      <c r="D12" s="301">
        <v>0.09</v>
      </c>
      <c r="F12" s="396">
        <v>44942</v>
      </c>
      <c r="H12">
        <v>16</v>
      </c>
    </row>
    <row r="13" spans="1:26" x14ac:dyDescent="0.35">
      <c r="B13" s="175" t="s">
        <v>174</v>
      </c>
      <c r="C13" s="302"/>
      <c r="D13" s="303" t="str">
        <f>+'RESTICTED-SUMMARY ANSWERS'!D61</f>
        <v>Mar 31,  Sep 30</v>
      </c>
      <c r="F13" s="396">
        <f>+F12+5</f>
        <v>44947</v>
      </c>
      <c r="H13">
        <v>5</v>
      </c>
    </row>
    <row r="14" spans="1:26" x14ac:dyDescent="0.35">
      <c r="F14" s="396"/>
      <c r="H14">
        <f>SUM(H9:H13)</f>
        <v>111</v>
      </c>
    </row>
    <row r="15" spans="1:26" x14ac:dyDescent="0.35">
      <c r="B15" s="15" t="s">
        <v>85</v>
      </c>
      <c r="C15" s="15"/>
      <c r="F15" s="58"/>
      <c r="G15" s="58"/>
      <c r="H15" s="58"/>
    </row>
    <row r="16" spans="1:26" ht="21.5" customHeight="1" x14ac:dyDescent="0.35">
      <c r="B16" s="284" t="s">
        <v>176</v>
      </c>
      <c r="C16" s="330">
        <f>+D10*10</f>
        <v>965</v>
      </c>
      <c r="F16" s="58"/>
      <c r="G16" s="58"/>
      <c r="H16" s="58"/>
    </row>
    <row r="17" spans="2:3" ht="21.5" customHeight="1" x14ac:dyDescent="0.35">
      <c r="B17" s="284" t="s">
        <v>177</v>
      </c>
      <c r="C17" s="330">
        <f>+(H14/360)*(D12*D9)+C16</f>
        <v>992.75</v>
      </c>
    </row>
    <row r="18" spans="2:3" ht="21.5" customHeight="1" x14ac:dyDescent="0.35">
      <c r="B18" s="284" t="s">
        <v>178</v>
      </c>
      <c r="C18" s="96">
        <f>+(D12*D9)/(D10*10)</f>
        <v>9.3264248704663211E-2</v>
      </c>
    </row>
  </sheetData>
  <mergeCells count="2">
    <mergeCell ref="C2:I2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7DF2-8ECB-400E-9027-6E3EAC3140D7}">
  <sheetPr>
    <tabColor theme="4"/>
  </sheetPr>
  <dimension ref="A1:AC33"/>
  <sheetViews>
    <sheetView showGridLines="0" workbookViewId="0">
      <selection activeCell="D9" sqref="D9"/>
    </sheetView>
  </sheetViews>
  <sheetFormatPr defaultRowHeight="14.5" x14ac:dyDescent="0.35"/>
  <cols>
    <col min="1" max="1" width="2.54296875" customWidth="1"/>
    <col min="2" max="2" width="29.6328125" customWidth="1"/>
    <col min="3" max="3" width="10.36328125" customWidth="1"/>
    <col min="4" max="4" width="10.453125" bestFit="1" customWidth="1"/>
    <col min="6" max="6" width="10.26953125" customWidth="1"/>
  </cols>
  <sheetData>
    <row r="1" spans="1:29" ht="15" thickBot="1" x14ac:dyDescent="0.4">
      <c r="A1" t="str">
        <f>+INTRODUCTION!A1</f>
        <v>BARUCH COLLEGE - MS FIN9793 MIDTERM EXAM</v>
      </c>
    </row>
    <row r="2" spans="1:29" ht="22.5" customHeight="1" thickBot="1" x14ac:dyDescent="0.4">
      <c r="B2" s="50" t="s">
        <v>96</v>
      </c>
      <c r="C2" s="36" t="str">
        <f>+INTRODUCTION!H4&amp;", "&amp;INTRODUCTION!C4</f>
        <v xml:space="preserve">, </v>
      </c>
      <c r="D2" s="37"/>
      <c r="E2" s="37"/>
      <c r="F2" s="37"/>
      <c r="G2" s="37"/>
      <c r="H2" s="37"/>
      <c r="I2" s="37"/>
      <c r="J2" s="38"/>
      <c r="L2" s="74"/>
    </row>
    <row r="3" spans="1:29" ht="11" customHeight="1" x14ac:dyDescent="0.35">
      <c r="B3" s="51"/>
      <c r="C3" s="50"/>
      <c r="D3" s="52"/>
      <c r="E3" s="52"/>
      <c r="F3" s="52"/>
      <c r="G3" s="52"/>
      <c r="H3" s="52"/>
    </row>
    <row r="4" spans="1:29" ht="16" thickBot="1" x14ac:dyDescent="0.4">
      <c r="B4" s="19" t="s">
        <v>207</v>
      </c>
      <c r="C4" s="20"/>
      <c r="D4" s="53"/>
      <c r="E4" s="53"/>
      <c r="F4" s="53"/>
      <c r="G4" s="53"/>
      <c r="H4" s="53"/>
      <c r="I4" s="53"/>
      <c r="J4" s="53"/>
    </row>
    <row r="5" spans="1:29" ht="15" thickBot="1" x14ac:dyDescent="0.4">
      <c r="B5" s="6" t="s">
        <v>179</v>
      </c>
      <c r="AA5" s="39">
        <v>15000</v>
      </c>
      <c r="AC5" s="32">
        <f>+'RESTICTED-SUMMARY ANSWERS'!AA1</f>
        <v>1</v>
      </c>
    </row>
    <row r="7" spans="1:29" x14ac:dyDescent="0.35">
      <c r="A7" s="102"/>
      <c r="B7" s="107" t="s">
        <v>97</v>
      </c>
      <c r="C7" s="107"/>
      <c r="D7" s="107"/>
      <c r="E7" s="107"/>
      <c r="F7" s="107"/>
      <c r="G7" s="102"/>
    </row>
    <row r="8" spans="1:29" x14ac:dyDescent="0.35">
      <c r="A8" s="102"/>
      <c r="B8" s="114" t="s">
        <v>195</v>
      </c>
      <c r="C8" s="80"/>
      <c r="D8" s="80"/>
      <c r="E8" s="80"/>
      <c r="F8" s="80"/>
      <c r="G8" s="102"/>
    </row>
    <row r="9" spans="1:29" ht="17.5" customHeight="1" x14ac:dyDescent="0.35">
      <c r="A9" s="102"/>
      <c r="B9" s="434" t="s">
        <v>180</v>
      </c>
      <c r="C9" s="431"/>
      <c r="D9" s="304">
        <f>+'RESTICTED-SUMMARY ANSWERS'!D73</f>
        <v>43631</v>
      </c>
      <c r="E9" s="102"/>
      <c r="F9">
        <f>MONTH(D9)</f>
        <v>6</v>
      </c>
      <c r="G9">
        <f>DAY(D9)</f>
        <v>15</v>
      </c>
      <c r="H9">
        <f>YEAR(D9)</f>
        <v>2019</v>
      </c>
    </row>
    <row r="10" spans="1:29" ht="17.5" customHeight="1" x14ac:dyDescent="0.35">
      <c r="A10" s="102"/>
      <c r="B10" s="431" t="s">
        <v>196</v>
      </c>
      <c r="C10" s="431"/>
      <c r="D10" s="305">
        <f>+'RESTICTED-SUMMARY ANSWERS'!D74</f>
        <v>1000</v>
      </c>
      <c r="E10" s="102"/>
    </row>
    <row r="11" spans="1:29" ht="17.5" customHeight="1" x14ac:dyDescent="0.35">
      <c r="A11" s="102"/>
      <c r="B11" s="431" t="s">
        <v>197</v>
      </c>
      <c r="C11" s="431"/>
      <c r="D11" s="306">
        <f>+'RESTICTED-SUMMARY ANSWERS'!D75</f>
        <v>45</v>
      </c>
      <c r="E11" s="102"/>
      <c r="F11" s="331">
        <f>+(D11*2)/D10</f>
        <v>0.09</v>
      </c>
    </row>
    <row r="12" spans="1:29" ht="17.5" customHeight="1" x14ac:dyDescent="0.35">
      <c r="A12" s="102"/>
      <c r="B12" s="431" t="s">
        <v>198</v>
      </c>
      <c r="C12" s="431"/>
      <c r="D12" s="305">
        <f>+'RESTICTED-SUMMARY ANSWERS'!D76</f>
        <v>9</v>
      </c>
      <c r="E12" s="102"/>
      <c r="F12" s="102"/>
      <c r="G12" s="102"/>
    </row>
    <row r="13" spans="1:29" ht="17.5" customHeight="1" x14ac:dyDescent="0.35">
      <c r="A13" s="102"/>
      <c r="B13" s="431" t="s">
        <v>184</v>
      </c>
      <c r="C13" s="431"/>
      <c r="D13" s="305">
        <f>+'RESTICTED-SUMMARY ANSWERS'!D77</f>
        <v>100</v>
      </c>
      <c r="E13" s="102"/>
      <c r="F13" s="102"/>
      <c r="G13" s="102"/>
    </row>
    <row r="14" spans="1:29" ht="17.5" customHeight="1" x14ac:dyDescent="0.35">
      <c r="A14" s="102"/>
      <c r="B14" s="431" t="s">
        <v>185</v>
      </c>
      <c r="C14" s="431"/>
      <c r="D14" s="305">
        <f>+'RESTICTED-SUMMARY ANSWERS'!D78</f>
        <v>2</v>
      </c>
      <c r="E14" s="102"/>
      <c r="F14" s="102"/>
      <c r="G14" s="102"/>
    </row>
    <row r="15" spans="1:29" ht="19.5" customHeight="1" x14ac:dyDescent="0.35">
      <c r="A15" s="102"/>
      <c r="B15" s="430" t="s">
        <v>182</v>
      </c>
      <c r="C15" s="430"/>
      <c r="D15" s="334">
        <f>DATE(H9+D12,F9,G9)</f>
        <v>46919</v>
      </c>
      <c r="E15" s="106" t="s">
        <v>199</v>
      </c>
      <c r="F15" s="102"/>
      <c r="G15" s="102"/>
    </row>
    <row r="16" spans="1:29" x14ac:dyDescent="0.35">
      <c r="A16" s="102"/>
      <c r="B16" s="102"/>
      <c r="C16" s="102"/>
      <c r="E16" s="102"/>
      <c r="F16" s="102"/>
      <c r="G16" s="102"/>
    </row>
    <row r="17" spans="1:7" x14ac:dyDescent="0.35">
      <c r="A17" s="102"/>
      <c r="B17" s="108" t="s">
        <v>187</v>
      </c>
      <c r="C17" s="102"/>
      <c r="D17" s="397"/>
      <c r="E17" s="102"/>
      <c r="F17" s="102"/>
      <c r="G17" s="102"/>
    </row>
    <row r="18" spans="1:7" ht="29" x14ac:dyDescent="0.35">
      <c r="A18" s="102"/>
      <c r="B18" s="109" t="s">
        <v>188</v>
      </c>
      <c r="C18" s="110" t="s">
        <v>194</v>
      </c>
      <c r="D18" s="398" t="s">
        <v>200</v>
      </c>
      <c r="E18" s="102"/>
      <c r="F18" s="102"/>
      <c r="G18" s="102"/>
    </row>
    <row r="19" spans="1:7" ht="17.5" customHeight="1" x14ac:dyDescent="0.35">
      <c r="A19" s="102"/>
      <c r="B19" s="105" t="s">
        <v>189</v>
      </c>
      <c r="C19" s="105">
        <f>+'RESTICTED-SUMMARY ANSWERS'!C83</f>
        <v>104</v>
      </c>
      <c r="D19" s="335">
        <f>DATE($H$9+1,$F$9,$G$9)</f>
        <v>43997</v>
      </c>
      <c r="E19" s="106" t="s">
        <v>199</v>
      </c>
      <c r="F19" s="102"/>
      <c r="G19" s="102"/>
    </row>
    <row r="20" spans="1:7" ht="17.5" customHeight="1" x14ac:dyDescent="0.35">
      <c r="A20" s="102"/>
      <c r="B20" s="105" t="s">
        <v>190</v>
      </c>
      <c r="C20" s="105">
        <f>+'RESTICTED-SUMMARY ANSWERS'!C84</f>
        <v>103</v>
      </c>
      <c r="D20" s="335">
        <f>DATE($H$9+2,$F$9,$G$9)</f>
        <v>44362</v>
      </c>
      <c r="E20" s="106" t="s">
        <v>199</v>
      </c>
      <c r="F20" s="102"/>
      <c r="G20" s="102"/>
    </row>
    <row r="21" spans="1:7" ht="17.5" customHeight="1" x14ac:dyDescent="0.35">
      <c r="A21" s="102"/>
      <c r="B21" s="105" t="s">
        <v>191</v>
      </c>
      <c r="C21" s="105">
        <f>+'RESTICTED-SUMMARY ANSWERS'!C85</f>
        <v>102</v>
      </c>
      <c r="D21" s="335">
        <f>DATE($H$9+3,$F$9,$G$9)</f>
        <v>44727</v>
      </c>
      <c r="E21" s="106" t="s">
        <v>199</v>
      </c>
      <c r="F21" s="102"/>
      <c r="G21" s="102"/>
    </row>
    <row r="22" spans="1:7" ht="17.5" customHeight="1" x14ac:dyDescent="0.35">
      <c r="A22" s="102"/>
      <c r="B22" s="105" t="s">
        <v>192</v>
      </c>
      <c r="C22" s="105">
        <f>+'RESTICTED-SUMMARY ANSWERS'!C86</f>
        <v>101</v>
      </c>
      <c r="D22" s="335">
        <f>DATE($H$9+4,$F$9,$G$9)</f>
        <v>45092</v>
      </c>
      <c r="E22" s="106" t="s">
        <v>199</v>
      </c>
      <c r="F22" s="102"/>
      <c r="G22" s="102"/>
    </row>
    <row r="23" spans="1:7" x14ac:dyDescent="0.35">
      <c r="A23" s="102"/>
      <c r="B23" s="104"/>
      <c r="C23" s="111"/>
      <c r="D23" s="102"/>
      <c r="E23" s="102"/>
      <c r="F23" s="102"/>
      <c r="G23" s="102"/>
    </row>
    <row r="24" spans="1:7" x14ac:dyDescent="0.35">
      <c r="A24" s="102"/>
      <c r="B24" s="114" t="s">
        <v>201</v>
      </c>
      <c r="C24" s="80"/>
      <c r="D24" s="80"/>
      <c r="E24" s="80"/>
      <c r="F24" s="80"/>
      <c r="G24" s="102"/>
    </row>
    <row r="25" spans="1:7" ht="20" customHeight="1" x14ac:dyDescent="0.35">
      <c r="A25" s="102"/>
      <c r="B25" s="435" t="s">
        <v>202</v>
      </c>
      <c r="C25" s="435"/>
      <c r="D25" s="432">
        <f>+'RESTICTED-SUMMARY ANSWERS'!D89</f>
        <v>44158</v>
      </c>
      <c r="E25" s="433"/>
      <c r="F25" s="433"/>
      <c r="G25" s="102"/>
    </row>
    <row r="26" spans="1:7" ht="20" customHeight="1" x14ac:dyDescent="0.35">
      <c r="A26" s="102"/>
      <c r="B26" s="430" t="s">
        <v>181</v>
      </c>
      <c r="C26" s="430"/>
      <c r="D26" s="334">
        <f>D25+3</f>
        <v>44161</v>
      </c>
      <c r="E26" s="119" t="s">
        <v>199</v>
      </c>
      <c r="F26" s="25"/>
      <c r="G26" s="102"/>
    </row>
    <row r="27" spans="1:7" ht="20" customHeight="1" x14ac:dyDescent="0.35">
      <c r="A27" s="102"/>
      <c r="B27" s="431" t="s">
        <v>183</v>
      </c>
      <c r="C27" s="431"/>
      <c r="D27" s="266">
        <f>+'RESTICTED-SUMMARY ANSWERS'!D91</f>
        <v>98</v>
      </c>
      <c r="E27" s="102"/>
      <c r="F27" s="102"/>
      <c r="G27" s="102"/>
    </row>
    <row r="28" spans="1:7" x14ac:dyDescent="0.35">
      <c r="A28" s="102"/>
      <c r="B28" s="112"/>
      <c r="C28" s="112"/>
      <c r="D28" s="113"/>
      <c r="E28" s="102"/>
      <c r="F28" s="102"/>
      <c r="G28" s="102"/>
    </row>
    <row r="29" spans="1:7" ht="15" thickBot="1" x14ac:dyDescent="0.4">
      <c r="B29" s="116" t="s">
        <v>85</v>
      </c>
      <c r="C29" s="116"/>
      <c r="D29" s="115"/>
      <c r="E29" s="116"/>
      <c r="F29" s="116"/>
    </row>
    <row r="30" spans="1:7" ht="20" customHeight="1" thickTop="1" x14ac:dyDescent="0.35">
      <c r="B30" s="117" t="s">
        <v>186</v>
      </c>
      <c r="C30" s="332">
        <f>YIELD(D26,D15,F11,D27,D13,D14)</f>
        <v>9.3735833850466299E-2</v>
      </c>
      <c r="E30" s="118" t="s">
        <v>203</v>
      </c>
      <c r="F30" s="332" t="e">
        <f>YIELD($D$26,D19,$F$11,$D$27,C19,$D$14)</f>
        <v>#NUM!</v>
      </c>
    </row>
    <row r="31" spans="1:7" ht="20" customHeight="1" x14ac:dyDescent="0.35">
      <c r="B31" s="117" t="s">
        <v>193</v>
      </c>
      <c r="C31" s="333">
        <f>MIN(C30,F31,F32,F33)</f>
        <v>9.3735833850466299E-2</v>
      </c>
      <c r="D31" s="399"/>
      <c r="E31" s="118" t="s">
        <v>204</v>
      </c>
      <c r="F31" s="332">
        <f t="shared" ref="F31:F33" si="0">YIELD($D$26,D20,$F$11,$D$27,C20,$D$14)</f>
        <v>0.18332072559786089</v>
      </c>
    </row>
    <row r="32" spans="1:7" ht="20" customHeight="1" x14ac:dyDescent="0.35">
      <c r="E32" s="118" t="s">
        <v>205</v>
      </c>
      <c r="F32" s="332">
        <f t="shared" si="0"/>
        <v>0.1164840676378167</v>
      </c>
    </row>
    <row r="33" spans="5:6" ht="20" customHeight="1" x14ac:dyDescent="0.35">
      <c r="E33" s="118" t="s">
        <v>206</v>
      </c>
      <c r="F33" s="332">
        <f t="shared" si="0"/>
        <v>0.10258041182816466</v>
      </c>
    </row>
  </sheetData>
  <mergeCells count="11">
    <mergeCell ref="B26:C26"/>
    <mergeCell ref="B27:C27"/>
    <mergeCell ref="D25:F25"/>
    <mergeCell ref="B9:C9"/>
    <mergeCell ref="B10:C10"/>
    <mergeCell ref="B11:C11"/>
    <mergeCell ref="B12:C12"/>
    <mergeCell ref="B13:C13"/>
    <mergeCell ref="B14:C14"/>
    <mergeCell ref="B15:C15"/>
    <mergeCell ref="B25:C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A779-0220-440F-B78E-AFF211B28C24}">
  <sheetPr>
    <tabColor theme="4"/>
  </sheetPr>
  <dimension ref="A1:AC32"/>
  <sheetViews>
    <sheetView showGridLines="0" workbookViewId="0">
      <selection activeCell="N21" sqref="N21"/>
    </sheetView>
  </sheetViews>
  <sheetFormatPr defaultRowHeight="14.5" x14ac:dyDescent="0.35"/>
  <cols>
    <col min="1" max="1" width="2.54296875" customWidth="1"/>
    <col min="2" max="2" width="14.6328125" customWidth="1"/>
    <col min="3" max="3" width="10.36328125" customWidth="1"/>
    <col min="4" max="4" width="10.08984375" bestFit="1" customWidth="1"/>
    <col min="5" max="5" width="10" customWidth="1"/>
    <col min="6" max="6" width="10.26953125" customWidth="1"/>
  </cols>
  <sheetData>
    <row r="1" spans="1:29" ht="15" thickBot="1" x14ac:dyDescent="0.4">
      <c r="A1" t="str">
        <f>+INTRODUCTION!A1</f>
        <v>BARUCH COLLEGE - MS FIN9793 MIDTERM EXAM</v>
      </c>
    </row>
    <row r="2" spans="1:29" ht="22.5" customHeight="1" thickBot="1" x14ac:dyDescent="0.4">
      <c r="B2" s="50" t="s">
        <v>96</v>
      </c>
      <c r="C2" s="81" t="str">
        <f>+INTRODUCTION!H4&amp;", "&amp;INTRODUCTION!C4</f>
        <v xml:space="preserve">, </v>
      </c>
      <c r="D2" s="82"/>
      <c r="E2" s="82"/>
      <c r="F2" s="82"/>
      <c r="G2" s="82"/>
      <c r="H2" s="82"/>
      <c r="I2" s="82"/>
      <c r="J2" s="83"/>
      <c r="L2" s="74"/>
    </row>
    <row r="3" spans="1:29" ht="11" customHeight="1" x14ac:dyDescent="0.35">
      <c r="B3" s="51"/>
      <c r="C3" s="50"/>
      <c r="D3" s="52"/>
      <c r="E3" s="52"/>
      <c r="F3" s="52"/>
      <c r="G3" s="52"/>
      <c r="H3" s="52"/>
    </row>
    <row r="4" spans="1:29" ht="16" thickBot="1" x14ac:dyDescent="0.4">
      <c r="B4" s="19" t="s">
        <v>224</v>
      </c>
      <c r="C4" s="20"/>
      <c r="D4" s="53"/>
      <c r="E4" s="53"/>
      <c r="F4" s="53"/>
      <c r="G4" s="53"/>
      <c r="H4" s="53"/>
      <c r="I4" s="53"/>
      <c r="J4" s="53"/>
    </row>
    <row r="5" spans="1:29" ht="15" thickBot="1" x14ac:dyDescent="0.4">
      <c r="B5" s="429" t="s">
        <v>208</v>
      </c>
      <c r="C5" s="429"/>
      <c r="D5" s="429"/>
      <c r="E5" s="429"/>
      <c r="F5" s="429"/>
      <c r="G5" s="429"/>
      <c r="H5" s="429"/>
      <c r="I5" s="429"/>
      <c r="AA5" s="39">
        <v>15000</v>
      </c>
      <c r="AC5" s="32">
        <f>+'RESTICTED-SUMMARY ANSWERS'!AA1</f>
        <v>1</v>
      </c>
    </row>
    <row r="6" spans="1:29" x14ac:dyDescent="0.3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29" ht="15" thickBot="1" x14ac:dyDescent="0.4">
      <c r="A7" s="120"/>
      <c r="B7" s="115" t="s">
        <v>97</v>
      </c>
      <c r="C7" s="115"/>
      <c r="D7" s="115"/>
      <c r="E7" s="120"/>
      <c r="F7" s="120"/>
      <c r="G7" s="120"/>
      <c r="H7" s="120"/>
      <c r="I7" s="120"/>
      <c r="J7" s="120"/>
      <c r="K7" s="120"/>
    </row>
    <row r="8" spans="1:29" ht="15" thickTop="1" x14ac:dyDescent="0.35">
      <c r="A8" s="120"/>
      <c r="B8" s="436" t="s">
        <v>169</v>
      </c>
      <c r="C8" s="437"/>
      <c r="D8" s="351">
        <f>+'RESTICTED-SUMMARY ANSWERS'!D103</f>
        <v>1000</v>
      </c>
      <c r="E8" s="120"/>
      <c r="F8" s="120"/>
      <c r="G8" s="120"/>
      <c r="H8" s="120"/>
      <c r="I8" s="120"/>
      <c r="J8" s="120"/>
      <c r="K8" s="120"/>
    </row>
    <row r="9" spans="1:29" x14ac:dyDescent="0.35">
      <c r="A9" s="120"/>
      <c r="B9" s="438" t="s">
        <v>173</v>
      </c>
      <c r="C9" s="439"/>
      <c r="D9" s="307">
        <f>+'RESTICTED-SUMMARY ANSWERS'!D104</f>
        <v>7.4999999999999997E-2</v>
      </c>
      <c r="E9" s="120"/>
      <c r="F9" s="120"/>
      <c r="G9" s="120"/>
      <c r="H9" s="120"/>
      <c r="I9" s="120"/>
      <c r="J9" s="120"/>
      <c r="K9" s="120"/>
    </row>
    <row r="10" spans="1:29" x14ac:dyDescent="0.35">
      <c r="A10" s="120"/>
      <c r="B10" s="308" t="s">
        <v>209</v>
      </c>
      <c r="C10" s="309"/>
      <c r="D10" s="307">
        <f>+'RESTICTED-SUMMARY ANSWERS'!D105</f>
        <v>0.1</v>
      </c>
      <c r="E10" s="120"/>
      <c r="F10" s="120"/>
      <c r="G10" s="120"/>
      <c r="H10" s="120"/>
      <c r="I10" s="120"/>
      <c r="J10" s="120"/>
      <c r="K10" s="120"/>
    </row>
    <row r="11" spans="1:29" x14ac:dyDescent="0.35">
      <c r="A11" s="120"/>
      <c r="B11" s="297" t="s">
        <v>210</v>
      </c>
      <c r="C11" s="169"/>
      <c r="D11" s="310">
        <v>3</v>
      </c>
      <c r="E11" s="120"/>
      <c r="F11" s="120"/>
      <c r="G11" s="120"/>
      <c r="H11" s="120"/>
      <c r="I11" s="120"/>
      <c r="J11" s="120"/>
      <c r="K11" s="120"/>
    </row>
    <row r="12" spans="1:29" x14ac:dyDescent="0.35">
      <c r="A12" s="120"/>
      <c r="B12" s="297" t="s">
        <v>211</v>
      </c>
      <c r="C12" s="169"/>
      <c r="D12" s="158">
        <f>+'RESTICTED-SUMMARY ANSWERS'!D107</f>
        <v>100</v>
      </c>
      <c r="E12" s="120"/>
      <c r="F12" s="120"/>
      <c r="G12" s="120"/>
      <c r="H12" s="120"/>
      <c r="I12" s="120"/>
      <c r="J12" s="120"/>
      <c r="K12" s="120"/>
    </row>
    <row r="13" spans="1:29" x14ac:dyDescent="0.35">
      <c r="A13" s="120"/>
      <c r="B13" s="297" t="s">
        <v>212</v>
      </c>
      <c r="C13" s="169"/>
      <c r="D13" s="158">
        <f>+'RESTICTED-SUMMARY ANSWERS'!D108</f>
        <v>2</v>
      </c>
      <c r="E13" s="120"/>
      <c r="F13" s="120"/>
      <c r="G13" s="120"/>
      <c r="H13" s="120"/>
      <c r="I13" s="120"/>
      <c r="J13" s="120"/>
      <c r="K13" s="120"/>
    </row>
    <row r="14" spans="1:29" x14ac:dyDescent="0.3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29" ht="15" thickBot="1" x14ac:dyDescent="0.4">
      <c r="A15" s="120"/>
      <c r="B15" s="115" t="s">
        <v>85</v>
      </c>
      <c r="C15" s="115"/>
      <c r="D15" s="115"/>
      <c r="E15" s="115"/>
      <c r="F15" s="115"/>
      <c r="G15" s="120"/>
      <c r="H15" s="120"/>
      <c r="I15" s="120"/>
      <c r="J15" s="120"/>
      <c r="K15" s="120"/>
    </row>
    <row r="16" spans="1:29" ht="15" thickTop="1" x14ac:dyDescent="0.35">
      <c r="A16" s="120"/>
      <c r="B16" s="336" t="s">
        <v>213</v>
      </c>
      <c r="C16" s="338" t="s">
        <v>214</v>
      </c>
      <c r="D16" s="338" t="s">
        <v>215</v>
      </c>
      <c r="E16" s="340" t="s">
        <v>216</v>
      </c>
      <c r="F16" s="342" t="s">
        <v>217</v>
      </c>
      <c r="G16" s="120"/>
      <c r="H16" s="120"/>
      <c r="I16" s="120"/>
      <c r="J16" s="120"/>
      <c r="K16" s="120"/>
    </row>
    <row r="17" spans="1:11" x14ac:dyDescent="0.35">
      <c r="A17" s="120"/>
      <c r="B17" s="337" t="s">
        <v>218</v>
      </c>
      <c r="C17" s="337"/>
      <c r="D17" s="339"/>
      <c r="E17" s="341" t="s">
        <v>219</v>
      </c>
      <c r="F17" s="339" t="s">
        <v>220</v>
      </c>
      <c r="G17" s="120"/>
      <c r="H17" s="120"/>
      <c r="I17" s="120"/>
      <c r="J17" s="120"/>
      <c r="K17" s="120"/>
    </row>
    <row r="18" spans="1:11" x14ac:dyDescent="0.35">
      <c r="A18" s="120"/>
      <c r="B18" s="121">
        <v>1</v>
      </c>
      <c r="C18" s="343">
        <f t="shared" ref="C18:C27" si="0">IF(B18=($D$11*$D$13),D4*D3/2+D3,IF($D$11*$D$13&gt;B18,$D$9*$D$8/2,0))</f>
        <v>37.5</v>
      </c>
      <c r="D18" s="343">
        <f>C18/((1+$D$10/2)^B18)</f>
        <v>35.714285714285715</v>
      </c>
      <c r="E18" s="344">
        <f>+D18/$D$29</f>
        <v>3.8133723700297842E-2</v>
      </c>
      <c r="F18" s="345">
        <f>+E18*B18</f>
        <v>3.8133723700297842E-2</v>
      </c>
      <c r="G18" s="120"/>
      <c r="H18" s="120"/>
      <c r="I18" s="120"/>
      <c r="J18" s="120"/>
      <c r="K18" s="120"/>
    </row>
    <row r="19" spans="1:11" x14ac:dyDescent="0.35">
      <c r="A19" s="120"/>
      <c r="B19" s="121">
        <v>2</v>
      </c>
      <c r="C19" s="343">
        <f t="shared" si="0"/>
        <v>37.5</v>
      </c>
      <c r="D19" s="343">
        <f t="shared" ref="D19:D27" si="1">C19/((1+$D$10/2)^B19)</f>
        <v>34.013605442176868</v>
      </c>
      <c r="E19" s="344">
        <f t="shared" ref="E19:E27" si="2">+D19/$D$29</f>
        <v>3.6317832095521752E-2</v>
      </c>
      <c r="F19" s="345">
        <f t="shared" ref="F19:F27" si="3">+E19*B19</f>
        <v>7.2635664191043503E-2</v>
      </c>
      <c r="G19" s="120"/>
      <c r="H19" s="120"/>
      <c r="I19" s="120"/>
      <c r="J19" s="120"/>
      <c r="K19" s="120"/>
    </row>
    <row r="20" spans="1:11" x14ac:dyDescent="0.35">
      <c r="A20" s="120"/>
      <c r="B20" s="121">
        <v>3</v>
      </c>
      <c r="C20" s="343">
        <f t="shared" si="0"/>
        <v>37.5</v>
      </c>
      <c r="D20" s="343">
        <f t="shared" si="1"/>
        <v>32.39390994493035</v>
      </c>
      <c r="E20" s="344">
        <f t="shared" si="2"/>
        <v>3.4588411519544525E-2</v>
      </c>
      <c r="F20" s="345">
        <f t="shared" si="3"/>
        <v>0.10376523455863357</v>
      </c>
      <c r="G20" s="120"/>
      <c r="H20" s="120"/>
      <c r="I20" s="120"/>
      <c r="J20" s="120"/>
      <c r="K20" s="120"/>
    </row>
    <row r="21" spans="1:11" x14ac:dyDescent="0.35">
      <c r="A21" s="120"/>
      <c r="B21" s="121">
        <v>4</v>
      </c>
      <c r="C21" s="343">
        <f t="shared" si="0"/>
        <v>37.5</v>
      </c>
      <c r="D21" s="343">
        <f t="shared" si="1"/>
        <v>30.851342804695573</v>
      </c>
      <c r="E21" s="344">
        <f t="shared" si="2"/>
        <v>3.2941344304328123E-2</v>
      </c>
      <c r="F21" s="345">
        <f t="shared" si="3"/>
        <v>0.13176537721731249</v>
      </c>
      <c r="G21" s="120"/>
      <c r="H21" s="120"/>
      <c r="I21" s="120"/>
      <c r="J21" s="120"/>
      <c r="K21" s="120"/>
    </row>
    <row r="22" spans="1:11" x14ac:dyDescent="0.35">
      <c r="A22" s="120"/>
      <c r="B22" s="121">
        <v>5</v>
      </c>
      <c r="C22" s="343">
        <f t="shared" si="0"/>
        <v>37.5</v>
      </c>
      <c r="D22" s="343">
        <f t="shared" si="1"/>
        <v>29.382231242567212</v>
      </c>
      <c r="E22" s="344">
        <f t="shared" si="2"/>
        <v>3.1372708861264878E-2</v>
      </c>
      <c r="F22" s="345">
        <f t="shared" si="3"/>
        <v>0.15686354430632438</v>
      </c>
      <c r="G22" s="120"/>
      <c r="H22" s="120"/>
      <c r="I22" s="120"/>
      <c r="J22" s="120"/>
      <c r="K22" s="120"/>
    </row>
    <row r="23" spans="1:11" x14ac:dyDescent="0.35">
      <c r="A23" s="120"/>
      <c r="B23" s="121">
        <v>6</v>
      </c>
      <c r="C23" s="343">
        <f t="shared" si="0"/>
        <v>1037.5</v>
      </c>
      <c r="D23" s="343">
        <f t="shared" si="1"/>
        <v>774.19847401050117</v>
      </c>
      <c r="E23" s="344">
        <f t="shared" si="2"/>
        <v>0.82664597951904284</v>
      </c>
      <c r="F23" s="345">
        <f t="shared" si="3"/>
        <v>4.959875877114257</v>
      </c>
      <c r="G23" s="120"/>
      <c r="H23" s="120"/>
      <c r="I23" s="120"/>
      <c r="J23" s="120"/>
      <c r="K23" s="120"/>
    </row>
    <row r="24" spans="1:11" x14ac:dyDescent="0.35">
      <c r="A24" s="120"/>
      <c r="B24" s="121">
        <v>7</v>
      </c>
      <c r="C24" s="343">
        <f t="shared" si="0"/>
        <v>0</v>
      </c>
      <c r="D24" s="343">
        <f t="shared" si="1"/>
        <v>0</v>
      </c>
      <c r="E24" s="344">
        <f t="shared" si="2"/>
        <v>0</v>
      </c>
      <c r="F24" s="345">
        <f t="shared" si="3"/>
        <v>0</v>
      </c>
      <c r="G24" s="120"/>
      <c r="H24" s="120"/>
      <c r="I24" s="120"/>
      <c r="J24" s="120"/>
      <c r="K24" s="120"/>
    </row>
    <row r="25" spans="1:11" x14ac:dyDescent="0.35">
      <c r="A25" s="120"/>
      <c r="B25" s="121">
        <v>8</v>
      </c>
      <c r="C25" s="343">
        <f t="shared" si="0"/>
        <v>0</v>
      </c>
      <c r="D25" s="343">
        <f t="shared" si="1"/>
        <v>0</v>
      </c>
      <c r="E25" s="344">
        <f t="shared" si="2"/>
        <v>0</v>
      </c>
      <c r="F25" s="345">
        <f t="shared" si="3"/>
        <v>0</v>
      </c>
      <c r="G25" s="120"/>
      <c r="H25" s="120"/>
      <c r="I25" s="120"/>
      <c r="J25" s="120"/>
      <c r="K25" s="120"/>
    </row>
    <row r="26" spans="1:11" x14ac:dyDescent="0.35">
      <c r="A26" s="120"/>
      <c r="B26" s="121">
        <v>9</v>
      </c>
      <c r="C26" s="343">
        <f t="shared" si="0"/>
        <v>0</v>
      </c>
      <c r="D26" s="343">
        <f t="shared" si="1"/>
        <v>0</v>
      </c>
      <c r="E26" s="344">
        <f t="shared" si="2"/>
        <v>0</v>
      </c>
      <c r="F26" s="345">
        <f t="shared" si="3"/>
        <v>0</v>
      </c>
      <c r="G26" s="120"/>
      <c r="H26" s="120"/>
      <c r="I26" s="120"/>
      <c r="J26" s="120"/>
      <c r="K26" s="120"/>
    </row>
    <row r="27" spans="1:11" x14ac:dyDescent="0.35">
      <c r="A27" s="120"/>
      <c r="B27" s="121">
        <v>10</v>
      </c>
      <c r="C27" s="343">
        <f t="shared" si="0"/>
        <v>0</v>
      </c>
      <c r="D27" s="343">
        <f t="shared" si="1"/>
        <v>0</v>
      </c>
      <c r="E27" s="344">
        <f t="shared" si="2"/>
        <v>0</v>
      </c>
      <c r="F27" s="345">
        <f t="shared" si="3"/>
        <v>0</v>
      </c>
      <c r="G27" s="120"/>
      <c r="H27" s="120"/>
      <c r="I27" s="120"/>
      <c r="J27" s="120"/>
      <c r="K27" s="120"/>
    </row>
    <row r="28" spans="1:11" ht="9.5" customHeight="1" thickBot="1" x14ac:dyDescent="0.4">
      <c r="A28" s="120"/>
      <c r="B28" s="122"/>
      <c r="C28" s="346"/>
      <c r="D28" s="346"/>
      <c r="E28" s="346"/>
      <c r="F28" s="346"/>
      <c r="G28" s="122"/>
      <c r="H28" s="122"/>
      <c r="I28" s="120"/>
      <c r="J28" s="120"/>
      <c r="K28" s="120"/>
    </row>
    <row r="29" spans="1:11" ht="21.5" customHeight="1" thickBot="1" x14ac:dyDescent="0.4">
      <c r="A29" s="120"/>
      <c r="C29" s="52" t="s">
        <v>221</v>
      </c>
      <c r="D29" s="347">
        <f>SUM(D18:D27)</f>
        <v>936.55384915915693</v>
      </c>
      <c r="E29" s="348" t="s">
        <v>222</v>
      </c>
      <c r="F29" s="349">
        <f>SUM(F18:F27)/2</f>
        <v>2.7315197105439344</v>
      </c>
      <c r="G29" s="350" t="s">
        <v>228</v>
      </c>
      <c r="H29" s="120"/>
      <c r="I29" s="120"/>
      <c r="J29" s="120"/>
      <c r="K29" s="120"/>
    </row>
    <row r="30" spans="1:11" ht="21.5" customHeight="1" x14ac:dyDescent="0.3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21.5" customHeight="1" x14ac:dyDescent="0.3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x14ac:dyDescent="0.3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</sheetData>
  <mergeCells count="3">
    <mergeCell ref="B5:I5"/>
    <mergeCell ref="B8:C8"/>
    <mergeCell ref="B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0B65-316B-474D-8B7B-54DABFD06CB3}">
  <sheetPr>
    <tabColor theme="4"/>
  </sheetPr>
  <dimension ref="A1:AA30"/>
  <sheetViews>
    <sheetView showGridLines="0" workbookViewId="0">
      <selection activeCell="I15" sqref="I15"/>
    </sheetView>
  </sheetViews>
  <sheetFormatPr defaultRowHeight="14.5" x14ac:dyDescent="0.35"/>
  <cols>
    <col min="1" max="1" width="2.08984375" customWidth="1"/>
    <col min="2" max="2" width="27.08984375" customWidth="1"/>
    <col min="3" max="5" width="12" customWidth="1"/>
    <col min="6" max="12" width="11.90625" customWidth="1"/>
    <col min="13" max="13" width="11.08984375" bestFit="1" customWidth="1"/>
    <col min="14" max="14" width="10.08984375" bestFit="1" customWidth="1"/>
    <col min="27" max="27" width="11" bestFit="1" customWidth="1"/>
  </cols>
  <sheetData>
    <row r="1" spans="1:27" ht="15" thickBot="1" x14ac:dyDescent="0.4">
      <c r="A1" t="str">
        <f>+INTRODUCTION!A1</f>
        <v>BARUCH COLLEGE - MS FIN9793 MIDTERM EXAM</v>
      </c>
    </row>
    <row r="2" spans="1:27" ht="22.5" customHeight="1" thickBot="1" x14ac:dyDescent="0.4">
      <c r="B2" s="50" t="s">
        <v>96</v>
      </c>
      <c r="C2" s="425" t="str">
        <f>+INTRODUCTION!H4&amp;", "&amp;INTRODUCTION!C4</f>
        <v xml:space="preserve">, </v>
      </c>
      <c r="D2" s="440"/>
      <c r="E2" s="440"/>
      <c r="F2" s="440"/>
      <c r="G2" s="440"/>
      <c r="H2" s="440"/>
      <c r="I2" s="440"/>
      <c r="J2" s="441"/>
      <c r="L2" s="74"/>
    </row>
    <row r="3" spans="1:27" ht="11" customHeight="1" x14ac:dyDescent="0.35">
      <c r="B3" s="51"/>
      <c r="C3" s="50"/>
      <c r="D3" s="52"/>
      <c r="E3" s="52"/>
      <c r="F3" s="52"/>
      <c r="G3" s="52"/>
      <c r="H3" s="52"/>
    </row>
    <row r="4" spans="1:27" ht="15.5" x14ac:dyDescent="0.35">
      <c r="B4" s="19" t="s">
        <v>166</v>
      </c>
      <c r="C4" s="20"/>
      <c r="D4" s="53"/>
      <c r="E4" s="53"/>
      <c r="F4" s="53"/>
      <c r="G4" s="53"/>
      <c r="H4" s="53"/>
      <c r="I4" s="53"/>
      <c r="J4" s="53"/>
    </row>
    <row r="5" spans="1:27" ht="34" customHeight="1" x14ac:dyDescent="0.35">
      <c r="B5" s="442" t="str">
        <f>+'RESTICTED-SUMMARY ANSWERS'!B129</f>
        <v>You obtain $10,000 margin loan with 10% interest to buy 100 shares of IBM $200.  A year later you sold all the shares at $225.  During the hold period you received a total dividend of $450. What is your $ profit and return of your investment.</v>
      </c>
      <c r="C5" s="443"/>
      <c r="D5" s="443"/>
      <c r="E5" s="443"/>
      <c r="F5" s="443"/>
      <c r="G5" s="443"/>
      <c r="H5" s="443"/>
      <c r="I5" s="443"/>
      <c r="J5" s="443"/>
      <c r="K5" s="100"/>
      <c r="L5" s="100"/>
      <c r="AA5" s="27" t="s">
        <v>97</v>
      </c>
    </row>
    <row r="6" spans="1:27" x14ac:dyDescent="0.35">
      <c r="AA6" s="35">
        <v>20000000</v>
      </c>
    </row>
    <row r="7" spans="1:27" ht="17.5" customHeight="1" x14ac:dyDescent="0.35">
      <c r="B7" s="286" t="s">
        <v>147</v>
      </c>
      <c r="C7" s="101">
        <f>+F30</f>
        <v>1950</v>
      </c>
    </row>
    <row r="8" spans="1:27" ht="17.5" customHeight="1" x14ac:dyDescent="0.35">
      <c r="B8" s="286" t="s">
        <v>148</v>
      </c>
      <c r="C8" s="94">
        <f>+C7/-F21</f>
        <v>0.19500000000000001</v>
      </c>
    </row>
    <row r="9" spans="1:27" ht="15" thickBot="1" x14ac:dyDescent="0.4"/>
    <row r="10" spans="1:27" x14ac:dyDescent="0.35">
      <c r="B10" s="402" t="s">
        <v>149</v>
      </c>
      <c r="C10" s="403"/>
      <c r="D10" s="403"/>
      <c r="E10" s="403"/>
      <c r="F10" s="403"/>
      <c r="G10" s="403"/>
      <c r="H10" s="403"/>
      <c r="I10" s="403"/>
      <c r="J10" s="404"/>
    </row>
    <row r="11" spans="1:27" x14ac:dyDescent="0.35">
      <c r="B11" s="405"/>
      <c r="C11" s="188"/>
      <c r="D11" s="188"/>
      <c r="E11" s="188"/>
      <c r="F11" s="188"/>
      <c r="G11" s="188"/>
      <c r="H11" s="188"/>
      <c r="I11" s="188"/>
      <c r="J11" s="406"/>
    </row>
    <row r="12" spans="1:27" x14ac:dyDescent="0.35">
      <c r="B12" s="405"/>
      <c r="C12" s="188"/>
      <c r="D12" s="188"/>
      <c r="E12" s="407">
        <f>+'RESTICTED-SUMMARY ANSWERS'!X131</f>
        <v>10000</v>
      </c>
      <c r="F12" s="188"/>
      <c r="G12" s="188"/>
      <c r="H12" s="188"/>
      <c r="I12" s="188"/>
      <c r="J12" s="406"/>
    </row>
    <row r="13" spans="1:27" x14ac:dyDescent="0.35">
      <c r="B13" s="405"/>
      <c r="C13" s="188"/>
      <c r="D13" s="188"/>
      <c r="E13" s="408">
        <f>+'RESTICTED-SUMMARY ANSWERS'!X132</f>
        <v>0.1</v>
      </c>
      <c r="F13" s="188"/>
      <c r="G13" s="188"/>
      <c r="H13" s="188"/>
      <c r="I13" s="188"/>
      <c r="J13" s="406"/>
    </row>
    <row r="14" spans="1:27" x14ac:dyDescent="0.35">
      <c r="B14" s="405"/>
      <c r="C14" s="188"/>
      <c r="D14" s="188"/>
      <c r="E14" s="188">
        <f>+'RESTICTED-SUMMARY ANSWERS'!X133</f>
        <v>100</v>
      </c>
      <c r="F14" s="188"/>
      <c r="G14" s="188"/>
      <c r="H14" s="188"/>
      <c r="I14" s="188"/>
      <c r="J14" s="406"/>
    </row>
    <row r="15" spans="1:27" x14ac:dyDescent="0.35">
      <c r="B15" s="405"/>
      <c r="C15" s="188"/>
      <c r="D15" s="188"/>
      <c r="E15" s="188">
        <f>+'RESTICTED-SUMMARY ANSWERS'!X134</f>
        <v>200</v>
      </c>
      <c r="F15" s="188"/>
      <c r="G15" s="188"/>
      <c r="H15" s="188"/>
      <c r="I15" s="188"/>
      <c r="J15" s="406"/>
    </row>
    <row r="16" spans="1:27" x14ac:dyDescent="0.35">
      <c r="B16" s="405"/>
      <c r="C16" s="188"/>
      <c r="D16" s="188"/>
      <c r="E16" s="188">
        <f>+'RESTICTED-SUMMARY ANSWERS'!X135</f>
        <v>225</v>
      </c>
      <c r="F16" s="188"/>
      <c r="G16" s="188"/>
      <c r="H16" s="188"/>
      <c r="I16" s="188"/>
      <c r="J16" s="406"/>
    </row>
    <row r="17" spans="2:10" x14ac:dyDescent="0.35">
      <c r="B17" s="405"/>
      <c r="C17" s="188"/>
      <c r="D17" s="188"/>
      <c r="E17" s="188">
        <f>+'RESTICTED-SUMMARY ANSWERS'!X136</f>
        <v>450</v>
      </c>
      <c r="F17" s="188"/>
      <c r="G17" s="188"/>
      <c r="H17" s="188"/>
      <c r="I17" s="188"/>
      <c r="J17" s="406"/>
    </row>
    <row r="18" spans="2:10" ht="15" thickBot="1" x14ac:dyDescent="0.4">
      <c r="B18" s="405"/>
      <c r="C18" s="416" t="s">
        <v>241</v>
      </c>
      <c r="D18" s="417" t="s">
        <v>231</v>
      </c>
      <c r="E18" s="417" t="s">
        <v>232</v>
      </c>
      <c r="F18" s="417" t="s">
        <v>233</v>
      </c>
      <c r="G18" s="188"/>
      <c r="H18" s="188"/>
      <c r="I18" s="188"/>
      <c r="J18" s="406"/>
    </row>
    <row r="19" spans="2:10" ht="15" thickTop="1" x14ac:dyDescent="0.35">
      <c r="B19" s="405"/>
      <c r="C19" s="409" t="s">
        <v>233</v>
      </c>
      <c r="D19" s="410">
        <f>+E15</f>
        <v>200</v>
      </c>
      <c r="E19" s="410">
        <f>+E14</f>
        <v>100</v>
      </c>
      <c r="F19" s="407">
        <f>-E19*D19</f>
        <v>-20000</v>
      </c>
      <c r="G19" s="188"/>
      <c r="H19" s="188"/>
      <c r="I19" s="188"/>
      <c r="J19" s="406"/>
    </row>
    <row r="20" spans="2:10" x14ac:dyDescent="0.35">
      <c r="B20" s="405"/>
      <c r="C20" s="188"/>
      <c r="D20" s="188"/>
      <c r="E20" s="188"/>
      <c r="F20" s="407">
        <f>+E12</f>
        <v>10000</v>
      </c>
      <c r="G20" s="188"/>
      <c r="H20" s="188"/>
      <c r="I20" s="188"/>
      <c r="J20" s="406"/>
    </row>
    <row r="21" spans="2:10" x14ac:dyDescent="0.35">
      <c r="B21" s="405"/>
      <c r="C21" s="188"/>
      <c r="D21" s="188"/>
      <c r="E21" s="188"/>
      <c r="F21" s="411">
        <f>+F19+F20</f>
        <v>-10000</v>
      </c>
      <c r="G21" s="188"/>
      <c r="H21" s="188"/>
      <c r="I21" s="188"/>
      <c r="J21" s="406"/>
    </row>
    <row r="22" spans="2:10" ht="15" thickBot="1" x14ac:dyDescent="0.4">
      <c r="B22" s="405"/>
      <c r="C22" s="416" t="s">
        <v>242</v>
      </c>
      <c r="D22" s="417" t="s">
        <v>231</v>
      </c>
      <c r="E22" s="417" t="s">
        <v>232</v>
      </c>
      <c r="F22" s="417" t="s">
        <v>233</v>
      </c>
      <c r="G22" s="188"/>
      <c r="H22" s="188"/>
      <c r="I22" s="188"/>
      <c r="J22" s="406"/>
    </row>
    <row r="23" spans="2:10" ht="15" thickTop="1" x14ac:dyDescent="0.35">
      <c r="B23" s="405"/>
      <c r="C23" s="188"/>
      <c r="D23" s="410">
        <f>+E16</f>
        <v>225</v>
      </c>
      <c r="E23" s="410">
        <f>+E19</f>
        <v>100</v>
      </c>
      <c r="F23" s="407">
        <f>+E23*D23</f>
        <v>22500</v>
      </c>
      <c r="G23" s="188"/>
      <c r="H23" s="188"/>
      <c r="I23" s="188"/>
      <c r="J23" s="406"/>
    </row>
    <row r="24" spans="2:10" x14ac:dyDescent="0.35">
      <c r="B24" s="405"/>
      <c r="C24" s="188"/>
      <c r="D24" s="188"/>
      <c r="E24" s="188"/>
      <c r="F24" s="411">
        <f>-F20</f>
        <v>-10000</v>
      </c>
      <c r="G24" s="188"/>
      <c r="H24" s="188"/>
      <c r="I24" s="188"/>
      <c r="J24" s="406"/>
    </row>
    <row r="25" spans="2:10" x14ac:dyDescent="0.35">
      <c r="B25" s="405"/>
      <c r="C25" s="188"/>
      <c r="D25" s="188"/>
      <c r="E25" s="188"/>
      <c r="F25" s="418">
        <f>-E13*F20</f>
        <v>-1000</v>
      </c>
      <c r="G25" s="188"/>
      <c r="H25" s="188"/>
      <c r="I25" s="188"/>
      <c r="J25" s="406"/>
    </row>
    <row r="26" spans="2:10" x14ac:dyDescent="0.35">
      <c r="B26" s="405"/>
      <c r="C26" s="188"/>
      <c r="D26" s="188"/>
      <c r="E26" s="188"/>
      <c r="F26" s="411">
        <f>+F23+F24+F25</f>
        <v>11500</v>
      </c>
      <c r="G26" s="188"/>
      <c r="H26" s="188"/>
      <c r="I26" s="188"/>
      <c r="J26" s="406"/>
    </row>
    <row r="27" spans="2:10" x14ac:dyDescent="0.35">
      <c r="B27" s="405"/>
      <c r="C27" s="188"/>
      <c r="D27" s="188"/>
      <c r="E27" s="188"/>
      <c r="F27" s="411">
        <f>+E17</f>
        <v>450</v>
      </c>
      <c r="G27" s="188"/>
      <c r="H27" s="188"/>
      <c r="I27" s="188"/>
      <c r="J27" s="406"/>
    </row>
    <row r="28" spans="2:10" x14ac:dyDescent="0.35">
      <c r="B28" s="405"/>
      <c r="C28" s="188"/>
      <c r="D28" s="188"/>
      <c r="E28" s="188"/>
      <c r="F28" s="418">
        <f>+F27+F26</f>
        <v>11950</v>
      </c>
      <c r="G28" s="188"/>
      <c r="H28" s="188"/>
      <c r="I28" s="188"/>
      <c r="J28" s="406"/>
    </row>
    <row r="29" spans="2:10" x14ac:dyDescent="0.35">
      <c r="B29" s="405"/>
      <c r="C29" s="188"/>
      <c r="D29" s="188"/>
      <c r="E29" s="188"/>
      <c r="F29" s="411">
        <f>+F21</f>
        <v>-10000</v>
      </c>
      <c r="G29" s="188"/>
      <c r="H29" s="188"/>
      <c r="I29" s="188"/>
      <c r="J29" s="406"/>
    </row>
    <row r="30" spans="2:10" ht="15" thickBot="1" x14ac:dyDescent="0.4">
      <c r="B30" s="412"/>
      <c r="C30" s="413"/>
      <c r="D30" s="413"/>
      <c r="E30" s="419" t="s">
        <v>243</v>
      </c>
      <c r="F30" s="414">
        <f>+F28+F29</f>
        <v>1950</v>
      </c>
      <c r="G30" s="413"/>
      <c r="H30" s="413"/>
      <c r="I30" s="413"/>
      <c r="J30" s="415"/>
    </row>
  </sheetData>
  <mergeCells count="2">
    <mergeCell ref="C2:J2"/>
    <mergeCell ref="B5:J5"/>
  </mergeCells>
  <phoneticPr fontId="1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564B9-C1A0-4ECF-98CE-FDF394EC2698}">
  <sheetPr>
    <tabColor theme="4"/>
  </sheetPr>
  <dimension ref="A1:AB30"/>
  <sheetViews>
    <sheetView showGridLines="0" workbookViewId="0">
      <selection activeCell="L17" sqref="L17"/>
    </sheetView>
  </sheetViews>
  <sheetFormatPr defaultRowHeight="14.5" x14ac:dyDescent="0.35"/>
  <cols>
    <col min="1" max="1" width="2.36328125" customWidth="1"/>
    <col min="2" max="2" width="30.6328125" customWidth="1"/>
    <col min="3" max="3" width="9.26953125" customWidth="1"/>
    <col min="5" max="5" width="10.08984375" bestFit="1" customWidth="1"/>
  </cols>
  <sheetData>
    <row r="1" spans="1:28" ht="15" thickBot="1" x14ac:dyDescent="0.4">
      <c r="A1" t="str">
        <f>+INTRODUCTION!A1</f>
        <v>BARUCH COLLEGE - MS FIN9793 MIDTERM EXAM</v>
      </c>
    </row>
    <row r="2" spans="1:28" ht="22.5" customHeight="1" thickBot="1" x14ac:dyDescent="0.55000000000000004">
      <c r="B2" s="50" t="s">
        <v>96</v>
      </c>
      <c r="C2" s="444" t="str">
        <f>+INTRODUCTION!H4&amp;", "&amp;INTRODUCTION!C4</f>
        <v xml:space="preserve">, </v>
      </c>
      <c r="D2" s="445"/>
      <c r="E2" s="445"/>
      <c r="F2" s="445"/>
      <c r="G2" s="445"/>
      <c r="H2" s="445"/>
      <c r="I2" s="445"/>
      <c r="J2" s="445"/>
      <c r="K2" s="446"/>
      <c r="L2" s="447"/>
      <c r="N2" s="71"/>
    </row>
    <row r="3" spans="1:28" ht="11" customHeight="1" x14ac:dyDescent="0.35">
      <c r="B3" s="51"/>
      <c r="C3" s="50"/>
      <c r="D3" s="52"/>
      <c r="E3" s="52"/>
      <c r="F3" s="52"/>
      <c r="G3" s="52"/>
      <c r="H3" s="52"/>
    </row>
    <row r="4" spans="1:28" ht="15.5" x14ac:dyDescent="0.35">
      <c r="B4" s="19" t="s">
        <v>225</v>
      </c>
      <c r="C4" s="20"/>
      <c r="D4" s="53"/>
      <c r="E4" s="53"/>
      <c r="F4" s="53"/>
      <c r="G4" s="53"/>
      <c r="H4" s="53"/>
      <c r="I4" s="53"/>
      <c r="J4" s="53"/>
      <c r="K4" s="53"/>
      <c r="L4" s="53"/>
    </row>
    <row r="5" spans="1:28" x14ac:dyDescent="0.35">
      <c r="B5" s="6" t="s">
        <v>150</v>
      </c>
      <c r="AA5" s="27" t="s">
        <v>97</v>
      </c>
    </row>
    <row r="6" spans="1:28" x14ac:dyDescent="0.35">
      <c r="AA6" s="26">
        <v>0.05</v>
      </c>
      <c r="AB6" s="67">
        <v>25000</v>
      </c>
    </row>
    <row r="7" spans="1:28" x14ac:dyDescent="0.35">
      <c r="B7" s="15" t="s">
        <v>97</v>
      </c>
      <c r="C7" s="15"/>
      <c r="AA7" s="26">
        <v>0.1</v>
      </c>
      <c r="AB7" s="67">
        <v>10000</v>
      </c>
    </row>
    <row r="8" spans="1:28" x14ac:dyDescent="0.35">
      <c r="A8" s="102"/>
    </row>
    <row r="9" spans="1:28" x14ac:dyDescent="0.35">
      <c r="A9" s="102"/>
      <c r="B9" s="203" t="s">
        <v>151</v>
      </c>
      <c r="C9" s="311">
        <f>+'RESTICTED-SUMMARY ANSWERS'!C161</f>
        <v>7.5</v>
      </c>
      <c r="D9" s="49"/>
      <c r="E9" s="277"/>
      <c r="F9" t="s">
        <v>234</v>
      </c>
      <c r="G9" s="35">
        <f>+C9*C16</f>
        <v>3750</v>
      </c>
    </row>
    <row r="10" spans="1:28" x14ac:dyDescent="0.35">
      <c r="A10" s="102"/>
      <c r="B10" s="203" t="s">
        <v>152</v>
      </c>
      <c r="C10" s="305">
        <f>+'RESTICTED-SUMMARY ANSWERS'!C162</f>
        <v>1500</v>
      </c>
      <c r="D10" s="49" t="s">
        <v>153</v>
      </c>
      <c r="E10" s="277"/>
      <c r="F10" t="s">
        <v>235</v>
      </c>
      <c r="G10" s="35">
        <f>+C12</f>
        <v>1200</v>
      </c>
    </row>
    <row r="11" spans="1:28" x14ac:dyDescent="0.35">
      <c r="A11" s="102"/>
      <c r="B11" s="203" t="s">
        <v>154</v>
      </c>
      <c r="C11" s="305">
        <f>+'RESTICTED-SUMMARY ANSWERS'!C163</f>
        <v>130</v>
      </c>
      <c r="D11" s="49" t="s">
        <v>153</v>
      </c>
      <c r="E11" s="277"/>
      <c r="F11" s="35" t="s">
        <v>103</v>
      </c>
      <c r="G11" s="35">
        <f>+C15</f>
        <v>300</v>
      </c>
    </row>
    <row r="12" spans="1:28" x14ac:dyDescent="0.35">
      <c r="A12" s="102"/>
      <c r="B12" s="203" t="s">
        <v>98</v>
      </c>
      <c r="C12" s="305">
        <f>+'RESTICTED-SUMMARY ANSWERS'!C164</f>
        <v>1200</v>
      </c>
      <c r="D12" s="49" t="s">
        <v>153</v>
      </c>
      <c r="E12" s="277"/>
      <c r="F12" t="s">
        <v>236</v>
      </c>
      <c r="G12" s="35">
        <f>+G9-G10+G11</f>
        <v>2850</v>
      </c>
    </row>
    <row r="13" spans="1:28" x14ac:dyDescent="0.35">
      <c r="A13" s="102"/>
      <c r="B13" s="203" t="s">
        <v>104</v>
      </c>
      <c r="C13" s="305">
        <f>+'RESTICTED-SUMMARY ANSWERS'!C165</f>
        <v>1500</v>
      </c>
      <c r="D13" s="49" t="s">
        <v>153</v>
      </c>
      <c r="E13" s="277"/>
      <c r="F13" t="s">
        <v>237</v>
      </c>
      <c r="G13" s="35">
        <f>+C11</f>
        <v>130</v>
      </c>
    </row>
    <row r="14" spans="1:28" x14ac:dyDescent="0.35">
      <c r="A14" s="102"/>
      <c r="B14" s="203" t="s">
        <v>33</v>
      </c>
      <c r="C14" s="305">
        <f>+'RESTICTED-SUMMARY ANSWERS'!C166</f>
        <v>3000</v>
      </c>
      <c r="D14" s="49" t="s">
        <v>153</v>
      </c>
      <c r="E14" s="277"/>
      <c r="F14" t="s">
        <v>238</v>
      </c>
      <c r="G14" s="400">
        <f>+G12/G13</f>
        <v>21.923076923076923</v>
      </c>
    </row>
    <row r="15" spans="1:28" x14ac:dyDescent="0.35">
      <c r="A15" s="102"/>
      <c r="B15" s="203" t="s">
        <v>103</v>
      </c>
      <c r="C15" s="305">
        <f>+'RESTICTED-SUMMARY ANSWERS'!C167</f>
        <v>300</v>
      </c>
      <c r="D15" s="49" t="s">
        <v>153</v>
      </c>
      <c r="E15" s="277"/>
    </row>
    <row r="16" spans="1:28" x14ac:dyDescent="0.35">
      <c r="A16" s="102"/>
      <c r="B16" s="203" t="s">
        <v>39</v>
      </c>
      <c r="C16" s="305">
        <f>+'RESTICTED-SUMMARY ANSWERS'!C168</f>
        <v>500</v>
      </c>
      <c r="D16" s="49" t="s">
        <v>153</v>
      </c>
      <c r="E16" s="277"/>
      <c r="F16" t="s">
        <v>239</v>
      </c>
      <c r="G16" s="401">
        <f>+C24</f>
        <v>24</v>
      </c>
    </row>
    <row r="17" spans="1:10" x14ac:dyDescent="0.35">
      <c r="A17" s="102"/>
      <c r="B17" s="203" t="s">
        <v>155</v>
      </c>
      <c r="C17" s="312">
        <f>+'RESTICTED-SUMMARY ANSWERS'!C169</f>
        <v>2.5</v>
      </c>
      <c r="D17" s="49" t="s">
        <v>156</v>
      </c>
      <c r="E17" s="277"/>
      <c r="F17" t="s">
        <v>240</v>
      </c>
      <c r="G17" s="401">
        <f>+C17</f>
        <v>2.5</v>
      </c>
    </row>
    <row r="18" spans="1:10" x14ac:dyDescent="0.35">
      <c r="A18" s="102"/>
      <c r="B18" s="102"/>
      <c r="C18" s="276"/>
      <c r="D18" s="276"/>
      <c r="E18" s="278"/>
      <c r="G18" s="401">
        <f>+G17+G16</f>
        <v>26.5</v>
      </c>
    </row>
    <row r="19" spans="1:10" x14ac:dyDescent="0.35">
      <c r="A19" s="102"/>
      <c r="B19" s="203" t="s">
        <v>157</v>
      </c>
      <c r="C19" s="313">
        <f>+'RESTICTED-SUMMARY ANSWERS'!C171</f>
        <v>1.4999999999999999E-2</v>
      </c>
      <c r="D19" s="49"/>
      <c r="E19" s="88"/>
    </row>
    <row r="20" spans="1:10" x14ac:dyDescent="0.35">
      <c r="A20" s="102"/>
      <c r="B20" s="203" t="s">
        <v>158</v>
      </c>
      <c r="C20" s="313">
        <f>+'RESTICTED-SUMMARY ANSWERS'!C172</f>
        <v>0.1</v>
      </c>
      <c r="D20" s="49"/>
      <c r="E20" s="88"/>
      <c r="G20" s="33">
        <f>+C19+(C21*(C20-C19))</f>
        <v>0.16800000000000004</v>
      </c>
    </row>
    <row r="21" spans="1:10" x14ac:dyDescent="0.35">
      <c r="A21" s="102"/>
      <c r="B21" s="203" t="s">
        <v>159</v>
      </c>
      <c r="C21" s="311">
        <f>+'RESTICTED-SUMMARY ANSWERS'!C173</f>
        <v>1.8</v>
      </c>
      <c r="D21" s="49"/>
      <c r="E21" s="88"/>
    </row>
    <row r="22" spans="1:10" x14ac:dyDescent="0.35">
      <c r="A22" s="102"/>
      <c r="B22" s="203" t="s">
        <v>160</v>
      </c>
      <c r="C22" s="313">
        <f>+'RESTICTED-SUMMARY ANSWERS'!C174</f>
        <v>0.1</v>
      </c>
      <c r="D22" s="49"/>
      <c r="E22" s="88"/>
    </row>
    <row r="23" spans="1:10" x14ac:dyDescent="0.35">
      <c r="C23" s="49"/>
      <c r="D23" s="49"/>
      <c r="E23" s="88"/>
    </row>
    <row r="24" spans="1:10" x14ac:dyDescent="0.35">
      <c r="B24" s="203" t="s">
        <v>162</v>
      </c>
      <c r="C24" s="312">
        <v>24</v>
      </c>
      <c r="D24" s="49"/>
      <c r="E24" s="88"/>
    </row>
    <row r="25" spans="1:10" x14ac:dyDescent="0.35">
      <c r="B25" s="102"/>
      <c r="C25" s="103"/>
      <c r="D25" s="84"/>
    </row>
    <row r="26" spans="1:10" x14ac:dyDescent="0.35">
      <c r="B26" s="102"/>
      <c r="C26" s="103"/>
      <c r="D26" s="84"/>
    </row>
    <row r="27" spans="1:10" ht="14" customHeight="1" x14ac:dyDescent="0.35">
      <c r="B27" s="15" t="s">
        <v>85</v>
      </c>
      <c r="C27" s="15"/>
      <c r="D27" s="15"/>
      <c r="E27" s="15"/>
      <c r="F27" s="15"/>
    </row>
    <row r="28" spans="1:10" ht="24" customHeight="1" x14ac:dyDescent="0.35">
      <c r="B28" s="3" t="s">
        <v>161</v>
      </c>
      <c r="C28" s="4"/>
      <c r="D28" s="4"/>
      <c r="E28" s="5"/>
      <c r="F28" s="101">
        <f>+G14</f>
        <v>21.923076923076923</v>
      </c>
      <c r="G28" s="30"/>
      <c r="H28" s="30"/>
      <c r="I28" s="22"/>
      <c r="J28" s="22"/>
    </row>
    <row r="29" spans="1:10" ht="24" customHeight="1" x14ac:dyDescent="0.35">
      <c r="B29" s="448" t="s">
        <v>164</v>
      </c>
      <c r="C29" s="449"/>
      <c r="D29" s="449"/>
      <c r="E29" s="450"/>
      <c r="F29" s="101">
        <f>+G18/(1+G20)</f>
        <v>22.68835616438356</v>
      </c>
    </row>
    <row r="30" spans="1:10" ht="24" customHeight="1" x14ac:dyDescent="0.35">
      <c r="B30" s="448" t="s">
        <v>163</v>
      </c>
      <c r="C30" s="449"/>
      <c r="D30" s="449"/>
      <c r="E30" s="450"/>
      <c r="F30" s="101">
        <f>+C17/(G20-C22)</f>
        <v>36.764705882352921</v>
      </c>
    </row>
  </sheetData>
  <mergeCells count="3">
    <mergeCell ref="C2:L2"/>
    <mergeCell ref="B29:E29"/>
    <mergeCell ref="B30:E3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03A4-BFF7-4841-A3F0-53EDF79E2E83}">
  <sheetPr>
    <tabColor theme="4"/>
  </sheetPr>
  <dimension ref="A1:AH119"/>
  <sheetViews>
    <sheetView showGridLines="0" topLeftCell="A37" workbookViewId="0">
      <selection activeCell="M54" sqref="M54"/>
    </sheetView>
  </sheetViews>
  <sheetFormatPr defaultRowHeight="14.5" x14ac:dyDescent="0.35"/>
  <cols>
    <col min="1" max="1" width="2.7265625" customWidth="1"/>
    <col min="2" max="2" width="24.36328125" customWidth="1"/>
    <col min="3" max="4" width="12.26953125" style="49" customWidth="1"/>
    <col min="5" max="5" width="2.81640625" style="49" customWidth="1"/>
    <col min="6" max="6" width="26.81640625" style="49" customWidth="1"/>
    <col min="7" max="8" width="12.81640625" style="49" customWidth="1"/>
    <col min="11" max="11" width="20.1796875" customWidth="1"/>
    <col min="13" max="13" width="4.6328125" customWidth="1"/>
    <col min="14" max="14" width="11.36328125" customWidth="1"/>
    <col min="27" max="28" width="10.1796875" bestFit="1" customWidth="1"/>
    <col min="29" max="29" width="3.36328125" customWidth="1"/>
    <col min="240" max="240" width="2.7265625" customWidth="1"/>
    <col min="241" max="241" width="24.453125" customWidth="1"/>
    <col min="242" max="242" width="2.54296875" customWidth="1"/>
    <col min="243" max="244" width="12.26953125" customWidth="1"/>
    <col min="246" max="246" width="20.1796875" customWidth="1"/>
    <col min="248" max="248" width="4.6328125" customWidth="1"/>
    <col min="249" max="249" width="11.36328125" customWidth="1"/>
    <col min="250" max="250" width="3.453125" customWidth="1"/>
    <col min="251" max="251" width="26.90625" customWidth="1"/>
    <col min="252" max="252" width="2.54296875" customWidth="1"/>
    <col min="253" max="254" width="12.81640625" customWidth="1"/>
    <col min="256" max="256" width="11.90625" customWidth="1"/>
    <col min="259" max="259" width="11.36328125" customWidth="1"/>
    <col min="496" max="496" width="2.7265625" customWidth="1"/>
    <col min="497" max="497" width="24.453125" customWidth="1"/>
    <col min="498" max="498" width="2.54296875" customWidth="1"/>
    <col min="499" max="500" width="12.26953125" customWidth="1"/>
    <col min="502" max="502" width="20.1796875" customWidth="1"/>
    <col min="504" max="504" width="4.6328125" customWidth="1"/>
    <col min="505" max="505" width="11.36328125" customWidth="1"/>
    <col min="506" max="506" width="3.453125" customWidth="1"/>
    <col min="507" max="507" width="26.90625" customWidth="1"/>
    <col min="508" max="508" width="2.54296875" customWidth="1"/>
    <col min="509" max="510" width="12.81640625" customWidth="1"/>
    <col min="512" max="512" width="11.90625" customWidth="1"/>
    <col min="515" max="515" width="11.36328125" customWidth="1"/>
    <col min="752" max="752" width="2.7265625" customWidth="1"/>
    <col min="753" max="753" width="24.453125" customWidth="1"/>
    <col min="754" max="754" width="2.54296875" customWidth="1"/>
    <col min="755" max="756" width="12.26953125" customWidth="1"/>
    <col min="758" max="758" width="20.1796875" customWidth="1"/>
    <col min="760" max="760" width="4.6328125" customWidth="1"/>
    <col min="761" max="761" width="11.36328125" customWidth="1"/>
    <col min="762" max="762" width="3.453125" customWidth="1"/>
    <col min="763" max="763" width="26.90625" customWidth="1"/>
    <col min="764" max="764" width="2.54296875" customWidth="1"/>
    <col min="765" max="766" width="12.81640625" customWidth="1"/>
    <col min="768" max="768" width="11.90625" customWidth="1"/>
    <col min="771" max="771" width="11.36328125" customWidth="1"/>
    <col min="1008" max="1008" width="2.7265625" customWidth="1"/>
    <col min="1009" max="1009" width="24.453125" customWidth="1"/>
    <col min="1010" max="1010" width="2.54296875" customWidth="1"/>
    <col min="1011" max="1012" width="12.26953125" customWidth="1"/>
    <col min="1014" max="1014" width="20.1796875" customWidth="1"/>
    <col min="1016" max="1016" width="4.6328125" customWidth="1"/>
    <col min="1017" max="1017" width="11.36328125" customWidth="1"/>
    <col min="1018" max="1018" width="3.453125" customWidth="1"/>
    <col min="1019" max="1019" width="26.90625" customWidth="1"/>
    <col min="1020" max="1020" width="2.54296875" customWidth="1"/>
    <col min="1021" max="1022" width="12.81640625" customWidth="1"/>
    <col min="1024" max="1024" width="11.90625" customWidth="1"/>
    <col min="1027" max="1027" width="11.36328125" customWidth="1"/>
    <col min="1264" max="1264" width="2.7265625" customWidth="1"/>
    <col min="1265" max="1265" width="24.453125" customWidth="1"/>
    <col min="1266" max="1266" width="2.54296875" customWidth="1"/>
    <col min="1267" max="1268" width="12.26953125" customWidth="1"/>
    <col min="1270" max="1270" width="20.1796875" customWidth="1"/>
    <col min="1272" max="1272" width="4.6328125" customWidth="1"/>
    <col min="1273" max="1273" width="11.36328125" customWidth="1"/>
    <col min="1274" max="1274" width="3.453125" customWidth="1"/>
    <col min="1275" max="1275" width="26.90625" customWidth="1"/>
    <col min="1276" max="1276" width="2.54296875" customWidth="1"/>
    <col min="1277" max="1278" width="12.81640625" customWidth="1"/>
    <col min="1280" max="1280" width="11.90625" customWidth="1"/>
    <col min="1283" max="1283" width="11.36328125" customWidth="1"/>
    <col min="1520" max="1520" width="2.7265625" customWidth="1"/>
    <col min="1521" max="1521" width="24.453125" customWidth="1"/>
    <col min="1522" max="1522" width="2.54296875" customWidth="1"/>
    <col min="1523" max="1524" width="12.26953125" customWidth="1"/>
    <col min="1526" max="1526" width="20.1796875" customWidth="1"/>
    <col min="1528" max="1528" width="4.6328125" customWidth="1"/>
    <col min="1529" max="1529" width="11.36328125" customWidth="1"/>
    <col min="1530" max="1530" width="3.453125" customWidth="1"/>
    <col min="1531" max="1531" width="26.90625" customWidth="1"/>
    <col min="1532" max="1532" width="2.54296875" customWidth="1"/>
    <col min="1533" max="1534" width="12.81640625" customWidth="1"/>
    <col min="1536" max="1536" width="11.90625" customWidth="1"/>
    <col min="1539" max="1539" width="11.36328125" customWidth="1"/>
    <col min="1776" max="1776" width="2.7265625" customWidth="1"/>
    <col min="1777" max="1777" width="24.453125" customWidth="1"/>
    <col min="1778" max="1778" width="2.54296875" customWidth="1"/>
    <col min="1779" max="1780" width="12.26953125" customWidth="1"/>
    <col min="1782" max="1782" width="20.1796875" customWidth="1"/>
    <col min="1784" max="1784" width="4.6328125" customWidth="1"/>
    <col min="1785" max="1785" width="11.36328125" customWidth="1"/>
    <col min="1786" max="1786" width="3.453125" customWidth="1"/>
    <col min="1787" max="1787" width="26.90625" customWidth="1"/>
    <col min="1788" max="1788" width="2.54296875" customWidth="1"/>
    <col min="1789" max="1790" width="12.81640625" customWidth="1"/>
    <col min="1792" max="1792" width="11.90625" customWidth="1"/>
    <col min="1795" max="1795" width="11.36328125" customWidth="1"/>
    <col min="2032" max="2032" width="2.7265625" customWidth="1"/>
    <col min="2033" max="2033" width="24.453125" customWidth="1"/>
    <col min="2034" max="2034" width="2.54296875" customWidth="1"/>
    <col min="2035" max="2036" width="12.26953125" customWidth="1"/>
    <col min="2038" max="2038" width="20.1796875" customWidth="1"/>
    <col min="2040" max="2040" width="4.6328125" customWidth="1"/>
    <col min="2041" max="2041" width="11.36328125" customWidth="1"/>
    <col min="2042" max="2042" width="3.453125" customWidth="1"/>
    <col min="2043" max="2043" width="26.90625" customWidth="1"/>
    <col min="2044" max="2044" width="2.54296875" customWidth="1"/>
    <col min="2045" max="2046" width="12.81640625" customWidth="1"/>
    <col min="2048" max="2048" width="11.90625" customWidth="1"/>
    <col min="2051" max="2051" width="11.36328125" customWidth="1"/>
    <col min="2288" max="2288" width="2.7265625" customWidth="1"/>
    <col min="2289" max="2289" width="24.453125" customWidth="1"/>
    <col min="2290" max="2290" width="2.54296875" customWidth="1"/>
    <col min="2291" max="2292" width="12.26953125" customWidth="1"/>
    <col min="2294" max="2294" width="20.1796875" customWidth="1"/>
    <col min="2296" max="2296" width="4.6328125" customWidth="1"/>
    <col min="2297" max="2297" width="11.36328125" customWidth="1"/>
    <col min="2298" max="2298" width="3.453125" customWidth="1"/>
    <col min="2299" max="2299" width="26.90625" customWidth="1"/>
    <col min="2300" max="2300" width="2.54296875" customWidth="1"/>
    <col min="2301" max="2302" width="12.81640625" customWidth="1"/>
    <col min="2304" max="2304" width="11.90625" customWidth="1"/>
    <col min="2307" max="2307" width="11.36328125" customWidth="1"/>
    <col min="2544" max="2544" width="2.7265625" customWidth="1"/>
    <col min="2545" max="2545" width="24.453125" customWidth="1"/>
    <col min="2546" max="2546" width="2.54296875" customWidth="1"/>
    <col min="2547" max="2548" width="12.26953125" customWidth="1"/>
    <col min="2550" max="2550" width="20.1796875" customWidth="1"/>
    <col min="2552" max="2552" width="4.6328125" customWidth="1"/>
    <col min="2553" max="2553" width="11.36328125" customWidth="1"/>
    <col min="2554" max="2554" width="3.453125" customWidth="1"/>
    <col min="2555" max="2555" width="26.90625" customWidth="1"/>
    <col min="2556" max="2556" width="2.54296875" customWidth="1"/>
    <col min="2557" max="2558" width="12.81640625" customWidth="1"/>
    <col min="2560" max="2560" width="11.90625" customWidth="1"/>
    <col min="2563" max="2563" width="11.36328125" customWidth="1"/>
    <col min="2800" max="2800" width="2.7265625" customWidth="1"/>
    <col min="2801" max="2801" width="24.453125" customWidth="1"/>
    <col min="2802" max="2802" width="2.54296875" customWidth="1"/>
    <col min="2803" max="2804" width="12.26953125" customWidth="1"/>
    <col min="2806" max="2806" width="20.1796875" customWidth="1"/>
    <col min="2808" max="2808" width="4.6328125" customWidth="1"/>
    <col min="2809" max="2809" width="11.36328125" customWidth="1"/>
    <col min="2810" max="2810" width="3.453125" customWidth="1"/>
    <col min="2811" max="2811" width="26.90625" customWidth="1"/>
    <col min="2812" max="2812" width="2.54296875" customWidth="1"/>
    <col min="2813" max="2814" width="12.81640625" customWidth="1"/>
    <col min="2816" max="2816" width="11.90625" customWidth="1"/>
    <col min="2819" max="2819" width="11.36328125" customWidth="1"/>
    <col min="3056" max="3056" width="2.7265625" customWidth="1"/>
    <col min="3057" max="3057" width="24.453125" customWidth="1"/>
    <col min="3058" max="3058" width="2.54296875" customWidth="1"/>
    <col min="3059" max="3060" width="12.26953125" customWidth="1"/>
    <col min="3062" max="3062" width="20.1796875" customWidth="1"/>
    <col min="3064" max="3064" width="4.6328125" customWidth="1"/>
    <col min="3065" max="3065" width="11.36328125" customWidth="1"/>
    <col min="3066" max="3066" width="3.453125" customWidth="1"/>
    <col min="3067" max="3067" width="26.90625" customWidth="1"/>
    <col min="3068" max="3068" width="2.54296875" customWidth="1"/>
    <col min="3069" max="3070" width="12.81640625" customWidth="1"/>
    <col min="3072" max="3072" width="11.90625" customWidth="1"/>
    <col min="3075" max="3075" width="11.36328125" customWidth="1"/>
    <col min="3312" max="3312" width="2.7265625" customWidth="1"/>
    <col min="3313" max="3313" width="24.453125" customWidth="1"/>
    <col min="3314" max="3314" width="2.54296875" customWidth="1"/>
    <col min="3315" max="3316" width="12.26953125" customWidth="1"/>
    <col min="3318" max="3318" width="20.1796875" customWidth="1"/>
    <col min="3320" max="3320" width="4.6328125" customWidth="1"/>
    <col min="3321" max="3321" width="11.36328125" customWidth="1"/>
    <col min="3322" max="3322" width="3.453125" customWidth="1"/>
    <col min="3323" max="3323" width="26.90625" customWidth="1"/>
    <col min="3324" max="3324" width="2.54296875" customWidth="1"/>
    <col min="3325" max="3326" width="12.81640625" customWidth="1"/>
    <col min="3328" max="3328" width="11.90625" customWidth="1"/>
    <col min="3331" max="3331" width="11.36328125" customWidth="1"/>
    <col min="3568" max="3568" width="2.7265625" customWidth="1"/>
    <col min="3569" max="3569" width="24.453125" customWidth="1"/>
    <col min="3570" max="3570" width="2.54296875" customWidth="1"/>
    <col min="3571" max="3572" width="12.26953125" customWidth="1"/>
    <col min="3574" max="3574" width="20.1796875" customWidth="1"/>
    <col min="3576" max="3576" width="4.6328125" customWidth="1"/>
    <col min="3577" max="3577" width="11.36328125" customWidth="1"/>
    <col min="3578" max="3578" width="3.453125" customWidth="1"/>
    <col min="3579" max="3579" width="26.90625" customWidth="1"/>
    <col min="3580" max="3580" width="2.54296875" customWidth="1"/>
    <col min="3581" max="3582" width="12.81640625" customWidth="1"/>
    <col min="3584" max="3584" width="11.90625" customWidth="1"/>
    <col min="3587" max="3587" width="11.36328125" customWidth="1"/>
    <col min="3824" max="3824" width="2.7265625" customWidth="1"/>
    <col min="3825" max="3825" width="24.453125" customWidth="1"/>
    <col min="3826" max="3826" width="2.54296875" customWidth="1"/>
    <col min="3827" max="3828" width="12.26953125" customWidth="1"/>
    <col min="3830" max="3830" width="20.1796875" customWidth="1"/>
    <col min="3832" max="3832" width="4.6328125" customWidth="1"/>
    <col min="3833" max="3833" width="11.36328125" customWidth="1"/>
    <col min="3834" max="3834" width="3.453125" customWidth="1"/>
    <col min="3835" max="3835" width="26.90625" customWidth="1"/>
    <col min="3836" max="3836" width="2.54296875" customWidth="1"/>
    <col min="3837" max="3838" width="12.81640625" customWidth="1"/>
    <col min="3840" max="3840" width="11.90625" customWidth="1"/>
    <col min="3843" max="3843" width="11.36328125" customWidth="1"/>
    <col min="4080" max="4080" width="2.7265625" customWidth="1"/>
    <col min="4081" max="4081" width="24.453125" customWidth="1"/>
    <col min="4082" max="4082" width="2.54296875" customWidth="1"/>
    <col min="4083" max="4084" width="12.26953125" customWidth="1"/>
    <col min="4086" max="4086" width="20.1796875" customWidth="1"/>
    <col min="4088" max="4088" width="4.6328125" customWidth="1"/>
    <col min="4089" max="4089" width="11.36328125" customWidth="1"/>
    <col min="4090" max="4090" width="3.453125" customWidth="1"/>
    <col min="4091" max="4091" width="26.90625" customWidth="1"/>
    <col min="4092" max="4092" width="2.54296875" customWidth="1"/>
    <col min="4093" max="4094" width="12.81640625" customWidth="1"/>
    <col min="4096" max="4096" width="11.90625" customWidth="1"/>
    <col min="4099" max="4099" width="11.36328125" customWidth="1"/>
    <col min="4336" max="4336" width="2.7265625" customWidth="1"/>
    <col min="4337" max="4337" width="24.453125" customWidth="1"/>
    <col min="4338" max="4338" width="2.54296875" customWidth="1"/>
    <col min="4339" max="4340" width="12.26953125" customWidth="1"/>
    <col min="4342" max="4342" width="20.1796875" customWidth="1"/>
    <col min="4344" max="4344" width="4.6328125" customWidth="1"/>
    <col min="4345" max="4345" width="11.36328125" customWidth="1"/>
    <col min="4346" max="4346" width="3.453125" customWidth="1"/>
    <col min="4347" max="4347" width="26.90625" customWidth="1"/>
    <col min="4348" max="4348" width="2.54296875" customWidth="1"/>
    <col min="4349" max="4350" width="12.81640625" customWidth="1"/>
    <col min="4352" max="4352" width="11.90625" customWidth="1"/>
    <col min="4355" max="4355" width="11.36328125" customWidth="1"/>
    <col min="4592" max="4592" width="2.7265625" customWidth="1"/>
    <col min="4593" max="4593" width="24.453125" customWidth="1"/>
    <col min="4594" max="4594" width="2.54296875" customWidth="1"/>
    <col min="4595" max="4596" width="12.26953125" customWidth="1"/>
    <col min="4598" max="4598" width="20.1796875" customWidth="1"/>
    <col min="4600" max="4600" width="4.6328125" customWidth="1"/>
    <col min="4601" max="4601" width="11.36328125" customWidth="1"/>
    <col min="4602" max="4602" width="3.453125" customWidth="1"/>
    <col min="4603" max="4603" width="26.90625" customWidth="1"/>
    <col min="4604" max="4604" width="2.54296875" customWidth="1"/>
    <col min="4605" max="4606" width="12.81640625" customWidth="1"/>
    <col min="4608" max="4608" width="11.90625" customWidth="1"/>
    <col min="4611" max="4611" width="11.36328125" customWidth="1"/>
    <col min="4848" max="4848" width="2.7265625" customWidth="1"/>
    <col min="4849" max="4849" width="24.453125" customWidth="1"/>
    <col min="4850" max="4850" width="2.54296875" customWidth="1"/>
    <col min="4851" max="4852" width="12.26953125" customWidth="1"/>
    <col min="4854" max="4854" width="20.1796875" customWidth="1"/>
    <col min="4856" max="4856" width="4.6328125" customWidth="1"/>
    <col min="4857" max="4857" width="11.36328125" customWidth="1"/>
    <col min="4858" max="4858" width="3.453125" customWidth="1"/>
    <col min="4859" max="4859" width="26.90625" customWidth="1"/>
    <col min="4860" max="4860" width="2.54296875" customWidth="1"/>
    <col min="4861" max="4862" width="12.81640625" customWidth="1"/>
    <col min="4864" max="4864" width="11.90625" customWidth="1"/>
    <col min="4867" max="4867" width="11.36328125" customWidth="1"/>
    <col min="5104" max="5104" width="2.7265625" customWidth="1"/>
    <col min="5105" max="5105" width="24.453125" customWidth="1"/>
    <col min="5106" max="5106" width="2.54296875" customWidth="1"/>
    <col min="5107" max="5108" width="12.26953125" customWidth="1"/>
    <col min="5110" max="5110" width="20.1796875" customWidth="1"/>
    <col min="5112" max="5112" width="4.6328125" customWidth="1"/>
    <col min="5113" max="5113" width="11.36328125" customWidth="1"/>
    <col min="5114" max="5114" width="3.453125" customWidth="1"/>
    <col min="5115" max="5115" width="26.90625" customWidth="1"/>
    <col min="5116" max="5116" width="2.54296875" customWidth="1"/>
    <col min="5117" max="5118" width="12.81640625" customWidth="1"/>
    <col min="5120" max="5120" width="11.90625" customWidth="1"/>
    <col min="5123" max="5123" width="11.36328125" customWidth="1"/>
    <col min="5360" max="5360" width="2.7265625" customWidth="1"/>
    <col min="5361" max="5361" width="24.453125" customWidth="1"/>
    <col min="5362" max="5362" width="2.54296875" customWidth="1"/>
    <col min="5363" max="5364" width="12.26953125" customWidth="1"/>
    <col min="5366" max="5366" width="20.1796875" customWidth="1"/>
    <col min="5368" max="5368" width="4.6328125" customWidth="1"/>
    <col min="5369" max="5369" width="11.36328125" customWidth="1"/>
    <col min="5370" max="5370" width="3.453125" customWidth="1"/>
    <col min="5371" max="5371" width="26.90625" customWidth="1"/>
    <col min="5372" max="5372" width="2.54296875" customWidth="1"/>
    <col min="5373" max="5374" width="12.81640625" customWidth="1"/>
    <col min="5376" max="5376" width="11.90625" customWidth="1"/>
    <col min="5379" max="5379" width="11.36328125" customWidth="1"/>
    <col min="5616" max="5616" width="2.7265625" customWidth="1"/>
    <col min="5617" max="5617" width="24.453125" customWidth="1"/>
    <col min="5618" max="5618" width="2.54296875" customWidth="1"/>
    <col min="5619" max="5620" width="12.26953125" customWidth="1"/>
    <col min="5622" max="5622" width="20.1796875" customWidth="1"/>
    <col min="5624" max="5624" width="4.6328125" customWidth="1"/>
    <col min="5625" max="5625" width="11.36328125" customWidth="1"/>
    <col min="5626" max="5626" width="3.453125" customWidth="1"/>
    <col min="5627" max="5627" width="26.90625" customWidth="1"/>
    <col min="5628" max="5628" width="2.54296875" customWidth="1"/>
    <col min="5629" max="5630" width="12.81640625" customWidth="1"/>
    <col min="5632" max="5632" width="11.90625" customWidth="1"/>
    <col min="5635" max="5635" width="11.36328125" customWidth="1"/>
    <col min="5872" max="5872" width="2.7265625" customWidth="1"/>
    <col min="5873" max="5873" width="24.453125" customWidth="1"/>
    <col min="5874" max="5874" width="2.54296875" customWidth="1"/>
    <col min="5875" max="5876" width="12.26953125" customWidth="1"/>
    <col min="5878" max="5878" width="20.1796875" customWidth="1"/>
    <col min="5880" max="5880" width="4.6328125" customWidth="1"/>
    <col min="5881" max="5881" width="11.36328125" customWidth="1"/>
    <col min="5882" max="5882" width="3.453125" customWidth="1"/>
    <col min="5883" max="5883" width="26.90625" customWidth="1"/>
    <col min="5884" max="5884" width="2.54296875" customWidth="1"/>
    <col min="5885" max="5886" width="12.81640625" customWidth="1"/>
    <col min="5888" max="5888" width="11.90625" customWidth="1"/>
    <col min="5891" max="5891" width="11.36328125" customWidth="1"/>
    <col min="6128" max="6128" width="2.7265625" customWidth="1"/>
    <col min="6129" max="6129" width="24.453125" customWidth="1"/>
    <col min="6130" max="6130" width="2.54296875" customWidth="1"/>
    <col min="6131" max="6132" width="12.26953125" customWidth="1"/>
    <col min="6134" max="6134" width="20.1796875" customWidth="1"/>
    <col min="6136" max="6136" width="4.6328125" customWidth="1"/>
    <col min="6137" max="6137" width="11.36328125" customWidth="1"/>
    <col min="6138" max="6138" width="3.453125" customWidth="1"/>
    <col min="6139" max="6139" width="26.90625" customWidth="1"/>
    <col min="6140" max="6140" width="2.54296875" customWidth="1"/>
    <col min="6141" max="6142" width="12.81640625" customWidth="1"/>
    <col min="6144" max="6144" width="11.90625" customWidth="1"/>
    <col min="6147" max="6147" width="11.36328125" customWidth="1"/>
    <col min="6384" max="6384" width="2.7265625" customWidth="1"/>
    <col min="6385" max="6385" width="24.453125" customWidth="1"/>
    <col min="6386" max="6386" width="2.54296875" customWidth="1"/>
    <col min="6387" max="6388" width="12.26953125" customWidth="1"/>
    <col min="6390" max="6390" width="20.1796875" customWidth="1"/>
    <col min="6392" max="6392" width="4.6328125" customWidth="1"/>
    <col min="6393" max="6393" width="11.36328125" customWidth="1"/>
    <col min="6394" max="6394" width="3.453125" customWidth="1"/>
    <col min="6395" max="6395" width="26.90625" customWidth="1"/>
    <col min="6396" max="6396" width="2.54296875" customWidth="1"/>
    <col min="6397" max="6398" width="12.81640625" customWidth="1"/>
    <col min="6400" max="6400" width="11.90625" customWidth="1"/>
    <col min="6403" max="6403" width="11.36328125" customWidth="1"/>
    <col min="6640" max="6640" width="2.7265625" customWidth="1"/>
    <col min="6641" max="6641" width="24.453125" customWidth="1"/>
    <col min="6642" max="6642" width="2.54296875" customWidth="1"/>
    <col min="6643" max="6644" width="12.26953125" customWidth="1"/>
    <col min="6646" max="6646" width="20.1796875" customWidth="1"/>
    <col min="6648" max="6648" width="4.6328125" customWidth="1"/>
    <col min="6649" max="6649" width="11.36328125" customWidth="1"/>
    <col min="6650" max="6650" width="3.453125" customWidth="1"/>
    <col min="6651" max="6651" width="26.90625" customWidth="1"/>
    <col min="6652" max="6652" width="2.54296875" customWidth="1"/>
    <col min="6653" max="6654" width="12.81640625" customWidth="1"/>
    <col min="6656" max="6656" width="11.90625" customWidth="1"/>
    <col min="6659" max="6659" width="11.36328125" customWidth="1"/>
    <col min="6896" max="6896" width="2.7265625" customWidth="1"/>
    <col min="6897" max="6897" width="24.453125" customWidth="1"/>
    <col min="6898" max="6898" width="2.54296875" customWidth="1"/>
    <col min="6899" max="6900" width="12.26953125" customWidth="1"/>
    <col min="6902" max="6902" width="20.1796875" customWidth="1"/>
    <col min="6904" max="6904" width="4.6328125" customWidth="1"/>
    <col min="6905" max="6905" width="11.36328125" customWidth="1"/>
    <col min="6906" max="6906" width="3.453125" customWidth="1"/>
    <col min="6907" max="6907" width="26.90625" customWidth="1"/>
    <col min="6908" max="6908" width="2.54296875" customWidth="1"/>
    <col min="6909" max="6910" width="12.81640625" customWidth="1"/>
    <col min="6912" max="6912" width="11.90625" customWidth="1"/>
    <col min="6915" max="6915" width="11.36328125" customWidth="1"/>
    <col min="7152" max="7152" width="2.7265625" customWidth="1"/>
    <col min="7153" max="7153" width="24.453125" customWidth="1"/>
    <col min="7154" max="7154" width="2.54296875" customWidth="1"/>
    <col min="7155" max="7156" width="12.26953125" customWidth="1"/>
    <col min="7158" max="7158" width="20.1796875" customWidth="1"/>
    <col min="7160" max="7160" width="4.6328125" customWidth="1"/>
    <col min="7161" max="7161" width="11.36328125" customWidth="1"/>
    <col min="7162" max="7162" width="3.453125" customWidth="1"/>
    <col min="7163" max="7163" width="26.90625" customWidth="1"/>
    <col min="7164" max="7164" width="2.54296875" customWidth="1"/>
    <col min="7165" max="7166" width="12.81640625" customWidth="1"/>
    <col min="7168" max="7168" width="11.90625" customWidth="1"/>
    <col min="7171" max="7171" width="11.36328125" customWidth="1"/>
    <col min="7408" max="7408" width="2.7265625" customWidth="1"/>
    <col min="7409" max="7409" width="24.453125" customWidth="1"/>
    <col min="7410" max="7410" width="2.54296875" customWidth="1"/>
    <col min="7411" max="7412" width="12.26953125" customWidth="1"/>
    <col min="7414" max="7414" width="20.1796875" customWidth="1"/>
    <col min="7416" max="7416" width="4.6328125" customWidth="1"/>
    <col min="7417" max="7417" width="11.36328125" customWidth="1"/>
    <col min="7418" max="7418" width="3.453125" customWidth="1"/>
    <col min="7419" max="7419" width="26.90625" customWidth="1"/>
    <col min="7420" max="7420" width="2.54296875" customWidth="1"/>
    <col min="7421" max="7422" width="12.81640625" customWidth="1"/>
    <col min="7424" max="7424" width="11.90625" customWidth="1"/>
    <col min="7427" max="7427" width="11.36328125" customWidth="1"/>
    <col min="7664" max="7664" width="2.7265625" customWidth="1"/>
    <col min="7665" max="7665" width="24.453125" customWidth="1"/>
    <col min="7666" max="7666" width="2.54296875" customWidth="1"/>
    <col min="7667" max="7668" width="12.26953125" customWidth="1"/>
    <col min="7670" max="7670" width="20.1796875" customWidth="1"/>
    <col min="7672" max="7672" width="4.6328125" customWidth="1"/>
    <col min="7673" max="7673" width="11.36328125" customWidth="1"/>
    <col min="7674" max="7674" width="3.453125" customWidth="1"/>
    <col min="7675" max="7675" width="26.90625" customWidth="1"/>
    <col min="7676" max="7676" width="2.54296875" customWidth="1"/>
    <col min="7677" max="7678" width="12.81640625" customWidth="1"/>
    <col min="7680" max="7680" width="11.90625" customWidth="1"/>
    <col min="7683" max="7683" width="11.36328125" customWidth="1"/>
    <col min="7920" max="7920" width="2.7265625" customWidth="1"/>
    <col min="7921" max="7921" width="24.453125" customWidth="1"/>
    <col min="7922" max="7922" width="2.54296875" customWidth="1"/>
    <col min="7923" max="7924" width="12.26953125" customWidth="1"/>
    <col min="7926" max="7926" width="20.1796875" customWidth="1"/>
    <col min="7928" max="7928" width="4.6328125" customWidth="1"/>
    <col min="7929" max="7929" width="11.36328125" customWidth="1"/>
    <col min="7930" max="7930" width="3.453125" customWidth="1"/>
    <col min="7931" max="7931" width="26.90625" customWidth="1"/>
    <col min="7932" max="7932" width="2.54296875" customWidth="1"/>
    <col min="7933" max="7934" width="12.81640625" customWidth="1"/>
    <col min="7936" max="7936" width="11.90625" customWidth="1"/>
    <col min="7939" max="7939" width="11.36328125" customWidth="1"/>
    <col min="8176" max="8176" width="2.7265625" customWidth="1"/>
    <col min="8177" max="8177" width="24.453125" customWidth="1"/>
    <col min="8178" max="8178" width="2.54296875" customWidth="1"/>
    <col min="8179" max="8180" width="12.26953125" customWidth="1"/>
    <col min="8182" max="8182" width="20.1796875" customWidth="1"/>
    <col min="8184" max="8184" width="4.6328125" customWidth="1"/>
    <col min="8185" max="8185" width="11.36328125" customWidth="1"/>
    <col min="8186" max="8186" width="3.453125" customWidth="1"/>
    <col min="8187" max="8187" width="26.90625" customWidth="1"/>
    <col min="8188" max="8188" width="2.54296875" customWidth="1"/>
    <col min="8189" max="8190" width="12.81640625" customWidth="1"/>
    <col min="8192" max="8192" width="11.90625" customWidth="1"/>
    <col min="8195" max="8195" width="11.36328125" customWidth="1"/>
    <col min="8432" max="8432" width="2.7265625" customWidth="1"/>
    <col min="8433" max="8433" width="24.453125" customWidth="1"/>
    <col min="8434" max="8434" width="2.54296875" customWidth="1"/>
    <col min="8435" max="8436" width="12.26953125" customWidth="1"/>
    <col min="8438" max="8438" width="20.1796875" customWidth="1"/>
    <col min="8440" max="8440" width="4.6328125" customWidth="1"/>
    <col min="8441" max="8441" width="11.36328125" customWidth="1"/>
    <col min="8442" max="8442" width="3.453125" customWidth="1"/>
    <col min="8443" max="8443" width="26.90625" customWidth="1"/>
    <col min="8444" max="8444" width="2.54296875" customWidth="1"/>
    <col min="8445" max="8446" width="12.81640625" customWidth="1"/>
    <col min="8448" max="8448" width="11.90625" customWidth="1"/>
    <col min="8451" max="8451" width="11.36328125" customWidth="1"/>
    <col min="8688" max="8688" width="2.7265625" customWidth="1"/>
    <col min="8689" max="8689" width="24.453125" customWidth="1"/>
    <col min="8690" max="8690" width="2.54296875" customWidth="1"/>
    <col min="8691" max="8692" width="12.26953125" customWidth="1"/>
    <col min="8694" max="8694" width="20.1796875" customWidth="1"/>
    <col min="8696" max="8696" width="4.6328125" customWidth="1"/>
    <col min="8697" max="8697" width="11.36328125" customWidth="1"/>
    <col min="8698" max="8698" width="3.453125" customWidth="1"/>
    <col min="8699" max="8699" width="26.90625" customWidth="1"/>
    <col min="8700" max="8700" width="2.54296875" customWidth="1"/>
    <col min="8701" max="8702" width="12.81640625" customWidth="1"/>
    <col min="8704" max="8704" width="11.90625" customWidth="1"/>
    <col min="8707" max="8707" width="11.36328125" customWidth="1"/>
    <col min="8944" max="8944" width="2.7265625" customWidth="1"/>
    <col min="8945" max="8945" width="24.453125" customWidth="1"/>
    <col min="8946" max="8946" width="2.54296875" customWidth="1"/>
    <col min="8947" max="8948" width="12.26953125" customWidth="1"/>
    <col min="8950" max="8950" width="20.1796875" customWidth="1"/>
    <col min="8952" max="8952" width="4.6328125" customWidth="1"/>
    <col min="8953" max="8953" width="11.36328125" customWidth="1"/>
    <col min="8954" max="8954" width="3.453125" customWidth="1"/>
    <col min="8955" max="8955" width="26.90625" customWidth="1"/>
    <col min="8956" max="8956" width="2.54296875" customWidth="1"/>
    <col min="8957" max="8958" width="12.81640625" customWidth="1"/>
    <col min="8960" max="8960" width="11.90625" customWidth="1"/>
    <col min="8963" max="8963" width="11.36328125" customWidth="1"/>
    <col min="9200" max="9200" width="2.7265625" customWidth="1"/>
    <col min="9201" max="9201" width="24.453125" customWidth="1"/>
    <col min="9202" max="9202" width="2.54296875" customWidth="1"/>
    <col min="9203" max="9204" width="12.26953125" customWidth="1"/>
    <col min="9206" max="9206" width="20.1796875" customWidth="1"/>
    <col min="9208" max="9208" width="4.6328125" customWidth="1"/>
    <col min="9209" max="9209" width="11.36328125" customWidth="1"/>
    <col min="9210" max="9210" width="3.453125" customWidth="1"/>
    <col min="9211" max="9211" width="26.90625" customWidth="1"/>
    <col min="9212" max="9212" width="2.54296875" customWidth="1"/>
    <col min="9213" max="9214" width="12.81640625" customWidth="1"/>
    <col min="9216" max="9216" width="11.90625" customWidth="1"/>
    <col min="9219" max="9219" width="11.36328125" customWidth="1"/>
    <col min="9456" max="9456" width="2.7265625" customWidth="1"/>
    <col min="9457" max="9457" width="24.453125" customWidth="1"/>
    <col min="9458" max="9458" width="2.54296875" customWidth="1"/>
    <col min="9459" max="9460" width="12.26953125" customWidth="1"/>
    <col min="9462" max="9462" width="20.1796875" customWidth="1"/>
    <col min="9464" max="9464" width="4.6328125" customWidth="1"/>
    <col min="9465" max="9465" width="11.36328125" customWidth="1"/>
    <col min="9466" max="9466" width="3.453125" customWidth="1"/>
    <col min="9467" max="9467" width="26.90625" customWidth="1"/>
    <col min="9468" max="9468" width="2.54296875" customWidth="1"/>
    <col min="9469" max="9470" width="12.81640625" customWidth="1"/>
    <col min="9472" max="9472" width="11.90625" customWidth="1"/>
    <col min="9475" max="9475" width="11.36328125" customWidth="1"/>
    <col min="9712" max="9712" width="2.7265625" customWidth="1"/>
    <col min="9713" max="9713" width="24.453125" customWidth="1"/>
    <col min="9714" max="9714" width="2.54296875" customWidth="1"/>
    <col min="9715" max="9716" width="12.26953125" customWidth="1"/>
    <col min="9718" max="9718" width="20.1796875" customWidth="1"/>
    <col min="9720" max="9720" width="4.6328125" customWidth="1"/>
    <col min="9721" max="9721" width="11.36328125" customWidth="1"/>
    <col min="9722" max="9722" width="3.453125" customWidth="1"/>
    <col min="9723" max="9723" width="26.90625" customWidth="1"/>
    <col min="9724" max="9724" width="2.54296875" customWidth="1"/>
    <col min="9725" max="9726" width="12.81640625" customWidth="1"/>
    <col min="9728" max="9728" width="11.90625" customWidth="1"/>
    <col min="9731" max="9731" width="11.36328125" customWidth="1"/>
    <col min="9968" max="9968" width="2.7265625" customWidth="1"/>
    <col min="9969" max="9969" width="24.453125" customWidth="1"/>
    <col min="9970" max="9970" width="2.54296875" customWidth="1"/>
    <col min="9971" max="9972" width="12.26953125" customWidth="1"/>
    <col min="9974" max="9974" width="20.1796875" customWidth="1"/>
    <col min="9976" max="9976" width="4.6328125" customWidth="1"/>
    <col min="9977" max="9977" width="11.36328125" customWidth="1"/>
    <col min="9978" max="9978" width="3.453125" customWidth="1"/>
    <col min="9979" max="9979" width="26.90625" customWidth="1"/>
    <col min="9980" max="9980" width="2.54296875" customWidth="1"/>
    <col min="9981" max="9982" width="12.81640625" customWidth="1"/>
    <col min="9984" max="9984" width="11.90625" customWidth="1"/>
    <col min="9987" max="9987" width="11.36328125" customWidth="1"/>
    <col min="10224" max="10224" width="2.7265625" customWidth="1"/>
    <col min="10225" max="10225" width="24.453125" customWidth="1"/>
    <col min="10226" max="10226" width="2.54296875" customWidth="1"/>
    <col min="10227" max="10228" width="12.26953125" customWidth="1"/>
    <col min="10230" max="10230" width="20.1796875" customWidth="1"/>
    <col min="10232" max="10232" width="4.6328125" customWidth="1"/>
    <col min="10233" max="10233" width="11.36328125" customWidth="1"/>
    <col min="10234" max="10234" width="3.453125" customWidth="1"/>
    <col min="10235" max="10235" width="26.90625" customWidth="1"/>
    <col min="10236" max="10236" width="2.54296875" customWidth="1"/>
    <col min="10237" max="10238" width="12.81640625" customWidth="1"/>
    <col min="10240" max="10240" width="11.90625" customWidth="1"/>
    <col min="10243" max="10243" width="11.36328125" customWidth="1"/>
    <col min="10480" max="10480" width="2.7265625" customWidth="1"/>
    <col min="10481" max="10481" width="24.453125" customWidth="1"/>
    <col min="10482" max="10482" width="2.54296875" customWidth="1"/>
    <col min="10483" max="10484" width="12.26953125" customWidth="1"/>
    <col min="10486" max="10486" width="20.1796875" customWidth="1"/>
    <col min="10488" max="10488" width="4.6328125" customWidth="1"/>
    <col min="10489" max="10489" width="11.36328125" customWidth="1"/>
    <col min="10490" max="10490" width="3.453125" customWidth="1"/>
    <col min="10491" max="10491" width="26.90625" customWidth="1"/>
    <col min="10492" max="10492" width="2.54296875" customWidth="1"/>
    <col min="10493" max="10494" width="12.81640625" customWidth="1"/>
    <col min="10496" max="10496" width="11.90625" customWidth="1"/>
    <col min="10499" max="10499" width="11.36328125" customWidth="1"/>
    <col min="10736" max="10736" width="2.7265625" customWidth="1"/>
    <col min="10737" max="10737" width="24.453125" customWidth="1"/>
    <col min="10738" max="10738" width="2.54296875" customWidth="1"/>
    <col min="10739" max="10740" width="12.26953125" customWidth="1"/>
    <col min="10742" max="10742" width="20.1796875" customWidth="1"/>
    <col min="10744" max="10744" width="4.6328125" customWidth="1"/>
    <col min="10745" max="10745" width="11.36328125" customWidth="1"/>
    <col min="10746" max="10746" width="3.453125" customWidth="1"/>
    <col min="10747" max="10747" width="26.90625" customWidth="1"/>
    <col min="10748" max="10748" width="2.54296875" customWidth="1"/>
    <col min="10749" max="10750" width="12.81640625" customWidth="1"/>
    <col min="10752" max="10752" width="11.90625" customWidth="1"/>
    <col min="10755" max="10755" width="11.36328125" customWidth="1"/>
    <col min="10992" max="10992" width="2.7265625" customWidth="1"/>
    <col min="10993" max="10993" width="24.453125" customWidth="1"/>
    <col min="10994" max="10994" width="2.54296875" customWidth="1"/>
    <col min="10995" max="10996" width="12.26953125" customWidth="1"/>
    <col min="10998" max="10998" width="20.1796875" customWidth="1"/>
    <col min="11000" max="11000" width="4.6328125" customWidth="1"/>
    <col min="11001" max="11001" width="11.36328125" customWidth="1"/>
    <col min="11002" max="11002" width="3.453125" customWidth="1"/>
    <col min="11003" max="11003" width="26.90625" customWidth="1"/>
    <col min="11004" max="11004" width="2.54296875" customWidth="1"/>
    <col min="11005" max="11006" width="12.81640625" customWidth="1"/>
    <col min="11008" max="11008" width="11.90625" customWidth="1"/>
    <col min="11011" max="11011" width="11.36328125" customWidth="1"/>
    <col min="11248" max="11248" width="2.7265625" customWidth="1"/>
    <col min="11249" max="11249" width="24.453125" customWidth="1"/>
    <col min="11250" max="11250" width="2.54296875" customWidth="1"/>
    <col min="11251" max="11252" width="12.26953125" customWidth="1"/>
    <col min="11254" max="11254" width="20.1796875" customWidth="1"/>
    <col min="11256" max="11256" width="4.6328125" customWidth="1"/>
    <col min="11257" max="11257" width="11.36328125" customWidth="1"/>
    <col min="11258" max="11258" width="3.453125" customWidth="1"/>
    <col min="11259" max="11259" width="26.90625" customWidth="1"/>
    <col min="11260" max="11260" width="2.54296875" customWidth="1"/>
    <col min="11261" max="11262" width="12.81640625" customWidth="1"/>
    <col min="11264" max="11264" width="11.90625" customWidth="1"/>
    <col min="11267" max="11267" width="11.36328125" customWidth="1"/>
    <col min="11504" max="11504" width="2.7265625" customWidth="1"/>
    <col min="11505" max="11505" width="24.453125" customWidth="1"/>
    <col min="11506" max="11506" width="2.54296875" customWidth="1"/>
    <col min="11507" max="11508" width="12.26953125" customWidth="1"/>
    <col min="11510" max="11510" width="20.1796875" customWidth="1"/>
    <col min="11512" max="11512" width="4.6328125" customWidth="1"/>
    <col min="11513" max="11513" width="11.36328125" customWidth="1"/>
    <col min="11514" max="11514" width="3.453125" customWidth="1"/>
    <col min="11515" max="11515" width="26.90625" customWidth="1"/>
    <col min="11516" max="11516" width="2.54296875" customWidth="1"/>
    <col min="11517" max="11518" width="12.81640625" customWidth="1"/>
    <col min="11520" max="11520" width="11.90625" customWidth="1"/>
    <col min="11523" max="11523" width="11.36328125" customWidth="1"/>
    <col min="11760" max="11760" width="2.7265625" customWidth="1"/>
    <col min="11761" max="11761" width="24.453125" customWidth="1"/>
    <col min="11762" max="11762" width="2.54296875" customWidth="1"/>
    <col min="11763" max="11764" width="12.26953125" customWidth="1"/>
    <col min="11766" max="11766" width="20.1796875" customWidth="1"/>
    <col min="11768" max="11768" width="4.6328125" customWidth="1"/>
    <col min="11769" max="11769" width="11.36328125" customWidth="1"/>
    <col min="11770" max="11770" width="3.453125" customWidth="1"/>
    <col min="11771" max="11771" width="26.90625" customWidth="1"/>
    <col min="11772" max="11772" width="2.54296875" customWidth="1"/>
    <col min="11773" max="11774" width="12.81640625" customWidth="1"/>
    <col min="11776" max="11776" width="11.90625" customWidth="1"/>
    <col min="11779" max="11779" width="11.36328125" customWidth="1"/>
    <col min="12016" max="12016" width="2.7265625" customWidth="1"/>
    <col min="12017" max="12017" width="24.453125" customWidth="1"/>
    <col min="12018" max="12018" width="2.54296875" customWidth="1"/>
    <col min="12019" max="12020" width="12.26953125" customWidth="1"/>
    <col min="12022" max="12022" width="20.1796875" customWidth="1"/>
    <col min="12024" max="12024" width="4.6328125" customWidth="1"/>
    <col min="12025" max="12025" width="11.36328125" customWidth="1"/>
    <col min="12026" max="12026" width="3.453125" customWidth="1"/>
    <col min="12027" max="12027" width="26.90625" customWidth="1"/>
    <col min="12028" max="12028" width="2.54296875" customWidth="1"/>
    <col min="12029" max="12030" width="12.81640625" customWidth="1"/>
    <col min="12032" max="12032" width="11.90625" customWidth="1"/>
    <col min="12035" max="12035" width="11.36328125" customWidth="1"/>
    <col min="12272" max="12272" width="2.7265625" customWidth="1"/>
    <col min="12273" max="12273" width="24.453125" customWidth="1"/>
    <col min="12274" max="12274" width="2.54296875" customWidth="1"/>
    <col min="12275" max="12276" width="12.26953125" customWidth="1"/>
    <col min="12278" max="12278" width="20.1796875" customWidth="1"/>
    <col min="12280" max="12280" width="4.6328125" customWidth="1"/>
    <col min="12281" max="12281" width="11.36328125" customWidth="1"/>
    <col min="12282" max="12282" width="3.453125" customWidth="1"/>
    <col min="12283" max="12283" width="26.90625" customWidth="1"/>
    <col min="12284" max="12284" width="2.54296875" customWidth="1"/>
    <col min="12285" max="12286" width="12.81640625" customWidth="1"/>
    <col min="12288" max="12288" width="11.90625" customWidth="1"/>
    <col min="12291" max="12291" width="11.36328125" customWidth="1"/>
    <col min="12528" max="12528" width="2.7265625" customWidth="1"/>
    <col min="12529" max="12529" width="24.453125" customWidth="1"/>
    <col min="12530" max="12530" width="2.54296875" customWidth="1"/>
    <col min="12531" max="12532" width="12.26953125" customWidth="1"/>
    <col min="12534" max="12534" width="20.1796875" customWidth="1"/>
    <col min="12536" max="12536" width="4.6328125" customWidth="1"/>
    <col min="12537" max="12537" width="11.36328125" customWidth="1"/>
    <col min="12538" max="12538" width="3.453125" customWidth="1"/>
    <col min="12539" max="12539" width="26.90625" customWidth="1"/>
    <col min="12540" max="12540" width="2.54296875" customWidth="1"/>
    <col min="12541" max="12542" width="12.81640625" customWidth="1"/>
    <col min="12544" max="12544" width="11.90625" customWidth="1"/>
    <col min="12547" max="12547" width="11.36328125" customWidth="1"/>
    <col min="12784" max="12784" width="2.7265625" customWidth="1"/>
    <col min="12785" max="12785" width="24.453125" customWidth="1"/>
    <col min="12786" max="12786" width="2.54296875" customWidth="1"/>
    <col min="12787" max="12788" width="12.26953125" customWidth="1"/>
    <col min="12790" max="12790" width="20.1796875" customWidth="1"/>
    <col min="12792" max="12792" width="4.6328125" customWidth="1"/>
    <col min="12793" max="12793" width="11.36328125" customWidth="1"/>
    <col min="12794" max="12794" width="3.453125" customWidth="1"/>
    <col min="12795" max="12795" width="26.90625" customWidth="1"/>
    <col min="12796" max="12796" width="2.54296875" customWidth="1"/>
    <col min="12797" max="12798" width="12.81640625" customWidth="1"/>
    <col min="12800" max="12800" width="11.90625" customWidth="1"/>
    <col min="12803" max="12803" width="11.36328125" customWidth="1"/>
    <col min="13040" max="13040" width="2.7265625" customWidth="1"/>
    <col min="13041" max="13041" width="24.453125" customWidth="1"/>
    <col min="13042" max="13042" width="2.54296875" customWidth="1"/>
    <col min="13043" max="13044" width="12.26953125" customWidth="1"/>
    <col min="13046" max="13046" width="20.1796875" customWidth="1"/>
    <col min="13048" max="13048" width="4.6328125" customWidth="1"/>
    <col min="13049" max="13049" width="11.36328125" customWidth="1"/>
    <col min="13050" max="13050" width="3.453125" customWidth="1"/>
    <col min="13051" max="13051" width="26.90625" customWidth="1"/>
    <col min="13052" max="13052" width="2.54296875" customWidth="1"/>
    <col min="13053" max="13054" width="12.81640625" customWidth="1"/>
    <col min="13056" max="13056" width="11.90625" customWidth="1"/>
    <col min="13059" max="13059" width="11.36328125" customWidth="1"/>
    <col min="13296" max="13296" width="2.7265625" customWidth="1"/>
    <col min="13297" max="13297" width="24.453125" customWidth="1"/>
    <col min="13298" max="13298" width="2.54296875" customWidth="1"/>
    <col min="13299" max="13300" width="12.26953125" customWidth="1"/>
    <col min="13302" max="13302" width="20.1796875" customWidth="1"/>
    <col min="13304" max="13304" width="4.6328125" customWidth="1"/>
    <col min="13305" max="13305" width="11.36328125" customWidth="1"/>
    <col min="13306" max="13306" width="3.453125" customWidth="1"/>
    <col min="13307" max="13307" width="26.90625" customWidth="1"/>
    <col min="13308" max="13308" width="2.54296875" customWidth="1"/>
    <col min="13309" max="13310" width="12.81640625" customWidth="1"/>
    <col min="13312" max="13312" width="11.90625" customWidth="1"/>
    <col min="13315" max="13315" width="11.36328125" customWidth="1"/>
    <col min="13552" max="13552" width="2.7265625" customWidth="1"/>
    <col min="13553" max="13553" width="24.453125" customWidth="1"/>
    <col min="13554" max="13554" width="2.54296875" customWidth="1"/>
    <col min="13555" max="13556" width="12.26953125" customWidth="1"/>
    <col min="13558" max="13558" width="20.1796875" customWidth="1"/>
    <col min="13560" max="13560" width="4.6328125" customWidth="1"/>
    <col min="13561" max="13561" width="11.36328125" customWidth="1"/>
    <col min="13562" max="13562" width="3.453125" customWidth="1"/>
    <col min="13563" max="13563" width="26.90625" customWidth="1"/>
    <col min="13564" max="13564" width="2.54296875" customWidth="1"/>
    <col min="13565" max="13566" width="12.81640625" customWidth="1"/>
    <col min="13568" max="13568" width="11.90625" customWidth="1"/>
    <col min="13571" max="13571" width="11.36328125" customWidth="1"/>
    <col min="13808" max="13808" width="2.7265625" customWidth="1"/>
    <col min="13809" max="13809" width="24.453125" customWidth="1"/>
    <col min="13810" max="13810" width="2.54296875" customWidth="1"/>
    <col min="13811" max="13812" width="12.26953125" customWidth="1"/>
    <col min="13814" max="13814" width="20.1796875" customWidth="1"/>
    <col min="13816" max="13816" width="4.6328125" customWidth="1"/>
    <col min="13817" max="13817" width="11.36328125" customWidth="1"/>
    <col min="13818" max="13818" width="3.453125" customWidth="1"/>
    <col min="13819" max="13819" width="26.90625" customWidth="1"/>
    <col min="13820" max="13820" width="2.54296875" customWidth="1"/>
    <col min="13821" max="13822" width="12.81640625" customWidth="1"/>
    <col min="13824" max="13824" width="11.90625" customWidth="1"/>
    <col min="13827" max="13827" width="11.36328125" customWidth="1"/>
    <col min="14064" max="14064" width="2.7265625" customWidth="1"/>
    <col min="14065" max="14065" width="24.453125" customWidth="1"/>
    <col min="14066" max="14066" width="2.54296875" customWidth="1"/>
    <col min="14067" max="14068" width="12.26953125" customWidth="1"/>
    <col min="14070" max="14070" width="20.1796875" customWidth="1"/>
    <col min="14072" max="14072" width="4.6328125" customWidth="1"/>
    <col min="14073" max="14073" width="11.36328125" customWidth="1"/>
    <col min="14074" max="14074" width="3.453125" customWidth="1"/>
    <col min="14075" max="14075" width="26.90625" customWidth="1"/>
    <col min="14076" max="14076" width="2.54296875" customWidth="1"/>
    <col min="14077" max="14078" width="12.81640625" customWidth="1"/>
    <col min="14080" max="14080" width="11.90625" customWidth="1"/>
    <col min="14083" max="14083" width="11.36328125" customWidth="1"/>
    <col min="14320" max="14320" width="2.7265625" customWidth="1"/>
    <col min="14321" max="14321" width="24.453125" customWidth="1"/>
    <col min="14322" max="14322" width="2.54296875" customWidth="1"/>
    <col min="14323" max="14324" width="12.26953125" customWidth="1"/>
    <col min="14326" max="14326" width="20.1796875" customWidth="1"/>
    <col min="14328" max="14328" width="4.6328125" customWidth="1"/>
    <col min="14329" max="14329" width="11.36328125" customWidth="1"/>
    <col min="14330" max="14330" width="3.453125" customWidth="1"/>
    <col min="14331" max="14331" width="26.90625" customWidth="1"/>
    <col min="14332" max="14332" width="2.54296875" customWidth="1"/>
    <col min="14333" max="14334" width="12.81640625" customWidth="1"/>
    <col min="14336" max="14336" width="11.90625" customWidth="1"/>
    <col min="14339" max="14339" width="11.36328125" customWidth="1"/>
    <col min="14576" max="14576" width="2.7265625" customWidth="1"/>
    <col min="14577" max="14577" width="24.453125" customWidth="1"/>
    <col min="14578" max="14578" width="2.54296875" customWidth="1"/>
    <col min="14579" max="14580" width="12.26953125" customWidth="1"/>
    <col min="14582" max="14582" width="20.1796875" customWidth="1"/>
    <col min="14584" max="14584" width="4.6328125" customWidth="1"/>
    <col min="14585" max="14585" width="11.36328125" customWidth="1"/>
    <col min="14586" max="14586" width="3.453125" customWidth="1"/>
    <col min="14587" max="14587" width="26.90625" customWidth="1"/>
    <col min="14588" max="14588" width="2.54296875" customWidth="1"/>
    <col min="14589" max="14590" width="12.81640625" customWidth="1"/>
    <col min="14592" max="14592" width="11.90625" customWidth="1"/>
    <col min="14595" max="14595" width="11.36328125" customWidth="1"/>
    <col min="14832" max="14832" width="2.7265625" customWidth="1"/>
    <col min="14833" max="14833" width="24.453125" customWidth="1"/>
    <col min="14834" max="14834" width="2.54296875" customWidth="1"/>
    <col min="14835" max="14836" width="12.26953125" customWidth="1"/>
    <col min="14838" max="14838" width="20.1796875" customWidth="1"/>
    <col min="14840" max="14840" width="4.6328125" customWidth="1"/>
    <col min="14841" max="14841" width="11.36328125" customWidth="1"/>
    <col min="14842" max="14842" width="3.453125" customWidth="1"/>
    <col min="14843" max="14843" width="26.90625" customWidth="1"/>
    <col min="14844" max="14844" width="2.54296875" customWidth="1"/>
    <col min="14845" max="14846" width="12.81640625" customWidth="1"/>
    <col min="14848" max="14848" width="11.90625" customWidth="1"/>
    <col min="14851" max="14851" width="11.36328125" customWidth="1"/>
    <col min="15088" max="15088" width="2.7265625" customWidth="1"/>
    <col min="15089" max="15089" width="24.453125" customWidth="1"/>
    <col min="15090" max="15090" width="2.54296875" customWidth="1"/>
    <col min="15091" max="15092" width="12.26953125" customWidth="1"/>
    <col min="15094" max="15094" width="20.1796875" customWidth="1"/>
    <col min="15096" max="15096" width="4.6328125" customWidth="1"/>
    <col min="15097" max="15097" width="11.36328125" customWidth="1"/>
    <col min="15098" max="15098" width="3.453125" customWidth="1"/>
    <col min="15099" max="15099" width="26.90625" customWidth="1"/>
    <col min="15100" max="15100" width="2.54296875" customWidth="1"/>
    <col min="15101" max="15102" width="12.81640625" customWidth="1"/>
    <col min="15104" max="15104" width="11.90625" customWidth="1"/>
    <col min="15107" max="15107" width="11.36328125" customWidth="1"/>
    <col min="15344" max="15344" width="2.7265625" customWidth="1"/>
    <col min="15345" max="15345" width="24.453125" customWidth="1"/>
    <col min="15346" max="15346" width="2.54296875" customWidth="1"/>
    <col min="15347" max="15348" width="12.26953125" customWidth="1"/>
    <col min="15350" max="15350" width="20.1796875" customWidth="1"/>
    <col min="15352" max="15352" width="4.6328125" customWidth="1"/>
    <col min="15353" max="15353" width="11.36328125" customWidth="1"/>
    <col min="15354" max="15354" width="3.453125" customWidth="1"/>
    <col min="15355" max="15355" width="26.90625" customWidth="1"/>
    <col min="15356" max="15356" width="2.54296875" customWidth="1"/>
    <col min="15357" max="15358" width="12.81640625" customWidth="1"/>
    <col min="15360" max="15360" width="11.90625" customWidth="1"/>
    <col min="15363" max="15363" width="11.36328125" customWidth="1"/>
    <col min="15600" max="15600" width="2.7265625" customWidth="1"/>
    <col min="15601" max="15601" width="24.453125" customWidth="1"/>
    <col min="15602" max="15602" width="2.54296875" customWidth="1"/>
    <col min="15603" max="15604" width="12.26953125" customWidth="1"/>
    <col min="15606" max="15606" width="20.1796875" customWidth="1"/>
    <col min="15608" max="15608" width="4.6328125" customWidth="1"/>
    <col min="15609" max="15609" width="11.36328125" customWidth="1"/>
    <col min="15610" max="15610" width="3.453125" customWidth="1"/>
    <col min="15611" max="15611" width="26.90625" customWidth="1"/>
    <col min="15612" max="15612" width="2.54296875" customWidth="1"/>
    <col min="15613" max="15614" width="12.81640625" customWidth="1"/>
    <col min="15616" max="15616" width="11.90625" customWidth="1"/>
    <col min="15619" max="15619" width="11.36328125" customWidth="1"/>
    <col min="15856" max="15856" width="2.7265625" customWidth="1"/>
    <col min="15857" max="15857" width="24.453125" customWidth="1"/>
    <col min="15858" max="15858" width="2.54296875" customWidth="1"/>
    <col min="15859" max="15860" width="12.26953125" customWidth="1"/>
    <col min="15862" max="15862" width="20.1796875" customWidth="1"/>
    <col min="15864" max="15864" width="4.6328125" customWidth="1"/>
    <col min="15865" max="15865" width="11.36328125" customWidth="1"/>
    <col min="15866" max="15866" width="3.453125" customWidth="1"/>
    <col min="15867" max="15867" width="26.90625" customWidth="1"/>
    <col min="15868" max="15868" width="2.54296875" customWidth="1"/>
    <col min="15869" max="15870" width="12.81640625" customWidth="1"/>
    <col min="15872" max="15872" width="11.90625" customWidth="1"/>
    <col min="15875" max="15875" width="11.36328125" customWidth="1"/>
    <col min="16112" max="16112" width="2.7265625" customWidth="1"/>
    <col min="16113" max="16113" width="24.453125" customWidth="1"/>
    <col min="16114" max="16114" width="2.54296875" customWidth="1"/>
    <col min="16115" max="16116" width="12.26953125" customWidth="1"/>
    <col min="16118" max="16118" width="20.1796875" customWidth="1"/>
    <col min="16120" max="16120" width="4.6328125" customWidth="1"/>
    <col min="16121" max="16121" width="11.36328125" customWidth="1"/>
    <col min="16122" max="16122" width="3.453125" customWidth="1"/>
    <col min="16123" max="16123" width="26.90625" customWidth="1"/>
    <col min="16124" max="16124" width="2.54296875" customWidth="1"/>
    <col min="16125" max="16126" width="12.81640625" customWidth="1"/>
    <col min="16128" max="16128" width="11.90625" customWidth="1"/>
    <col min="16131" max="16131" width="11.36328125" customWidth="1"/>
  </cols>
  <sheetData>
    <row r="1" spans="1:31" ht="15" thickBot="1" x14ac:dyDescent="0.4">
      <c r="A1" t="str">
        <f>+INTRODUCTION!A1</f>
        <v>BARUCH COLLEGE - MS FIN9793 MIDTERM EXAM</v>
      </c>
      <c r="AA1" t="s">
        <v>97</v>
      </c>
    </row>
    <row r="2" spans="1:31" ht="22.5" customHeight="1" thickBot="1" x14ac:dyDescent="0.55000000000000004">
      <c r="B2" s="50" t="s">
        <v>96</v>
      </c>
      <c r="C2" s="451" t="str">
        <f>+INTRODUCTION!H4&amp;", "&amp;INTRODUCTION!C4</f>
        <v xml:space="preserve">, </v>
      </c>
      <c r="D2" s="452"/>
      <c r="E2" s="452"/>
      <c r="F2" s="452"/>
      <c r="G2" s="452"/>
      <c r="H2" s="453"/>
      <c r="J2" s="71">
        <f>IF(SUM(D52:D90)&gt;0,1,0)</f>
        <v>1</v>
      </c>
    </row>
    <row r="3" spans="1:31" ht="11" customHeight="1" x14ac:dyDescent="0.35">
      <c r="B3" s="51"/>
      <c r="C3" s="50"/>
      <c r="D3" s="52"/>
      <c r="E3" s="52"/>
      <c r="F3" s="52"/>
      <c r="G3" s="52"/>
      <c r="H3" s="52"/>
      <c r="AA3" s="28"/>
    </row>
    <row r="4" spans="1:31" ht="15.5" x14ac:dyDescent="0.35">
      <c r="B4" s="19" t="s">
        <v>226</v>
      </c>
      <c r="C4" s="20"/>
      <c r="D4" s="53"/>
      <c r="E4" s="53"/>
      <c r="F4" s="53"/>
      <c r="G4" s="53"/>
      <c r="H4" s="53"/>
    </row>
    <row r="5" spans="1:31" x14ac:dyDescent="0.35">
      <c r="B5" s="6" t="s">
        <v>69</v>
      </c>
    </row>
    <row r="7" spans="1:31" s="56" customFormat="1" ht="19" customHeight="1" thickBot="1" x14ac:dyDescent="0.4">
      <c r="B7" s="287" t="s">
        <v>0</v>
      </c>
      <c r="C7" s="288" t="s">
        <v>72</v>
      </c>
      <c r="D7" s="288" t="s">
        <v>73</v>
      </c>
      <c r="E7" s="55"/>
      <c r="F7" s="287" t="s">
        <v>2</v>
      </c>
      <c r="G7" s="288" t="str">
        <f>+C7</f>
        <v>Year 1</v>
      </c>
      <c r="H7" s="288" t="str">
        <f>+D7</f>
        <v>Year 2</v>
      </c>
    </row>
    <row r="8" spans="1:31" ht="15" thickTop="1" x14ac:dyDescent="0.35">
      <c r="B8" s="152" t="s">
        <v>3</v>
      </c>
      <c r="C8" s="172"/>
      <c r="D8" s="172"/>
      <c r="F8" s="152" t="s">
        <v>4</v>
      </c>
      <c r="G8" s="172"/>
      <c r="H8" s="172"/>
      <c r="AA8" s="7">
        <v>50000</v>
      </c>
      <c r="AB8" s="7">
        <f>+AB46-AB21-AB23-AB24-AB9-AB10-AB11-AB12</f>
        <v>36800</v>
      </c>
      <c r="AD8" s="7">
        <v>300000</v>
      </c>
      <c r="AE8" s="7">
        <v>320000</v>
      </c>
    </row>
    <row r="9" spans="1:31" ht="13.5" customHeight="1" x14ac:dyDescent="0.35">
      <c r="B9" s="126" t="s">
        <v>5</v>
      </c>
      <c r="C9" s="245">
        <f>+'RESTICTED-SUMMARY ANSWERS'!C190</f>
        <v>50000</v>
      </c>
      <c r="D9" s="245">
        <f>+'RESTICTED-SUMMARY ANSWERS'!D190</f>
        <v>36800</v>
      </c>
      <c r="F9" s="172" t="s">
        <v>7</v>
      </c>
      <c r="G9" s="245">
        <f>+'RESTICTED-SUMMARY ANSWERS'!G190</f>
        <v>300000</v>
      </c>
      <c r="H9" s="245">
        <f>+'RESTICTED-SUMMARY ANSWERS'!H190</f>
        <v>320000</v>
      </c>
      <c r="AA9" s="7">
        <v>23500</v>
      </c>
      <c r="AB9" s="7">
        <v>30000</v>
      </c>
      <c r="AD9" s="7">
        <v>180000</v>
      </c>
      <c r="AE9" s="7">
        <v>160000</v>
      </c>
    </row>
    <row r="10" spans="1:31" ht="13.5" customHeight="1" x14ac:dyDescent="0.35">
      <c r="B10" s="126" t="s">
        <v>8</v>
      </c>
      <c r="C10" s="245">
        <f>+'RESTICTED-SUMMARY ANSWERS'!C191</f>
        <v>23500</v>
      </c>
      <c r="D10" s="245">
        <f>+'RESTICTED-SUMMARY ANSWERS'!D191</f>
        <v>30000</v>
      </c>
      <c r="F10" s="172" t="s">
        <v>10</v>
      </c>
      <c r="G10" s="245">
        <f>+'RESTICTED-SUMMARY ANSWERS'!G191</f>
        <v>180000</v>
      </c>
      <c r="H10" s="245">
        <f>+'RESTICTED-SUMMARY ANSWERS'!H191</f>
        <v>160000</v>
      </c>
      <c r="AA10" s="7">
        <v>18000</v>
      </c>
      <c r="AB10" s="7">
        <v>22000</v>
      </c>
      <c r="AD10" s="7">
        <v>120000</v>
      </c>
      <c r="AE10" s="7">
        <v>200000</v>
      </c>
    </row>
    <row r="11" spans="1:31" ht="13.5" customHeight="1" thickBot="1" x14ac:dyDescent="0.4">
      <c r="B11" s="126" t="s">
        <v>11</v>
      </c>
      <c r="C11" s="245">
        <f>+'RESTICTED-SUMMARY ANSWERS'!C192</f>
        <v>18000</v>
      </c>
      <c r="D11" s="245">
        <f>+'RESTICTED-SUMMARY ANSWERS'!D192</f>
        <v>22000</v>
      </c>
      <c r="F11" s="172" t="s">
        <v>13</v>
      </c>
      <c r="G11" s="245">
        <f>+'RESTICTED-SUMMARY ANSWERS'!G192</f>
        <v>120000</v>
      </c>
      <c r="H11" s="245">
        <f>+'RESTICTED-SUMMARY ANSWERS'!H192</f>
        <v>200000</v>
      </c>
      <c r="AA11" s="7">
        <v>5000</v>
      </c>
      <c r="AB11" s="7">
        <v>3000</v>
      </c>
      <c r="AD11" s="9">
        <f>SUM(AD8:AD10)</f>
        <v>600000</v>
      </c>
      <c r="AE11" s="9">
        <f>SUM(AE8:AE10)</f>
        <v>680000</v>
      </c>
    </row>
    <row r="12" spans="1:31" ht="13.5" customHeight="1" thickTop="1" thickBot="1" x14ac:dyDescent="0.4">
      <c r="B12" s="126" t="s">
        <v>14</v>
      </c>
      <c r="C12" s="245">
        <f>+'RESTICTED-SUMMARY ANSWERS'!C193</f>
        <v>5000</v>
      </c>
      <c r="D12" s="245">
        <f>+'RESTICTED-SUMMARY ANSWERS'!D193</f>
        <v>3000</v>
      </c>
      <c r="F12" s="172" t="s">
        <v>16</v>
      </c>
      <c r="G12" s="246">
        <f>SUM(G9:G11)</f>
        <v>600000</v>
      </c>
      <c r="H12" s="246">
        <f>SUM(H9:H11)</f>
        <v>680000</v>
      </c>
      <c r="AA12" s="7">
        <v>3500</v>
      </c>
      <c r="AB12" s="7">
        <v>5000</v>
      </c>
      <c r="AD12" s="8"/>
      <c r="AE12" s="8"/>
    </row>
    <row r="13" spans="1:31" ht="13.5" customHeight="1" thickTop="1" thickBot="1" x14ac:dyDescent="0.4">
      <c r="B13" s="126" t="s">
        <v>70</v>
      </c>
      <c r="C13" s="245">
        <f>+'RESTICTED-SUMMARY ANSWERS'!C194</f>
        <v>3500</v>
      </c>
      <c r="D13" s="245">
        <f>+'RESTICTED-SUMMARY ANSWERS'!D194</f>
        <v>5000</v>
      </c>
      <c r="F13" s="172"/>
      <c r="G13" s="247"/>
      <c r="H13" s="247"/>
      <c r="AA13" s="10">
        <f>SUM(AA8:AA12)</f>
        <v>100000</v>
      </c>
      <c r="AB13" s="10">
        <f>SUM(AB8:AB12)</f>
        <v>96800</v>
      </c>
      <c r="AD13" s="8"/>
      <c r="AE13" s="8"/>
    </row>
    <row r="14" spans="1:31" ht="13.5" customHeight="1" thickTop="1" thickBot="1" x14ac:dyDescent="0.4">
      <c r="B14" s="126" t="s">
        <v>17</v>
      </c>
      <c r="C14" s="248">
        <f>SUM(C9:C13)</f>
        <v>100000</v>
      </c>
      <c r="D14" s="248">
        <f>SUM(D9:D13)</f>
        <v>96800</v>
      </c>
      <c r="F14" s="152" t="s">
        <v>19</v>
      </c>
      <c r="G14" s="247"/>
      <c r="H14" s="247"/>
      <c r="AA14" s="7"/>
      <c r="AB14" s="7"/>
      <c r="AD14" s="7">
        <v>120000</v>
      </c>
      <c r="AE14" s="7">
        <v>128000</v>
      </c>
    </row>
    <row r="15" spans="1:31" ht="13.5" customHeight="1" thickTop="1" x14ac:dyDescent="0.35">
      <c r="B15" s="126"/>
      <c r="C15" s="245"/>
      <c r="D15" s="245"/>
      <c r="F15" s="172" t="s">
        <v>7</v>
      </c>
      <c r="G15" s="245">
        <f>+'RESTICTED-SUMMARY ANSWERS'!G196</f>
        <v>120000</v>
      </c>
      <c r="H15" s="245">
        <f>+'RESTICTED-SUMMARY ANSWERS'!H196</f>
        <v>128000</v>
      </c>
      <c r="AA15" s="7"/>
      <c r="AB15" s="7"/>
      <c r="AD15" s="7">
        <v>80000</v>
      </c>
      <c r="AE15" s="7">
        <v>72000</v>
      </c>
    </row>
    <row r="16" spans="1:31" ht="13.5" customHeight="1" x14ac:dyDescent="0.35">
      <c r="B16" s="152" t="s">
        <v>20</v>
      </c>
      <c r="C16" s="245"/>
      <c r="D16" s="245"/>
      <c r="F16" s="172" t="s">
        <v>10</v>
      </c>
      <c r="G16" s="245">
        <f>+'RESTICTED-SUMMARY ANSWERS'!G197</f>
        <v>80000</v>
      </c>
      <c r="H16" s="245">
        <f>+'RESTICTED-SUMMARY ANSWERS'!H197</f>
        <v>72000</v>
      </c>
      <c r="AA16" s="7">
        <v>1500000</v>
      </c>
      <c r="AB16" s="7">
        <v>1500000</v>
      </c>
      <c r="AD16" s="7">
        <v>60000</v>
      </c>
      <c r="AE16" s="7">
        <v>100000</v>
      </c>
    </row>
    <row r="17" spans="2:31" ht="13.5" customHeight="1" x14ac:dyDescent="0.35">
      <c r="B17" s="126" t="s">
        <v>21</v>
      </c>
      <c r="C17" s="245">
        <f>+'RESTICTED-SUMMARY ANSWERS'!C198</f>
        <v>1500000</v>
      </c>
      <c r="D17" s="245">
        <f>+'RESTICTED-SUMMARY ANSWERS'!D198</f>
        <v>1500000</v>
      </c>
      <c r="F17" s="172" t="s">
        <v>13</v>
      </c>
      <c r="G17" s="245">
        <f>+'RESTICTED-SUMMARY ANSWERS'!G198</f>
        <v>60000</v>
      </c>
      <c r="H17" s="245">
        <f>+'RESTICTED-SUMMARY ANSWERS'!H198</f>
        <v>100000</v>
      </c>
      <c r="AA17" s="7">
        <v>120000</v>
      </c>
      <c r="AB17" s="7">
        <v>200000</v>
      </c>
      <c r="AD17" s="11">
        <f>SUM(AD14:AD16)</f>
        <v>260000</v>
      </c>
      <c r="AE17" s="11">
        <f>SUM(AE14:AE16)</f>
        <v>300000</v>
      </c>
    </row>
    <row r="18" spans="2:31" ht="13.5" customHeight="1" x14ac:dyDescent="0.35">
      <c r="B18" s="126" t="s">
        <v>22</v>
      </c>
      <c r="C18" s="245">
        <f>+'RESTICTED-SUMMARY ANSWERS'!C199</f>
        <v>120000</v>
      </c>
      <c r="D18" s="245">
        <f>+'RESTICTED-SUMMARY ANSWERS'!D199</f>
        <v>200000</v>
      </c>
      <c r="F18" s="172" t="s">
        <v>24</v>
      </c>
      <c r="G18" s="249">
        <f>SUM(G15:G17)</f>
        <v>260000</v>
      </c>
      <c r="H18" s="249">
        <f>SUM(H15:H17)</f>
        <v>300000</v>
      </c>
      <c r="AA18" s="7">
        <v>80000</v>
      </c>
      <c r="AB18" s="7">
        <v>100000</v>
      </c>
      <c r="AD18" s="8"/>
      <c r="AE18" s="8"/>
    </row>
    <row r="19" spans="2:31" ht="13.5" customHeight="1" x14ac:dyDescent="0.35">
      <c r="B19" s="126" t="s">
        <v>23</v>
      </c>
      <c r="C19" s="245">
        <f>+'RESTICTED-SUMMARY ANSWERS'!C200</f>
        <v>80000</v>
      </c>
      <c r="D19" s="245">
        <f>+'RESTICTED-SUMMARY ANSWERS'!D200</f>
        <v>100000</v>
      </c>
      <c r="F19" s="172"/>
      <c r="G19" s="247"/>
      <c r="H19" s="247"/>
      <c r="AA19" s="12">
        <f>SUM(AA16:AA18)</f>
        <v>1700000</v>
      </c>
      <c r="AB19" s="12">
        <f>SUM(AB16:AB18)</f>
        <v>1800000</v>
      </c>
      <c r="AD19" s="14">
        <f>+AD11-AD17</f>
        <v>340000</v>
      </c>
      <c r="AE19" s="14">
        <f>+AE11-AE17</f>
        <v>380000</v>
      </c>
    </row>
    <row r="20" spans="2:31" ht="13.5" customHeight="1" x14ac:dyDescent="0.35">
      <c r="B20" s="126" t="s">
        <v>25</v>
      </c>
      <c r="C20" s="250">
        <f>+'RESTICTED-SUMMARY ANSWERS'!C201</f>
        <v>1700000</v>
      </c>
      <c r="D20" s="250">
        <f>+'RESTICTED-SUMMARY ANSWERS'!D201</f>
        <v>1800000</v>
      </c>
      <c r="F20" s="173" t="s">
        <v>27</v>
      </c>
      <c r="G20" s="251">
        <f>+G12-G18</f>
        <v>340000</v>
      </c>
      <c r="H20" s="251">
        <f>+H12-H18</f>
        <v>380000</v>
      </c>
      <c r="AA20" s="7">
        <v>-200000</v>
      </c>
      <c r="AB20" s="7">
        <v>-250000</v>
      </c>
      <c r="AD20" s="8"/>
      <c r="AE20" s="8"/>
    </row>
    <row r="21" spans="2:31" ht="13.5" customHeight="1" thickBot="1" x14ac:dyDescent="0.4">
      <c r="B21" s="126" t="s">
        <v>26</v>
      </c>
      <c r="C21" s="245">
        <f>+'RESTICTED-SUMMARY ANSWERS'!C202</f>
        <v>-200000</v>
      </c>
      <c r="D21" s="245">
        <f>+'RESTICTED-SUMMARY ANSWERS'!D202</f>
        <v>-250000</v>
      </c>
      <c r="F21" s="172"/>
      <c r="G21" s="247"/>
      <c r="H21" s="247"/>
      <c r="AA21" s="10">
        <f>+AA19+AA20</f>
        <v>1500000</v>
      </c>
      <c r="AB21" s="10">
        <f>+AB19+AB20</f>
        <v>1550000</v>
      </c>
      <c r="AD21" s="8">
        <v>120000</v>
      </c>
      <c r="AE21" s="8">
        <v>125000</v>
      </c>
    </row>
    <row r="22" spans="2:31" ht="13.5" customHeight="1" thickTop="1" thickBot="1" x14ac:dyDescent="0.4">
      <c r="B22" s="126" t="s">
        <v>28</v>
      </c>
      <c r="C22" s="248">
        <f>+C20+C21</f>
        <v>1500000</v>
      </c>
      <c r="D22" s="248">
        <f>+D20+D21</f>
        <v>1550000</v>
      </c>
      <c r="F22" s="152" t="s">
        <v>30</v>
      </c>
      <c r="G22" s="245">
        <f>+'RESTICTED-SUMMARY ANSWERS'!G203</f>
        <v>120000</v>
      </c>
      <c r="H22" s="245">
        <f>+'RESTICTED-SUMMARY ANSWERS'!H203</f>
        <v>125000</v>
      </c>
      <c r="AA22" s="7"/>
      <c r="AB22" s="7"/>
      <c r="AD22" s="11">
        <f>+AD19-AD21</f>
        <v>220000</v>
      </c>
      <c r="AE22" s="11">
        <f>+AE19-AE21</f>
        <v>255000</v>
      </c>
    </row>
    <row r="23" spans="2:31" ht="13.5" customHeight="1" thickTop="1" x14ac:dyDescent="0.35">
      <c r="B23" s="126"/>
      <c r="C23" s="245"/>
      <c r="D23" s="245"/>
      <c r="F23" s="152" t="s">
        <v>39</v>
      </c>
      <c r="G23" s="249">
        <f>+G20-G22</f>
        <v>220000</v>
      </c>
      <c r="H23" s="249">
        <f>+H20-H22</f>
        <v>255000</v>
      </c>
      <c r="AA23" s="7">
        <v>200000</v>
      </c>
      <c r="AB23" s="7">
        <v>180000</v>
      </c>
      <c r="AD23" s="7">
        <v>45000</v>
      </c>
      <c r="AE23" s="7">
        <v>50000</v>
      </c>
    </row>
    <row r="24" spans="2:31" ht="13.5" customHeight="1" x14ac:dyDescent="0.35">
      <c r="B24" s="126" t="s">
        <v>75</v>
      </c>
      <c r="C24" s="245">
        <f>+'RESTICTED-SUMMARY ANSWERS'!C205</f>
        <v>200000</v>
      </c>
      <c r="D24" s="245">
        <f>+'RESTICTED-SUMMARY ANSWERS'!D205</f>
        <v>180000</v>
      </c>
      <c r="F24" s="152" t="s">
        <v>43</v>
      </c>
      <c r="G24" s="245">
        <f>+'RESTICTED-SUMMARY ANSWERS'!G205</f>
        <v>45000</v>
      </c>
      <c r="H24" s="245">
        <f>+'RESTICTED-SUMMARY ANSWERS'!H205</f>
        <v>50000</v>
      </c>
      <c r="AA24" s="7">
        <v>200000</v>
      </c>
      <c r="AB24" s="7">
        <v>250000</v>
      </c>
      <c r="AD24" s="49">
        <v>20000</v>
      </c>
      <c r="AE24" s="7">
        <v>20000</v>
      </c>
    </row>
    <row r="25" spans="2:31" ht="13.5" customHeight="1" thickBot="1" x14ac:dyDescent="0.4">
      <c r="B25" s="126" t="s">
        <v>31</v>
      </c>
      <c r="C25" s="245">
        <f>+'RESTICTED-SUMMARY ANSWERS'!C206</f>
        <v>200000</v>
      </c>
      <c r="D25" s="245">
        <f>+'RESTICTED-SUMMARY ANSWERS'!D206</f>
        <v>250000</v>
      </c>
      <c r="F25" s="152" t="s">
        <v>76</v>
      </c>
      <c r="G25" s="245">
        <f>+'RESTICTED-SUMMARY ANSWERS'!G206</f>
        <v>20000</v>
      </c>
      <c r="H25" s="245">
        <f>+'RESTICTED-SUMMARY ANSWERS'!H206</f>
        <v>20000</v>
      </c>
      <c r="AA25" s="10">
        <f>+AA24+AA23++AA21+AA13</f>
        <v>2000000</v>
      </c>
      <c r="AB25" s="10">
        <f t="shared" ref="AB25" si="0">+AB24+AB23++AB21+AB13</f>
        <v>2076800</v>
      </c>
      <c r="AD25" s="13">
        <f>+AD22-AD23-AD24</f>
        <v>155000</v>
      </c>
      <c r="AE25" s="13">
        <f>+AE22-AE23-AE24</f>
        <v>185000</v>
      </c>
    </row>
    <row r="26" spans="2:31" ht="13.5" customHeight="1" thickTop="1" thickBot="1" x14ac:dyDescent="0.4">
      <c r="B26" s="126" t="s">
        <v>33</v>
      </c>
      <c r="C26" s="248">
        <f>+C25+C24++C22+C14</f>
        <v>2000000</v>
      </c>
      <c r="D26" s="248">
        <f t="shared" ref="D26" si="1">+D25+D24++D22+D14</f>
        <v>2076800</v>
      </c>
      <c r="F26" s="152" t="s">
        <v>47</v>
      </c>
      <c r="G26" s="252">
        <f>+G23-G24-G25</f>
        <v>155000</v>
      </c>
      <c r="H26" s="252">
        <f>+H23-H24-H25</f>
        <v>185000</v>
      </c>
      <c r="AA26" s="7"/>
      <c r="AB26" s="7"/>
      <c r="AD26" s="11">
        <v>30000</v>
      </c>
      <c r="AE26" s="12">
        <v>25000</v>
      </c>
    </row>
    <row r="27" spans="2:31" ht="13.5" customHeight="1" thickTop="1" x14ac:dyDescent="0.35">
      <c r="B27" s="126"/>
      <c r="C27" s="245"/>
      <c r="D27" s="245"/>
      <c r="F27" s="152" t="s">
        <v>52</v>
      </c>
      <c r="G27" s="245">
        <f>+'RESTICTED-SUMMARY ANSWERS'!G208</f>
        <v>30000</v>
      </c>
      <c r="H27" s="245">
        <f>+'RESTICTED-SUMMARY ANSWERS'!H208</f>
        <v>25000</v>
      </c>
      <c r="AA27" s="7"/>
      <c r="AB27" s="7"/>
      <c r="AD27" s="11">
        <f>+AD25-AD26</f>
        <v>125000</v>
      </c>
      <c r="AE27" s="11">
        <f>+AE25-AE26</f>
        <v>160000</v>
      </c>
    </row>
    <row r="28" spans="2:31" ht="13.5" customHeight="1" x14ac:dyDescent="0.35">
      <c r="B28" s="152" t="s">
        <v>36</v>
      </c>
      <c r="C28" s="245"/>
      <c r="D28" s="245"/>
      <c r="F28" s="172" t="s">
        <v>56</v>
      </c>
      <c r="G28" s="249">
        <f>+G26-G27</f>
        <v>125000</v>
      </c>
      <c r="H28" s="249">
        <f>+H26-H27</f>
        <v>160000</v>
      </c>
      <c r="AA28" s="7"/>
      <c r="AB28" s="7"/>
      <c r="AD28" s="8">
        <v>27500</v>
      </c>
      <c r="AE28" s="8">
        <v>35200</v>
      </c>
    </row>
    <row r="29" spans="2:31" ht="13.5" customHeight="1" thickBot="1" x14ac:dyDescent="0.4">
      <c r="B29" s="152" t="s">
        <v>40</v>
      </c>
      <c r="C29" s="245"/>
      <c r="D29" s="245"/>
      <c r="F29" s="152" t="s">
        <v>59</v>
      </c>
      <c r="G29" s="245">
        <f>+'RESTICTED-SUMMARY ANSWERS'!G210</f>
        <v>27500</v>
      </c>
      <c r="H29" s="245">
        <f>+'RESTICTED-SUMMARY ANSWERS'!H210</f>
        <v>35200</v>
      </c>
      <c r="AA29" s="7">
        <v>18000</v>
      </c>
      <c r="AB29" s="7">
        <v>21000</v>
      </c>
      <c r="AD29" s="9">
        <f>+AD27-AD28</f>
        <v>97500</v>
      </c>
      <c r="AE29" s="9">
        <f>+AE27-AE28</f>
        <v>124800</v>
      </c>
    </row>
    <row r="30" spans="2:31" ht="13.5" customHeight="1" thickTop="1" thickBot="1" x14ac:dyDescent="0.4">
      <c r="B30" s="126" t="s">
        <v>41</v>
      </c>
      <c r="C30" s="245">
        <f>+'RESTICTED-SUMMARY ANSWERS'!C211</f>
        <v>18000</v>
      </c>
      <c r="D30" s="245">
        <f>+'RESTICTED-SUMMARY ANSWERS'!D211</f>
        <v>21000</v>
      </c>
      <c r="F30" s="172" t="s">
        <v>6</v>
      </c>
      <c r="G30" s="246">
        <f>+G28-G29</f>
        <v>97500</v>
      </c>
      <c r="H30" s="246">
        <f>+H28-H29</f>
        <v>124800</v>
      </c>
      <c r="AA30" s="7">
        <v>7000</v>
      </c>
      <c r="AB30" s="7">
        <v>10000</v>
      </c>
    </row>
    <row r="31" spans="2:31" ht="13.5" customHeight="1" thickTop="1" x14ac:dyDescent="0.35">
      <c r="B31" s="126" t="s">
        <v>44</v>
      </c>
      <c r="C31" s="245">
        <f>+'RESTICTED-SUMMARY ANSWERS'!C212</f>
        <v>7000</v>
      </c>
      <c r="D31" s="245">
        <f>+'RESTICTED-SUMMARY ANSWERS'!D212</f>
        <v>10000</v>
      </c>
      <c r="AA31" s="7">
        <v>4000</v>
      </c>
      <c r="AB31" s="7">
        <v>3000</v>
      </c>
    </row>
    <row r="32" spans="2:31" ht="13.5" customHeight="1" x14ac:dyDescent="0.35">
      <c r="B32" s="126" t="s">
        <v>45</v>
      </c>
      <c r="C32" s="245">
        <f>+'RESTICTED-SUMMARY ANSWERS'!C213</f>
        <v>4000</v>
      </c>
      <c r="D32" s="245">
        <f>+'RESTICTED-SUMMARY ANSWERS'!D213</f>
        <v>3000</v>
      </c>
      <c r="AA32" s="7">
        <v>2000</v>
      </c>
      <c r="AB32" s="7">
        <v>1000</v>
      </c>
    </row>
    <row r="33" spans="1:28" ht="13.5" customHeight="1" x14ac:dyDescent="0.35">
      <c r="B33" s="126" t="s">
        <v>71</v>
      </c>
      <c r="C33" s="245">
        <f>+'RESTICTED-SUMMARY ANSWERS'!C214</f>
        <v>2000</v>
      </c>
      <c r="D33" s="245">
        <f>+'RESTICTED-SUMMARY ANSWERS'!D214</f>
        <v>1000</v>
      </c>
      <c r="AA33" s="7">
        <v>9000</v>
      </c>
      <c r="AB33" s="7">
        <v>11000</v>
      </c>
    </row>
    <row r="34" spans="1:28" ht="13.5" customHeight="1" x14ac:dyDescent="0.35">
      <c r="B34" s="126" t="s">
        <v>48</v>
      </c>
      <c r="C34" s="245">
        <f>+'RESTICTED-SUMMARY ANSWERS'!C215</f>
        <v>9000</v>
      </c>
      <c r="D34" s="245">
        <f>+'RESTICTED-SUMMARY ANSWERS'!D215</f>
        <v>11000</v>
      </c>
      <c r="AA34" s="12">
        <f>SUM(AA28:AA33)</f>
        <v>40000</v>
      </c>
      <c r="AB34" s="12">
        <f>SUM(AB28:AB33)</f>
        <v>46000</v>
      </c>
    </row>
    <row r="35" spans="1:28" ht="13.5" customHeight="1" x14ac:dyDescent="0.35">
      <c r="B35" s="126" t="s">
        <v>50</v>
      </c>
      <c r="C35" s="250">
        <f>SUM(C29:C34)</f>
        <v>40000</v>
      </c>
      <c r="D35" s="250">
        <f>SUM(D29:D34)</f>
        <v>46000</v>
      </c>
      <c r="AA35" s="7"/>
      <c r="AB35" s="7"/>
    </row>
    <row r="36" spans="1:28" ht="13.5" customHeight="1" x14ac:dyDescent="0.35">
      <c r="A36" s="7"/>
      <c r="B36" s="126"/>
      <c r="C36" s="245"/>
      <c r="D36" s="245"/>
      <c r="F36" s="57"/>
      <c r="G36" s="8"/>
      <c r="H36" s="8"/>
      <c r="AA36" s="7">
        <v>571000</v>
      </c>
      <c r="AB36" s="7">
        <v>471000</v>
      </c>
    </row>
    <row r="37" spans="1:28" ht="13.5" customHeight="1" x14ac:dyDescent="0.35">
      <c r="B37" s="126" t="s">
        <v>54</v>
      </c>
      <c r="C37" s="245">
        <f>+'RESTICTED-SUMMARY ANSWERS'!C218</f>
        <v>571000</v>
      </c>
      <c r="D37" s="245">
        <f>+'RESTICTED-SUMMARY ANSWERS'!D218</f>
        <v>471000</v>
      </c>
      <c r="AA37" s="7">
        <v>14000</v>
      </c>
      <c r="AB37" s="7">
        <v>20000</v>
      </c>
    </row>
    <row r="38" spans="1:28" ht="13.5" customHeight="1" x14ac:dyDescent="0.35">
      <c r="B38" s="126" t="s">
        <v>57</v>
      </c>
      <c r="C38" s="245">
        <f>+'RESTICTED-SUMMARY ANSWERS'!C219</f>
        <v>14000</v>
      </c>
      <c r="D38" s="245">
        <f>+'RESTICTED-SUMMARY ANSWERS'!D219</f>
        <v>20000</v>
      </c>
      <c r="AA38" s="12">
        <f>SUM(AA34:AA37)</f>
        <v>625000</v>
      </c>
      <c r="AB38" s="12">
        <f>SUM(AB34:AB37)</f>
        <v>537000</v>
      </c>
    </row>
    <row r="39" spans="1:28" ht="13.5" customHeight="1" x14ac:dyDescent="0.35">
      <c r="B39" s="126" t="s">
        <v>60</v>
      </c>
      <c r="C39" s="250">
        <f>SUM(C35:C38)</f>
        <v>625000</v>
      </c>
      <c r="D39" s="250">
        <f>SUM(D35:D38)</f>
        <v>537000</v>
      </c>
      <c r="AA39" s="7"/>
      <c r="AB39" s="7"/>
    </row>
    <row r="40" spans="1:28" ht="13.5" customHeight="1" x14ac:dyDescent="0.35">
      <c r="B40" s="126"/>
      <c r="C40" s="245"/>
      <c r="D40" s="245"/>
      <c r="G40" s="8"/>
      <c r="H40" s="8"/>
      <c r="AA40" s="7"/>
      <c r="AB40" s="7"/>
    </row>
    <row r="41" spans="1:28" ht="13.5" customHeight="1" x14ac:dyDescent="0.35">
      <c r="B41" s="152" t="s">
        <v>62</v>
      </c>
      <c r="C41" s="245"/>
      <c r="D41" s="245"/>
      <c r="AA41" s="7">
        <v>1000000</v>
      </c>
      <c r="AB41" s="7">
        <f>+AA41</f>
        <v>1000000</v>
      </c>
    </row>
    <row r="42" spans="1:28" ht="13.5" customHeight="1" x14ac:dyDescent="0.35">
      <c r="B42" s="126" t="s">
        <v>64</v>
      </c>
      <c r="C42" s="245">
        <f>+'RESTICTED-SUMMARY ANSWERS'!C223</f>
        <v>1000000</v>
      </c>
      <c r="D42" s="245">
        <f>+'RESTICTED-SUMMARY ANSWERS'!D223</f>
        <v>1000000</v>
      </c>
      <c r="AA42" s="7">
        <v>100000</v>
      </c>
      <c r="AB42" s="7">
        <v>140000</v>
      </c>
    </row>
    <row r="43" spans="1:28" ht="13.5" customHeight="1" x14ac:dyDescent="0.35">
      <c r="B43" s="126" t="s">
        <v>65</v>
      </c>
      <c r="C43" s="245">
        <f>+'RESTICTED-SUMMARY ANSWERS'!C224</f>
        <v>100000</v>
      </c>
      <c r="D43" s="245">
        <f>+'RESTICTED-SUMMARY ANSWERS'!D224</f>
        <v>140000</v>
      </c>
      <c r="AA43" s="7">
        <v>275000</v>
      </c>
      <c r="AB43" s="7">
        <f>+AA43+AE29</f>
        <v>399800</v>
      </c>
    </row>
    <row r="44" spans="1:28" ht="13.5" customHeight="1" x14ac:dyDescent="0.35">
      <c r="B44" s="126" t="s">
        <v>66</v>
      </c>
      <c r="C44" s="245">
        <f>+'RESTICTED-SUMMARY ANSWERS'!C225</f>
        <v>275000</v>
      </c>
      <c r="D44" s="245">
        <f>+'RESTICTED-SUMMARY ANSWERS'!D225</f>
        <v>399800</v>
      </c>
      <c r="AA44" s="12">
        <f>SUM(AA41:AA43)</f>
        <v>1375000</v>
      </c>
      <c r="AB44" s="12">
        <f>SUM(AB41:AB43)</f>
        <v>1539800</v>
      </c>
    </row>
    <row r="45" spans="1:28" ht="13.5" customHeight="1" x14ac:dyDescent="0.35">
      <c r="B45" s="126" t="s">
        <v>67</v>
      </c>
      <c r="C45" s="250">
        <f>SUM(C42:C44)</f>
        <v>1375000</v>
      </c>
      <c r="D45" s="250">
        <f>SUM(D42:D44)</f>
        <v>1539800</v>
      </c>
      <c r="AA45" s="7"/>
      <c r="AB45" s="7"/>
    </row>
    <row r="46" spans="1:28" ht="13.5" customHeight="1" thickBot="1" x14ac:dyDescent="0.4">
      <c r="B46" s="126"/>
      <c r="C46" s="245"/>
      <c r="D46" s="245"/>
      <c r="AA46" s="9">
        <f>+AA44+AA38</f>
        <v>2000000</v>
      </c>
      <c r="AB46" s="9">
        <f>+AB44+AB38</f>
        <v>2076800</v>
      </c>
    </row>
    <row r="47" spans="1:28" ht="13.5" customHeight="1" thickTop="1" thickBot="1" x14ac:dyDescent="0.4">
      <c r="B47" s="126" t="s">
        <v>68</v>
      </c>
      <c r="C47" s="246">
        <f>+C45+C39</f>
        <v>2000000</v>
      </c>
      <c r="D47" s="246">
        <f>+D45+D39</f>
        <v>2076800</v>
      </c>
      <c r="M47" t="s">
        <v>229</v>
      </c>
    </row>
    <row r="48" spans="1:28" ht="15" thickTop="1" x14ac:dyDescent="0.35">
      <c r="C48" s="59"/>
      <c r="D48" s="59"/>
      <c r="K48" s="60"/>
    </row>
    <row r="49" spans="2:9" x14ac:dyDescent="0.35">
      <c r="B49" s="15" t="s">
        <v>85</v>
      </c>
      <c r="C49" s="15"/>
      <c r="D49" s="15"/>
      <c r="E49" s="15"/>
      <c r="F49" s="15"/>
      <c r="G49" s="15"/>
      <c r="H49" s="15"/>
    </row>
    <row r="50" spans="2:9" ht="15" thickBot="1" x14ac:dyDescent="0.4">
      <c r="B50" s="21" t="s">
        <v>1</v>
      </c>
      <c r="C50" s="17"/>
      <c r="D50" s="18" t="str">
        <f>+D7</f>
        <v>Year 2</v>
      </c>
      <c r="F50" s="21" t="s">
        <v>86</v>
      </c>
      <c r="G50" s="18" t="str">
        <f>+G7</f>
        <v>Year 1</v>
      </c>
      <c r="H50" s="18" t="str">
        <f>+H7</f>
        <v>Year 2</v>
      </c>
    </row>
    <row r="51" spans="2:9" ht="15" thickTop="1" x14ac:dyDescent="0.35">
      <c r="B51" s="61"/>
      <c r="C51" s="8"/>
      <c r="D51" s="8"/>
    </row>
    <row r="52" spans="2:9" x14ac:dyDescent="0.35">
      <c r="B52" s="57" t="s">
        <v>6</v>
      </c>
      <c r="C52" s="8"/>
      <c r="D52" s="62">
        <f>+H30</f>
        <v>124800</v>
      </c>
      <c r="F52" s="49" t="s">
        <v>87</v>
      </c>
      <c r="G52" s="16"/>
      <c r="H52" s="63">
        <f>+H9/G9-1</f>
        <v>6.6666666666666652E-2</v>
      </c>
    </row>
    <row r="53" spans="2:9" x14ac:dyDescent="0.35">
      <c r="B53" t="s">
        <v>9</v>
      </c>
      <c r="C53" s="8"/>
      <c r="D53" s="62">
        <f>+H24</f>
        <v>50000</v>
      </c>
    </row>
    <row r="54" spans="2:9" x14ac:dyDescent="0.35">
      <c r="B54" t="s">
        <v>74</v>
      </c>
      <c r="C54" s="8"/>
      <c r="D54" s="62">
        <f>+H25</f>
        <v>20000</v>
      </c>
      <c r="F54" s="49" t="s">
        <v>88</v>
      </c>
      <c r="G54" s="63">
        <f>+(G11-G17)/G11</f>
        <v>0.5</v>
      </c>
      <c r="H54" s="63">
        <f>+(H11-H17)/H11</f>
        <v>0.5</v>
      </c>
    </row>
    <row r="55" spans="2:9" x14ac:dyDescent="0.35">
      <c r="B55" s="1" t="s">
        <v>12</v>
      </c>
      <c r="C55" s="8"/>
      <c r="D55" s="62">
        <f>+D38-C38</f>
        <v>6000</v>
      </c>
      <c r="F55" s="49" t="s">
        <v>95</v>
      </c>
      <c r="G55" s="63">
        <f>+G23/G12</f>
        <v>0.36666666666666664</v>
      </c>
      <c r="H55" s="63">
        <f>+H23/H12</f>
        <v>0.375</v>
      </c>
    </row>
    <row r="56" spans="2:9" ht="15" thickBot="1" x14ac:dyDescent="0.4">
      <c r="B56" s="57" t="s">
        <v>15</v>
      </c>
      <c r="C56" s="8"/>
      <c r="D56" s="64">
        <f>SUM(D52:D55)</f>
        <v>200800</v>
      </c>
      <c r="F56"/>
      <c r="G56"/>
      <c r="H56"/>
    </row>
    <row r="57" spans="2:9" ht="15" thickTop="1" x14ac:dyDescent="0.35">
      <c r="B57" s="57"/>
      <c r="C57" s="8"/>
      <c r="D57" s="2"/>
      <c r="F57" s="49" t="s">
        <v>89</v>
      </c>
      <c r="H57" s="65">
        <f>365/(+H12/AVERAGE(C10:D10))</f>
        <v>14.358455882352942</v>
      </c>
      <c r="I57" t="s">
        <v>94</v>
      </c>
    </row>
    <row r="58" spans="2:9" x14ac:dyDescent="0.35">
      <c r="C58" s="8"/>
      <c r="D58" s="2"/>
      <c r="F58" s="49" t="s">
        <v>93</v>
      </c>
      <c r="H58" s="65">
        <f>365/(H18/AVERAGE(C11:D11))</f>
        <v>24.333333333333332</v>
      </c>
      <c r="I58" t="s">
        <v>94</v>
      </c>
    </row>
    <row r="59" spans="2:9" x14ac:dyDescent="0.35">
      <c r="B59" s="57" t="s">
        <v>18</v>
      </c>
      <c r="C59" s="7"/>
      <c r="D59" s="2"/>
    </row>
    <row r="60" spans="2:9" x14ac:dyDescent="0.35">
      <c r="B60" t="s">
        <v>77</v>
      </c>
      <c r="C60" s="7"/>
      <c r="D60" s="62">
        <f>+C10-D10</f>
        <v>-6500</v>
      </c>
      <c r="F60" s="49" t="s">
        <v>90</v>
      </c>
      <c r="G60" s="66">
        <f>+(C9+C10)/C35</f>
        <v>1.8374999999999999</v>
      </c>
      <c r="H60" s="66">
        <f>+(D9+D10)/D35</f>
        <v>1.4521739130434783</v>
      </c>
    </row>
    <row r="61" spans="2:9" x14ac:dyDescent="0.35">
      <c r="B61" t="s">
        <v>78</v>
      </c>
      <c r="C61" s="7"/>
      <c r="D61" s="62">
        <f t="shared" ref="D61:D63" si="2">+C11-D11</f>
        <v>-4000</v>
      </c>
      <c r="F61" s="49" t="s">
        <v>91</v>
      </c>
      <c r="H61" s="63">
        <f>+H30/AVERAGE(C45:D45)</f>
        <v>8.5631947303417041E-2</v>
      </c>
    </row>
    <row r="62" spans="2:9" x14ac:dyDescent="0.35">
      <c r="B62" t="s">
        <v>79</v>
      </c>
      <c r="C62" s="7"/>
      <c r="D62" s="62">
        <f t="shared" si="2"/>
        <v>2000</v>
      </c>
      <c r="F62" s="49" t="s">
        <v>92</v>
      </c>
      <c r="G62" s="66">
        <f>+(C37+C34)/G23</f>
        <v>2.6363636363636362</v>
      </c>
      <c r="H62" s="66">
        <f>+(D37+D34)/H23</f>
        <v>1.8901960784313725</v>
      </c>
    </row>
    <row r="63" spans="2:9" x14ac:dyDescent="0.35">
      <c r="B63" t="s">
        <v>80</v>
      </c>
      <c r="C63" s="7"/>
      <c r="D63" s="62">
        <f t="shared" si="2"/>
        <v>-1500</v>
      </c>
    </row>
    <row r="64" spans="2:9" x14ac:dyDescent="0.35">
      <c r="B64" t="s">
        <v>81</v>
      </c>
      <c r="C64" s="7"/>
      <c r="D64" s="62">
        <f>+D30-C30</f>
        <v>3000</v>
      </c>
    </row>
    <row r="65" spans="2:4" x14ac:dyDescent="0.35">
      <c r="B65" t="s">
        <v>82</v>
      </c>
      <c r="C65" s="7"/>
      <c r="D65" s="62">
        <f t="shared" ref="D65:D67" si="3">+D31-C31</f>
        <v>3000</v>
      </c>
    </row>
    <row r="66" spans="2:4" x14ac:dyDescent="0.35">
      <c r="B66" t="s">
        <v>83</v>
      </c>
      <c r="C66" s="7"/>
      <c r="D66" s="62">
        <f t="shared" si="3"/>
        <v>-1000</v>
      </c>
    </row>
    <row r="67" spans="2:4" x14ac:dyDescent="0.35">
      <c r="B67" t="s">
        <v>84</v>
      </c>
      <c r="C67" s="7"/>
      <c r="D67" s="62">
        <f t="shared" si="3"/>
        <v>-1000</v>
      </c>
    </row>
    <row r="68" spans="2:4" x14ac:dyDescent="0.35">
      <c r="B68" s="57" t="s">
        <v>29</v>
      </c>
      <c r="C68" s="7"/>
      <c r="D68" s="62">
        <f>SUM(D60:D67)</f>
        <v>-6000</v>
      </c>
    </row>
    <row r="69" spans="2:4" x14ac:dyDescent="0.35">
      <c r="C69" s="8"/>
      <c r="D69" s="2"/>
    </row>
    <row r="70" spans="2:4" ht="15" thickBot="1" x14ac:dyDescent="0.4">
      <c r="B70" t="s">
        <v>32</v>
      </c>
      <c r="C70" s="8"/>
      <c r="D70" s="64">
        <f>+D56+D68</f>
        <v>194800</v>
      </c>
    </row>
    <row r="71" spans="2:4" ht="15" thickTop="1" x14ac:dyDescent="0.35">
      <c r="C71" s="8"/>
      <c r="D71" s="8"/>
    </row>
    <row r="72" spans="2:4" x14ac:dyDescent="0.35">
      <c r="B72" s="57" t="s">
        <v>34</v>
      </c>
      <c r="C72" s="7"/>
      <c r="D72" s="7"/>
    </row>
    <row r="73" spans="2:4" x14ac:dyDescent="0.35">
      <c r="B73" t="s">
        <v>35</v>
      </c>
      <c r="C73" s="7"/>
      <c r="D73" s="62">
        <f>+C20-D20</f>
        <v>-100000</v>
      </c>
    </row>
    <row r="74" spans="2:4" x14ac:dyDescent="0.35">
      <c r="B74" t="s">
        <v>37</v>
      </c>
      <c r="C74" s="7"/>
      <c r="D74" s="62">
        <f>+C25-D25</f>
        <v>-50000</v>
      </c>
    </row>
    <row r="75" spans="2:4" x14ac:dyDescent="0.35">
      <c r="B75" s="57" t="s">
        <v>38</v>
      </c>
      <c r="C75" s="7"/>
      <c r="D75" s="62">
        <f>SUM(D73:D74)</f>
        <v>-150000</v>
      </c>
    </row>
    <row r="76" spans="2:4" x14ac:dyDescent="0.35">
      <c r="C76" s="8"/>
      <c r="D76" s="2"/>
    </row>
    <row r="77" spans="2:4" ht="15" thickBot="1" x14ac:dyDescent="0.4">
      <c r="B77" t="s">
        <v>42</v>
      </c>
      <c r="C77" s="8"/>
      <c r="D77" s="64">
        <f>+D70+D75</f>
        <v>44800</v>
      </c>
    </row>
    <row r="78" spans="2:4" ht="15" thickTop="1" x14ac:dyDescent="0.35">
      <c r="C78" s="8"/>
      <c r="D78" s="2"/>
    </row>
    <row r="79" spans="2:4" x14ac:dyDescent="0.35">
      <c r="B79" s="57" t="s">
        <v>46</v>
      </c>
      <c r="C79" s="7"/>
      <c r="D79" s="2"/>
    </row>
    <row r="80" spans="2:4" x14ac:dyDescent="0.35">
      <c r="B80" s="57"/>
      <c r="C80" s="7"/>
      <c r="D80" s="2"/>
    </row>
    <row r="81" spans="2:34" x14ac:dyDescent="0.35">
      <c r="B81" t="s">
        <v>49</v>
      </c>
      <c r="C81" s="7"/>
      <c r="D81" s="62">
        <f>+D34-C34</f>
        <v>2000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2:34" x14ac:dyDescent="0.35">
      <c r="B82" t="s">
        <v>51</v>
      </c>
      <c r="C82" s="7"/>
      <c r="D82" s="62">
        <f>+D37-C37</f>
        <v>-100000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2:34" x14ac:dyDescent="0.35">
      <c r="B83" t="s">
        <v>53</v>
      </c>
      <c r="C83" s="7"/>
      <c r="D83" s="62">
        <f>+D43-C43</f>
        <v>40000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2:34" x14ac:dyDescent="0.35">
      <c r="B84" t="s">
        <v>55</v>
      </c>
      <c r="C84" s="7"/>
      <c r="D84" s="62">
        <f>SUM(D81:D83)</f>
        <v>-58000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2:34" x14ac:dyDescent="0.35">
      <c r="C85" s="8"/>
      <c r="D85" s="2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2:34" ht="15" thickBot="1" x14ac:dyDescent="0.4">
      <c r="B86" s="57" t="s">
        <v>58</v>
      </c>
      <c r="C86" s="8"/>
      <c r="D86" s="64">
        <f>+D77+D84</f>
        <v>-13200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2:34" ht="15" thickTop="1" x14ac:dyDescent="0.35">
      <c r="C87" s="8"/>
      <c r="D87" s="2"/>
      <c r="E87" s="1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2:34" x14ac:dyDescent="0.35">
      <c r="B88" t="s">
        <v>61</v>
      </c>
      <c r="C88" s="8"/>
      <c r="D88" s="62">
        <f>+C9</f>
        <v>50000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2:34" x14ac:dyDescent="0.35">
      <c r="C89" s="8"/>
      <c r="D89" s="2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2:34" ht="15" thickBot="1" x14ac:dyDescent="0.4">
      <c r="B90" t="s">
        <v>63</v>
      </c>
      <c r="C90" s="8"/>
      <c r="D90" s="64">
        <f>+D88+D86</f>
        <v>36800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2:34" ht="15" thickTop="1" x14ac:dyDescent="0.35">
      <c r="C91"/>
      <c r="D91"/>
      <c r="E91"/>
      <c r="F91"/>
      <c r="G91"/>
      <c r="H91"/>
    </row>
    <row r="92" spans="2:34" x14ac:dyDescent="0.35">
      <c r="C92"/>
      <c r="D92"/>
      <c r="E92"/>
      <c r="F92"/>
      <c r="G92"/>
      <c r="H92"/>
    </row>
    <row r="93" spans="2:34" x14ac:dyDescent="0.35">
      <c r="C93"/>
      <c r="D93"/>
      <c r="E93"/>
      <c r="F93"/>
      <c r="G93"/>
      <c r="H93"/>
    </row>
    <row r="94" spans="2:34" x14ac:dyDescent="0.35">
      <c r="C94"/>
      <c r="D94"/>
      <c r="E94"/>
      <c r="F94"/>
      <c r="G94"/>
      <c r="H94"/>
    </row>
    <row r="95" spans="2:34" x14ac:dyDescent="0.35">
      <c r="C95"/>
      <c r="D95"/>
      <c r="E95"/>
      <c r="F95"/>
      <c r="G95"/>
      <c r="H95"/>
    </row>
    <row r="96" spans="2:34" x14ac:dyDescent="0.35">
      <c r="C96"/>
      <c r="D96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3:34" x14ac:dyDescent="0.35">
      <c r="C97"/>
      <c r="D97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3:34" x14ac:dyDescent="0.35">
      <c r="C98"/>
      <c r="D98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3:34" x14ac:dyDescent="0.35">
      <c r="C99"/>
      <c r="D9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3:34" x14ac:dyDescent="0.35">
      <c r="C100"/>
      <c r="D10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3:34" x14ac:dyDescent="0.35">
      <c r="C101"/>
      <c r="D101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3:34" x14ac:dyDescent="0.35">
      <c r="C102"/>
      <c r="D102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3:34" x14ac:dyDescent="0.35">
      <c r="C103"/>
      <c r="D103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3:34" x14ac:dyDescent="0.35">
      <c r="C104"/>
      <c r="D104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3:34" x14ac:dyDescent="0.35">
      <c r="C105"/>
      <c r="D105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3:34" x14ac:dyDescent="0.35">
      <c r="C106"/>
      <c r="D106"/>
      <c r="E106" s="1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3:34" x14ac:dyDescent="0.35">
      <c r="C107"/>
      <c r="D107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3:34" x14ac:dyDescent="0.35">
      <c r="C108"/>
      <c r="D108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3:34" x14ac:dyDescent="0.35">
      <c r="C109"/>
      <c r="D10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3:34" x14ac:dyDescent="0.35">
      <c r="C110"/>
      <c r="D11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3:34" x14ac:dyDescent="0.35">
      <c r="C111"/>
      <c r="D111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3:34" x14ac:dyDescent="0.35">
      <c r="C112"/>
      <c r="D112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3:34" x14ac:dyDescent="0.35">
      <c r="C113"/>
      <c r="D113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3:34" x14ac:dyDescent="0.35">
      <c r="C114"/>
      <c r="D114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3:34" x14ac:dyDescent="0.35">
      <c r="C115"/>
      <c r="D115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3:34" x14ac:dyDescent="0.35">
      <c r="C116"/>
      <c r="D116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3:34" x14ac:dyDescent="0.35">
      <c r="C117"/>
      <c r="D117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3:34" x14ac:dyDescent="0.35"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3:34" x14ac:dyDescent="0.35"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</sheetData>
  <mergeCells count="1">
    <mergeCell ref="C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RESTICTED-SUMMARY 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2021-12-11T19:59:36Z</dcterms:created>
  <dcterms:modified xsi:type="dcterms:W3CDTF">2022-01-23T23:33:56Z</dcterms:modified>
</cp:coreProperties>
</file>