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Onedrive\Documents\Baruch Lectures\"/>
    </mc:Choice>
  </mc:AlternateContent>
  <xr:revisionPtr revIDLastSave="1" documentId="8_{676D60E6-E604-43EE-A4EF-DD8D9E94A230}" xr6:coauthVersionLast="43" xr6:coauthVersionMax="43" xr10:uidLastSave="{5CFFFA15-5CC2-4864-903D-601CA937E2EC}"/>
  <bookViews>
    <workbookView minimized="1" xWindow="1447" yWindow="340" windowWidth="12153" windowHeight="10433" xr2:uid="{E357110B-D0D0-4DCE-99EB-ED3AAC06D8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42" i="1"/>
  <c r="C40" i="1"/>
  <c r="H40" i="1" s="1"/>
  <c r="C39" i="1"/>
  <c r="C38" i="1"/>
  <c r="J40" i="1" s="1"/>
  <c r="C32" i="1"/>
  <c r="F16" i="1"/>
  <c r="G16" i="1" s="1"/>
  <c r="H16" i="1" s="1"/>
  <c r="I16" i="1" s="1"/>
  <c r="J16" i="1" s="1"/>
  <c r="K16" i="1" s="1"/>
  <c r="L16" i="1" s="1"/>
  <c r="E16" i="1"/>
  <c r="D15" i="1"/>
  <c r="E15" i="1" s="1"/>
  <c r="E13" i="1"/>
  <c r="F13" i="1" s="1"/>
  <c r="G13" i="1" s="1"/>
  <c r="H13" i="1" s="1"/>
  <c r="I13" i="1" s="1"/>
  <c r="J13" i="1" s="1"/>
  <c r="K13" i="1" s="1"/>
  <c r="L13" i="1" s="1"/>
  <c r="E12" i="1"/>
  <c r="D12" i="1"/>
  <c r="F10" i="1"/>
  <c r="G10" i="1" s="1"/>
  <c r="H10" i="1" s="1"/>
  <c r="I10" i="1" s="1"/>
  <c r="J10" i="1" s="1"/>
  <c r="K10" i="1" s="1"/>
  <c r="L10" i="1" s="1"/>
  <c r="E10" i="1"/>
  <c r="D9" i="1"/>
  <c r="E9" i="1" s="1"/>
  <c r="E7" i="1"/>
  <c r="F7" i="1" s="1"/>
  <c r="G7" i="1" s="1"/>
  <c r="H7" i="1" s="1"/>
  <c r="I7" i="1" s="1"/>
  <c r="J7" i="1" s="1"/>
  <c r="K7" i="1" s="1"/>
  <c r="L7" i="1" s="1"/>
  <c r="C6" i="1"/>
  <c r="C21" i="1" s="1"/>
  <c r="F9" i="1" l="1"/>
  <c r="F15" i="1"/>
  <c r="D21" i="1"/>
  <c r="C20" i="1"/>
  <c r="D6" i="1"/>
  <c r="D19" i="1" s="1"/>
  <c r="F12" i="1"/>
  <c r="C19" i="1"/>
  <c r="C22" i="1" l="1"/>
  <c r="C24" i="1" s="1"/>
  <c r="C25" i="1" s="1"/>
  <c r="G12" i="1"/>
  <c r="G15" i="1"/>
  <c r="D20" i="1"/>
  <c r="D22" i="1" s="1"/>
  <c r="D24" i="1" s="1"/>
  <c r="D25" i="1" s="1"/>
  <c r="E6" i="1"/>
  <c r="G9" i="1"/>
  <c r="F6" i="1" l="1"/>
  <c r="E21" i="1"/>
  <c r="E19" i="1"/>
  <c r="E22" i="1" s="1"/>
  <c r="E24" i="1" s="1"/>
  <c r="E25" i="1" s="1"/>
  <c r="E20" i="1"/>
  <c r="H12" i="1"/>
  <c r="H15" i="1"/>
  <c r="H9" i="1"/>
  <c r="I12" i="1" l="1"/>
  <c r="I9" i="1"/>
  <c r="G6" i="1"/>
  <c r="F21" i="1"/>
  <c r="F19" i="1"/>
  <c r="F22" i="1" s="1"/>
  <c r="F24" i="1" s="1"/>
  <c r="F25" i="1" s="1"/>
  <c r="F20" i="1"/>
  <c r="I15" i="1"/>
  <c r="J15" i="1" l="1"/>
  <c r="H6" i="1"/>
  <c r="G20" i="1"/>
  <c r="G19" i="1"/>
  <c r="G21" i="1"/>
  <c r="J12" i="1"/>
  <c r="J9" i="1"/>
  <c r="K12" i="1" l="1"/>
  <c r="I6" i="1"/>
  <c r="H19" i="1"/>
  <c r="H22" i="1" s="1"/>
  <c r="H24" i="1" s="1"/>
  <c r="H25" i="1" s="1"/>
  <c r="H20" i="1"/>
  <c r="H21" i="1"/>
  <c r="K15" i="1"/>
  <c r="K9" i="1"/>
  <c r="G22" i="1"/>
  <c r="G24" i="1" s="1"/>
  <c r="G25" i="1" s="1"/>
  <c r="L15" i="1" l="1"/>
  <c r="J6" i="1"/>
  <c r="I21" i="1"/>
  <c r="I19" i="1"/>
  <c r="I20" i="1"/>
  <c r="L9" i="1"/>
  <c r="L12" i="1"/>
  <c r="K6" i="1" l="1"/>
  <c r="J20" i="1"/>
  <c r="J19" i="1"/>
  <c r="J21" i="1"/>
  <c r="I22" i="1"/>
  <c r="I24" i="1" s="1"/>
  <c r="I25" i="1" s="1"/>
  <c r="L6" i="1" l="1"/>
  <c r="K21" i="1"/>
  <c r="K20" i="1"/>
  <c r="K19" i="1"/>
  <c r="K22" i="1" s="1"/>
  <c r="K24" i="1" s="1"/>
  <c r="K25" i="1" s="1"/>
  <c r="J22" i="1"/>
  <c r="J24" i="1" s="1"/>
  <c r="J25" i="1" s="1"/>
  <c r="L21" i="1" l="1"/>
  <c r="L19" i="1"/>
  <c r="L20" i="1"/>
  <c r="L22" i="1" l="1"/>
  <c r="L23" i="1" s="1"/>
  <c r="L24" i="1" s="1"/>
  <c r="L25" i="1" s="1"/>
  <c r="C26" i="1" s="1"/>
  <c r="C41" i="1" s="1"/>
  <c r="G40" i="1" l="1"/>
  <c r="E38" i="1" s="1"/>
  <c r="E40" i="1" l="1"/>
  <c r="E43" i="1" s="1"/>
  <c r="E39" i="1"/>
  <c r="E41" i="1" s="1"/>
</calcChain>
</file>

<file path=xl/sharedStrings.xml><?xml version="1.0" encoding="utf-8"?>
<sst xmlns="http://schemas.openxmlformats.org/spreadsheetml/2006/main" count="61" uniqueCount="59">
  <si>
    <t>FINTECH (IP) - SaaS Case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</si>
  <si>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</si>
  <si>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</si>
  <si>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</si>
  <si>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</si>
  <si>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</si>
  <si>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</si>
  <si>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</si>
  <si>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</si>
  <si>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</si>
  <si>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</si>
  <si>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 Subscribers</t>
  </si>
  <si>
    <t xml:space="preserve"> Subscription Increase per year</t>
  </si>
  <si>
    <t>Revenues per subscriper per month</t>
  </si>
  <si>
    <t xml:space="preserve">     Increase %</t>
  </si>
  <si>
    <t>Cost of Revenues per subscriber per month</t>
  </si>
  <si>
    <t>Operating Expenses per subscriber per month</t>
  </si>
  <si>
    <t>Total Revenues</t>
  </si>
  <si>
    <t>Cost of Revenue</t>
  </si>
  <si>
    <t>Operating Expenses</t>
  </si>
  <si>
    <t>EBIT</t>
  </si>
  <si>
    <t>Terminal Value</t>
  </si>
  <si>
    <t>Cash Flow</t>
  </si>
  <si>
    <t>Present Value</t>
  </si>
  <si>
    <t>Total Present Value</t>
  </si>
  <si>
    <t>Market Size =</t>
  </si>
  <si>
    <t>subscibers</t>
  </si>
  <si>
    <t>Monthly Subscription =</t>
  </si>
  <si>
    <t>per month per subscriber</t>
  </si>
  <si>
    <t>Initial Acquisition Cost per Customer =</t>
  </si>
  <si>
    <t>per subscriber</t>
  </si>
  <si>
    <t>IP Patent life =</t>
  </si>
  <si>
    <t>years</t>
  </si>
  <si>
    <t>Cost of Delay =</t>
  </si>
  <si>
    <t>1/10 years</t>
  </si>
  <si>
    <t>Risk Free Rate =</t>
  </si>
  <si>
    <t>Variance =</t>
  </si>
  <si>
    <t>USING BLACK-SCHOLES OPTION MODEL</t>
  </si>
  <si>
    <t>INPUT</t>
  </si>
  <si>
    <t>OUTPUT</t>
  </si>
  <si>
    <t>Standard Deviation  (σ) =</t>
  </si>
  <si>
    <t>d1 =</t>
  </si>
  <si>
    <t>d1</t>
  </si>
  <si>
    <t>Expiration (in years)  (T) =</t>
  </si>
  <si>
    <t>d2 =</t>
  </si>
  <si>
    <t>ln(s/x)</t>
  </si>
  <si>
    <t>(i-d+(sigma^2)/2)*t</t>
  </si>
  <si>
    <t>sigm*sqrt(t)</t>
  </si>
  <si>
    <t>Risk-Free Rate (Annual) (i) =</t>
  </si>
  <si>
    <t>N(d1) =</t>
  </si>
  <si>
    <t>Stock Price (S ) =</t>
  </si>
  <si>
    <t>N(d2) =</t>
  </si>
  <si>
    <t>Exercise Price (X) =</t>
  </si>
  <si>
    <t>Dividend Yield (annual) (δ) =</t>
  </si>
  <si>
    <t>Value=</t>
  </si>
  <si>
    <t>Calculations</t>
  </si>
  <si>
    <t>IP Assumptions</t>
  </si>
  <si>
    <t>Cash Flows ($ 000's)</t>
  </si>
  <si>
    <t>Using DCF and Black-Scholes Option Pricing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</si>
</sst>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0.000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4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5" fontId="4" fillId="0" borderId="0" xfId="2" applyNumberFormat="1" applyFont="1"/>
    <xf numFmtId="43" fontId="0" fillId="0" borderId="0" xfId="1" applyFont="1"/>
    <xf numFmtId="6" fontId="0" fillId="0" borderId="0" xfId="0" applyNumberFormat="1"/>
    <xf numFmtId="0" fontId="0" fillId="0" borderId="0" xfId="0" quotePrefix="1"/>
    <xf numFmtId="164" fontId="0" fillId="0" borderId="2" xfId="0" applyNumberFormat="1" applyBorder="1"/>
    <xf numFmtId="166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6" fontId="0" fillId="0" borderId="0" xfId="1" applyNumberFormat="1" applyFont="1"/>
    <xf numFmtId="0" fontId="5" fillId="0" borderId="0" xfId="0" applyFont="1"/>
    <xf numFmtId="0" fontId="6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0" fontId="7" fillId="4" borderId="8" xfId="2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167" fontId="0" fillId="4" borderId="10" xfId="0" quotePrefix="1" applyNumberForma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4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167" fontId="0" fillId="4" borderId="14" xfId="0" quotePrefix="1" applyNumberFormat="1" applyFill="1" applyBorder="1" applyAlignment="1">
      <alignment horizontal="center"/>
    </xf>
    <xf numFmtId="9" fontId="7" fillId="4" borderId="12" xfId="2" applyFont="1" applyFill="1" applyBorder="1" applyAlignment="1">
      <alignment horizontal="center"/>
    </xf>
    <xf numFmtId="164" fontId="7" fillId="4" borderId="12" xfId="1" applyNumberFormat="1" applyFont="1" applyFill="1" applyBorder="1" applyAlignment="1">
      <alignment horizontal="center"/>
    </xf>
    <xf numFmtId="0" fontId="0" fillId="0" borderId="13" xfId="0" applyFill="1" applyBorder="1"/>
    <xf numFmtId="0" fontId="0" fillId="4" borderId="14" xfId="0" applyFill="1" applyBorder="1"/>
    <xf numFmtId="9" fontId="7" fillId="4" borderId="1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164" fontId="6" fillId="4" borderId="16" xfId="1" quotePrefix="1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8" xfId="0" applyBorder="1"/>
    <xf numFmtId="0" fontId="0" fillId="0" borderId="1" xfId="0" applyBorder="1"/>
    <xf numFmtId="0" fontId="0" fillId="0" borderId="22" xfId="0" applyBorder="1"/>
    <xf numFmtId="0" fontId="8" fillId="0" borderId="0" xfId="0" applyFont="1"/>
    <xf numFmtId="0" fontId="8" fillId="0" borderId="0" xfId="0" quotePrefix="1" applyFont="1"/>
    <xf numFmtId="16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C5E0F-2C0E-41B4-B4A1-5976F7D106CA}">
  <dimension ref="A1:L43"/>
  <sheetViews>
    <sheetView tabSelected="1" workbookViewId="0"/>
  </sheetViews>
  <sheetFormatPr defaultRowHeight="14.35" x14ac:dyDescent="0.5"/>
  <cols>
    <col min="1" max="1" width="38.52734375" customWidth="1"/>
    <col min="2" max="2" width="5.41015625" customWidth="1"/>
    <col min="3" max="3" width="14.41015625" customWidth="1"/>
    <col min="4" max="4" width="13" customWidth="1"/>
    <col min="5" max="5" width="13.64453125" customWidth="1"/>
    <col min="6" max="12" width="13" customWidth="1"/>
    <col min="13" max="14" width="12.29296875" customWidth="1"/>
    <col min="15" max="17" width="8.29296875" customWidth="1"/>
  </cols>
  <sheetData>
    <row r="1" spans="1:12" ht="23.35" x14ac:dyDescent="0.8">
      <c r="A1" s="1" t="s">
        <v>0</v>
      </c>
      <c r="B1" s="1"/>
    </row>
    <row r="2" spans="1:12" ht="13" customHeight="1" x14ac:dyDescent="0.5">
      <c r="A2" s="2" t="s">
        <v>58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5"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</row>
    <row r="4" spans="1:12" x14ac:dyDescent="0.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x14ac:dyDescent="0.5">
      <c r="A5" s="48" t="s">
        <v>56</v>
      </c>
    </row>
    <row r="6" spans="1:12" x14ac:dyDescent="0.5">
      <c r="A6" t="s">
        <v>11</v>
      </c>
      <c r="C6" s="5">
        <f>+C28</f>
        <v>10000000</v>
      </c>
      <c r="D6" s="6">
        <f>+C6*((1+D7))</f>
        <v>10200000</v>
      </c>
      <c r="E6" s="6">
        <f t="shared" ref="E6:L6" si="0">+D6*((1+E7))</f>
        <v>10404000</v>
      </c>
      <c r="F6" s="6">
        <f t="shared" si="0"/>
        <v>10612080</v>
      </c>
      <c r="G6" s="6">
        <f t="shared" si="0"/>
        <v>10824321.6</v>
      </c>
      <c r="H6" s="6">
        <f t="shared" si="0"/>
        <v>11040808.032</v>
      </c>
      <c r="I6" s="6">
        <f t="shared" si="0"/>
        <v>11261624.192639999</v>
      </c>
      <c r="J6" s="6">
        <f t="shared" si="0"/>
        <v>11486856.676492799</v>
      </c>
      <c r="K6" s="6">
        <f t="shared" si="0"/>
        <v>11716593.810022656</v>
      </c>
      <c r="L6" s="6">
        <f t="shared" si="0"/>
        <v>11950925.686223108</v>
      </c>
    </row>
    <row r="7" spans="1:12" x14ac:dyDescent="0.5">
      <c r="A7" t="s">
        <v>12</v>
      </c>
      <c r="C7" s="7"/>
      <c r="D7" s="8">
        <v>0.02</v>
      </c>
      <c r="E7" s="8">
        <f>+D7</f>
        <v>0.02</v>
      </c>
      <c r="F7" s="8">
        <f t="shared" ref="F7:L7" si="1">+E7</f>
        <v>0.02</v>
      </c>
      <c r="G7" s="8">
        <f t="shared" si="1"/>
        <v>0.02</v>
      </c>
      <c r="H7" s="8">
        <f t="shared" si="1"/>
        <v>0.02</v>
      </c>
      <c r="I7" s="8">
        <f t="shared" si="1"/>
        <v>0.02</v>
      </c>
      <c r="J7" s="8">
        <f t="shared" si="1"/>
        <v>0.02</v>
      </c>
      <c r="K7" s="8">
        <f t="shared" si="1"/>
        <v>0.02</v>
      </c>
      <c r="L7" s="8">
        <f t="shared" si="1"/>
        <v>0.02</v>
      </c>
    </row>
    <row r="8" spans="1:12" x14ac:dyDescent="0.5">
      <c r="C8" s="7"/>
    </row>
    <row r="9" spans="1:12" x14ac:dyDescent="0.5">
      <c r="A9" t="s">
        <v>13</v>
      </c>
      <c r="C9" s="9">
        <v>20</v>
      </c>
      <c r="D9" s="9">
        <f>+C9*(1+D10)</f>
        <v>21</v>
      </c>
      <c r="E9" s="9">
        <f t="shared" ref="E9:L9" si="2">+D9*(1+E10)</f>
        <v>22.05</v>
      </c>
      <c r="F9" s="9">
        <f t="shared" si="2"/>
        <v>23.152500000000003</v>
      </c>
      <c r="G9" s="9">
        <f t="shared" si="2"/>
        <v>24.310125000000003</v>
      </c>
      <c r="H9" s="9">
        <f t="shared" si="2"/>
        <v>25.525631250000004</v>
      </c>
      <c r="I9" s="9">
        <f t="shared" si="2"/>
        <v>26.801912812500007</v>
      </c>
      <c r="J9" s="9">
        <f t="shared" si="2"/>
        <v>28.142008453125008</v>
      </c>
      <c r="K9" s="9">
        <f t="shared" si="2"/>
        <v>29.549108875781261</v>
      </c>
      <c r="L9" s="9">
        <f t="shared" si="2"/>
        <v>31.026564319570326</v>
      </c>
    </row>
    <row r="10" spans="1:12" x14ac:dyDescent="0.5">
      <c r="A10" t="s">
        <v>14</v>
      </c>
      <c r="C10" s="10"/>
      <c r="D10" s="8">
        <v>0.05</v>
      </c>
      <c r="E10" s="8">
        <f>+D10</f>
        <v>0.05</v>
      </c>
      <c r="F10" s="8">
        <f t="shared" ref="F10:L10" si="3">+E10</f>
        <v>0.05</v>
      </c>
      <c r="G10" s="8">
        <f t="shared" si="3"/>
        <v>0.05</v>
      </c>
      <c r="H10" s="8">
        <f t="shared" si="3"/>
        <v>0.05</v>
      </c>
      <c r="I10" s="8">
        <f t="shared" si="3"/>
        <v>0.05</v>
      </c>
      <c r="J10" s="8">
        <f t="shared" si="3"/>
        <v>0.05</v>
      </c>
      <c r="K10" s="8">
        <f t="shared" si="3"/>
        <v>0.05</v>
      </c>
      <c r="L10" s="8">
        <f t="shared" si="3"/>
        <v>0.05</v>
      </c>
    </row>
    <row r="11" spans="1:12" x14ac:dyDescent="0.5">
      <c r="C11" s="10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5">
      <c r="A12" t="s">
        <v>15</v>
      </c>
      <c r="C12" s="9">
        <v>2</v>
      </c>
      <c r="D12" s="9">
        <f>+C12*(1+D13)</f>
        <v>2.04</v>
      </c>
      <c r="E12" s="9">
        <f t="shared" ref="E12:L12" si="4">+D12*(1+E13)</f>
        <v>2.0808</v>
      </c>
      <c r="F12" s="9">
        <f t="shared" si="4"/>
        <v>2.1224159999999999</v>
      </c>
      <c r="G12" s="9">
        <f t="shared" si="4"/>
        <v>2.16486432</v>
      </c>
      <c r="H12" s="9">
        <f t="shared" si="4"/>
        <v>2.2081616064</v>
      </c>
      <c r="I12" s="9">
        <f t="shared" si="4"/>
        <v>2.2523248385280001</v>
      </c>
      <c r="J12" s="9">
        <f t="shared" si="4"/>
        <v>2.2973713352985601</v>
      </c>
      <c r="K12" s="9">
        <f t="shared" si="4"/>
        <v>2.3433187620045315</v>
      </c>
      <c r="L12" s="9">
        <f t="shared" si="4"/>
        <v>2.3901851372446221</v>
      </c>
    </row>
    <row r="13" spans="1:12" x14ac:dyDescent="0.5">
      <c r="A13" t="s">
        <v>14</v>
      </c>
      <c r="C13" s="10"/>
      <c r="D13" s="8">
        <v>0.02</v>
      </c>
      <c r="E13" s="8">
        <f>+D13</f>
        <v>0.02</v>
      </c>
      <c r="F13" s="8">
        <f t="shared" ref="F13:L13" si="5">+E13</f>
        <v>0.02</v>
      </c>
      <c r="G13" s="8">
        <f t="shared" si="5"/>
        <v>0.02</v>
      </c>
      <c r="H13" s="8">
        <f t="shared" si="5"/>
        <v>0.02</v>
      </c>
      <c r="I13" s="8">
        <f t="shared" si="5"/>
        <v>0.02</v>
      </c>
      <c r="J13" s="8">
        <f t="shared" si="5"/>
        <v>0.02</v>
      </c>
      <c r="K13" s="8">
        <f t="shared" si="5"/>
        <v>0.02</v>
      </c>
      <c r="L13" s="8">
        <f t="shared" si="5"/>
        <v>0.02</v>
      </c>
    </row>
    <row r="14" spans="1:12" x14ac:dyDescent="0.5">
      <c r="C14" s="10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5">
      <c r="A15" t="s">
        <v>16</v>
      </c>
      <c r="C15" s="9">
        <v>3</v>
      </c>
      <c r="D15" s="9">
        <f>+C15*(1+D16)</f>
        <v>3.09</v>
      </c>
      <c r="E15" s="9">
        <f t="shared" ref="E15:L15" si="6">+D15*(1+E16)</f>
        <v>3.1827000000000001</v>
      </c>
      <c r="F15" s="9">
        <f t="shared" si="6"/>
        <v>3.278181</v>
      </c>
      <c r="G15" s="9">
        <f t="shared" si="6"/>
        <v>3.3765264300000002</v>
      </c>
      <c r="H15" s="9">
        <f t="shared" si="6"/>
        <v>3.4778222229000004</v>
      </c>
      <c r="I15" s="9">
        <f t="shared" si="6"/>
        <v>3.5821568895870004</v>
      </c>
      <c r="J15" s="9">
        <f t="shared" si="6"/>
        <v>3.6896215962746104</v>
      </c>
      <c r="K15" s="9">
        <f t="shared" si="6"/>
        <v>3.8003102441628487</v>
      </c>
      <c r="L15" s="9">
        <f t="shared" si="6"/>
        <v>3.914319551487734</v>
      </c>
    </row>
    <row r="16" spans="1:12" x14ac:dyDescent="0.5">
      <c r="A16" t="s">
        <v>14</v>
      </c>
      <c r="D16" s="8">
        <v>0.03</v>
      </c>
      <c r="E16" s="8">
        <f>+D16</f>
        <v>0.03</v>
      </c>
      <c r="F16" s="8">
        <f t="shared" ref="F16:L16" si="7">+E16</f>
        <v>0.03</v>
      </c>
      <c r="G16" s="8">
        <f t="shared" si="7"/>
        <v>0.03</v>
      </c>
      <c r="H16" s="8">
        <f t="shared" si="7"/>
        <v>0.03</v>
      </c>
      <c r="I16" s="8">
        <f t="shared" si="7"/>
        <v>0.03</v>
      </c>
      <c r="J16" s="8">
        <f t="shared" si="7"/>
        <v>0.03</v>
      </c>
      <c r="K16" s="8">
        <f t="shared" si="7"/>
        <v>0.03</v>
      </c>
      <c r="L16" s="8">
        <f t="shared" si="7"/>
        <v>0.03</v>
      </c>
    </row>
    <row r="18" spans="1:12" x14ac:dyDescent="0.5">
      <c r="A18" s="49" t="s">
        <v>57</v>
      </c>
      <c r="B18" s="11"/>
    </row>
    <row r="19" spans="1:12" x14ac:dyDescent="0.5">
      <c r="A19" t="s">
        <v>17</v>
      </c>
      <c r="C19" s="7">
        <f>+C9*C6*12/1000</f>
        <v>2400000</v>
      </c>
      <c r="D19" s="7">
        <f>+D9*D6*12/1000</f>
        <v>2570400</v>
      </c>
      <c r="E19" s="7">
        <f t="shared" ref="E19:L19" si="8">+E9*E6*12/1000</f>
        <v>2752898.4</v>
      </c>
      <c r="F19" s="7">
        <f t="shared" si="8"/>
        <v>2948354.1864000005</v>
      </c>
      <c r="G19" s="7">
        <f t="shared" si="8"/>
        <v>3157687.3336344003</v>
      </c>
      <c r="H19" s="7">
        <f t="shared" si="8"/>
        <v>3381883.134322443</v>
      </c>
      <c r="I19" s="7">
        <f t="shared" si="8"/>
        <v>3621996.8368593366</v>
      </c>
      <c r="J19" s="7">
        <f t="shared" si="8"/>
        <v>3879158.6122763492</v>
      </c>
      <c r="K19" s="7">
        <f t="shared" si="8"/>
        <v>4154578.8737479714</v>
      </c>
      <c r="L19" s="7">
        <f t="shared" si="8"/>
        <v>4449553.973784077</v>
      </c>
    </row>
    <row r="20" spans="1:12" x14ac:dyDescent="0.5">
      <c r="A20" t="s">
        <v>18</v>
      </c>
      <c r="C20" s="7">
        <f>-C12*C6*12/1000</f>
        <v>-240000</v>
      </c>
      <c r="D20" s="7">
        <f t="shared" ref="D20:L20" si="9">-D12*D6*12/1000</f>
        <v>-249696</v>
      </c>
      <c r="E20" s="7">
        <f t="shared" si="9"/>
        <v>-259783.71839999998</v>
      </c>
      <c r="F20" s="7">
        <f t="shared" si="9"/>
        <v>-270278.98062335997</v>
      </c>
      <c r="G20" s="7">
        <f t="shared" si="9"/>
        <v>-281198.2514405438</v>
      </c>
      <c r="H20" s="7">
        <f t="shared" si="9"/>
        <v>-292558.66079874168</v>
      </c>
      <c r="I20" s="7">
        <f t="shared" si="9"/>
        <v>-304378.03069501085</v>
      </c>
      <c r="J20" s="7">
        <f t="shared" si="9"/>
        <v>-316674.90313508932</v>
      </c>
      <c r="K20" s="7">
        <f t="shared" si="9"/>
        <v>-329468.56922174699</v>
      </c>
      <c r="L20" s="7">
        <f t="shared" si="9"/>
        <v>-342779.0994183055</v>
      </c>
    </row>
    <row r="21" spans="1:12" x14ac:dyDescent="0.5">
      <c r="A21" t="s">
        <v>19</v>
      </c>
      <c r="C21" s="7">
        <f>-C15*C6*12/1000</f>
        <v>-360000</v>
      </c>
      <c r="D21" s="7">
        <f t="shared" ref="D21:L21" si="10">-D15*D6*12/1000</f>
        <v>-378216</v>
      </c>
      <c r="E21" s="7">
        <f t="shared" si="10"/>
        <v>-397353.72960000002</v>
      </c>
      <c r="F21" s="7">
        <f t="shared" si="10"/>
        <v>-417459.82831775997</v>
      </c>
      <c r="G21" s="7">
        <f t="shared" si="10"/>
        <v>-438583.2956306386</v>
      </c>
      <c r="H21" s="7">
        <f t="shared" si="10"/>
        <v>-460775.61038954899</v>
      </c>
      <c r="I21" s="7">
        <f t="shared" si="10"/>
        <v>-484090.85627526016</v>
      </c>
      <c r="J21" s="7">
        <f t="shared" si="10"/>
        <v>-508585.85360278835</v>
      </c>
      <c r="K21" s="7">
        <f t="shared" si="10"/>
        <v>-534320.29779508943</v>
      </c>
      <c r="L21" s="7">
        <f t="shared" si="10"/>
        <v>-561356.90486352087</v>
      </c>
    </row>
    <row r="22" spans="1:12" ht="14.7" thickBot="1" x14ac:dyDescent="0.55000000000000004">
      <c r="A22" t="s">
        <v>20</v>
      </c>
      <c r="C22" s="12">
        <f>SUM(C19:C21)</f>
        <v>1800000</v>
      </c>
      <c r="D22" s="12">
        <f t="shared" ref="D22:L22" si="11">SUM(D19:D21)</f>
        <v>1942488</v>
      </c>
      <c r="E22" s="12">
        <f t="shared" si="11"/>
        <v>2095760.9519999998</v>
      </c>
      <c r="F22" s="12">
        <f t="shared" si="11"/>
        <v>2260615.3774588807</v>
      </c>
      <c r="G22" s="12">
        <f t="shared" si="11"/>
        <v>2437905.7865632181</v>
      </c>
      <c r="H22" s="12">
        <f t="shared" si="11"/>
        <v>2628548.8631341527</v>
      </c>
      <c r="I22" s="12">
        <f t="shared" si="11"/>
        <v>2833527.9498890657</v>
      </c>
      <c r="J22" s="12">
        <f t="shared" si="11"/>
        <v>3053897.8555384716</v>
      </c>
      <c r="K22" s="12">
        <f t="shared" si="11"/>
        <v>3290790.0067311348</v>
      </c>
      <c r="L22" s="12">
        <f t="shared" si="11"/>
        <v>3545417.9695022507</v>
      </c>
    </row>
    <row r="23" spans="1:12" ht="14.7" thickTop="1" x14ac:dyDescent="0.5">
      <c r="A23" t="s">
        <v>21</v>
      </c>
      <c r="B23" s="13">
        <v>0</v>
      </c>
      <c r="L23" s="6">
        <f>+L22*B23</f>
        <v>0</v>
      </c>
    </row>
    <row r="24" spans="1:12" ht="14.7" thickBot="1" x14ac:dyDescent="0.55000000000000004">
      <c r="A24" t="s">
        <v>22</v>
      </c>
      <c r="B24" s="14"/>
      <c r="C24" s="12">
        <f>+C23+C22</f>
        <v>1800000</v>
      </c>
      <c r="D24" s="12">
        <f t="shared" ref="D24:L24" si="12">+D23+D22</f>
        <v>1942488</v>
      </c>
      <c r="E24" s="12">
        <f t="shared" si="12"/>
        <v>2095760.9519999998</v>
      </c>
      <c r="F24" s="12">
        <f t="shared" si="12"/>
        <v>2260615.3774588807</v>
      </c>
      <c r="G24" s="12">
        <f t="shared" si="12"/>
        <v>2437905.7865632181</v>
      </c>
      <c r="H24" s="12">
        <f t="shared" si="12"/>
        <v>2628548.8631341527</v>
      </c>
      <c r="I24" s="12">
        <f t="shared" si="12"/>
        <v>2833527.9498890657</v>
      </c>
      <c r="J24" s="12">
        <f t="shared" si="12"/>
        <v>3053897.8555384716</v>
      </c>
      <c r="K24" s="12">
        <f t="shared" si="12"/>
        <v>3290790.0067311348</v>
      </c>
      <c r="L24" s="12">
        <f t="shared" si="12"/>
        <v>3545417.9695022507</v>
      </c>
    </row>
    <row r="25" spans="1:12" ht="14.7" thickTop="1" x14ac:dyDescent="0.5">
      <c r="A25" t="s">
        <v>23</v>
      </c>
      <c r="B25" s="14">
        <v>0.25</v>
      </c>
      <c r="C25" s="6">
        <f>+C24/(1+$B$25)^C3</f>
        <v>1440000</v>
      </c>
      <c r="D25" s="6">
        <f t="shared" ref="D25:L25" si="13">+D24/(1+$B$25)^D3</f>
        <v>1243192.3200000001</v>
      </c>
      <c r="E25" s="6">
        <f t="shared" si="13"/>
        <v>1073029.6074239998</v>
      </c>
      <c r="F25" s="6">
        <f t="shared" si="13"/>
        <v>925948.05860715755</v>
      </c>
      <c r="G25" s="6">
        <f t="shared" si="13"/>
        <v>798852.96814103529</v>
      </c>
      <c r="H25" s="6">
        <f t="shared" si="13"/>
        <v>689058.31317743938</v>
      </c>
      <c r="I25" s="6">
        <f t="shared" si="13"/>
        <v>594233.88071657543</v>
      </c>
      <c r="J25" s="6">
        <f t="shared" si="13"/>
        <v>512359.03964305733</v>
      </c>
      <c r="K25" s="6">
        <f t="shared" si="13"/>
        <v>441682.35802855762</v>
      </c>
      <c r="L25" s="6">
        <f t="shared" si="13"/>
        <v>380686.35574157228</v>
      </c>
    </row>
    <row r="26" spans="1:12" x14ac:dyDescent="0.5">
      <c r="A26" t="s">
        <v>24</v>
      </c>
      <c r="C26" s="7">
        <f>SUM(C25:L25)</f>
        <v>8099042.901479396</v>
      </c>
    </row>
    <row r="28" spans="1:12" x14ac:dyDescent="0.5">
      <c r="A28" s="15" t="s">
        <v>25</v>
      </c>
      <c r="B28" s="15"/>
      <c r="C28" s="6">
        <v>10000000</v>
      </c>
      <c r="D28" t="s">
        <v>26</v>
      </c>
      <c r="I28" s="6"/>
    </row>
    <row r="29" spans="1:12" x14ac:dyDescent="0.5">
      <c r="A29" s="15" t="s">
        <v>27</v>
      </c>
      <c r="B29" s="15"/>
      <c r="C29" s="16">
        <v>20</v>
      </c>
      <c r="D29" t="s">
        <v>28</v>
      </c>
      <c r="I29" s="6"/>
    </row>
    <row r="30" spans="1:12" x14ac:dyDescent="0.5">
      <c r="A30" s="15" t="s">
        <v>29</v>
      </c>
      <c r="B30" s="15"/>
      <c r="C30" s="10">
        <v>400</v>
      </c>
      <c r="D30" t="s">
        <v>30</v>
      </c>
    </row>
    <row r="31" spans="1:12" x14ac:dyDescent="0.5">
      <c r="A31" s="15" t="s">
        <v>31</v>
      </c>
      <c r="B31" s="15"/>
      <c r="C31">
        <v>10</v>
      </c>
      <c r="D31" t="s">
        <v>32</v>
      </c>
    </row>
    <row r="32" spans="1:12" x14ac:dyDescent="0.5">
      <c r="A32" s="15" t="s">
        <v>33</v>
      </c>
      <c r="B32" s="15"/>
      <c r="C32" s="14">
        <f>1/C31</f>
        <v>0.1</v>
      </c>
      <c r="D32" s="11" t="s">
        <v>34</v>
      </c>
    </row>
    <row r="33" spans="1:10" x14ac:dyDescent="0.5">
      <c r="A33" s="15" t="s">
        <v>35</v>
      </c>
      <c r="B33" s="15"/>
      <c r="C33" s="14">
        <v>0.03</v>
      </c>
    </row>
    <row r="34" spans="1:10" x14ac:dyDescent="0.5">
      <c r="A34" s="15" t="s">
        <v>36</v>
      </c>
      <c r="B34" s="15"/>
      <c r="C34" s="50">
        <v>0.05</v>
      </c>
    </row>
    <row r="35" spans="1:10" x14ac:dyDescent="0.5">
      <c r="A35" s="17"/>
      <c r="B35" s="17"/>
    </row>
    <row r="36" spans="1:10" ht="14.7" thickBot="1" x14ac:dyDescent="0.55000000000000004">
      <c r="A36" s="17" t="s">
        <v>37</v>
      </c>
      <c r="B36" s="17"/>
    </row>
    <row r="37" spans="1:10" ht="23.7" customHeight="1" thickBot="1" x14ac:dyDescent="0.55000000000000004">
      <c r="A37" s="18" t="s">
        <v>38</v>
      </c>
      <c r="B37" s="19"/>
      <c r="C37" s="20"/>
      <c r="D37" s="18" t="s">
        <v>39</v>
      </c>
      <c r="E37" s="21"/>
      <c r="G37" s="39" t="s">
        <v>55</v>
      </c>
      <c r="H37" s="40"/>
      <c r="I37" s="40"/>
      <c r="J37" s="41"/>
    </row>
    <row r="38" spans="1:10" ht="21.45" customHeight="1" x14ac:dyDescent="0.5">
      <c r="A38" s="22" t="s">
        <v>40</v>
      </c>
      <c r="B38" s="23"/>
      <c r="C38" s="24">
        <f>SQRT(C34)</f>
        <v>0.22360679774997896</v>
      </c>
      <c r="D38" s="25" t="s">
        <v>41</v>
      </c>
      <c r="E38" s="26">
        <f>(G40+H40)/J40</f>
        <v>0.3612630228735485</v>
      </c>
      <c r="G38" s="42" t="s">
        <v>42</v>
      </c>
      <c r="H38" s="43"/>
      <c r="I38" s="43"/>
      <c r="J38" s="44"/>
    </row>
    <row r="39" spans="1:10" ht="21.45" customHeight="1" x14ac:dyDescent="0.5">
      <c r="A39" s="27" t="s">
        <v>43</v>
      </c>
      <c r="B39" s="28"/>
      <c r="C39" s="29">
        <f>+C31</f>
        <v>10</v>
      </c>
      <c r="D39" s="30" t="s">
        <v>44</v>
      </c>
      <c r="E39" s="31">
        <f>E38-J40</f>
        <v>-0.34584375831299907</v>
      </c>
      <c r="G39" s="42" t="s">
        <v>45</v>
      </c>
      <c r="H39" s="43" t="s">
        <v>46</v>
      </c>
      <c r="I39" s="43"/>
      <c r="J39" s="44" t="s">
        <v>47</v>
      </c>
    </row>
    <row r="40" spans="1:10" ht="21.45" customHeight="1" x14ac:dyDescent="0.5">
      <c r="A40" s="27" t="s">
        <v>48</v>
      </c>
      <c r="B40" s="28"/>
      <c r="C40" s="32">
        <f>+C33</f>
        <v>0.03</v>
      </c>
      <c r="D40" s="30" t="s">
        <v>49</v>
      </c>
      <c r="E40" s="31">
        <f>NORMSDIST(E38)</f>
        <v>0.6410485833909958</v>
      </c>
      <c r="G40" s="42">
        <f>LN(C41/C42)</f>
        <v>0.70545153326583709</v>
      </c>
      <c r="H40" s="43">
        <f>(C40-C43+(C38^2)/2)*C39</f>
        <v>-0.45000000000000012</v>
      </c>
      <c r="I40" s="43"/>
      <c r="J40" s="44">
        <f>C38*SQRT(C39)</f>
        <v>0.70710678118654757</v>
      </c>
    </row>
    <row r="41" spans="1:10" ht="21.45" customHeight="1" x14ac:dyDescent="0.5">
      <c r="A41" s="27" t="s">
        <v>50</v>
      </c>
      <c r="B41" s="28"/>
      <c r="C41" s="33">
        <f>+C26*1000</f>
        <v>8099042901.4793959</v>
      </c>
      <c r="D41" s="30" t="s">
        <v>51</v>
      </c>
      <c r="E41" s="31">
        <f>NORMSDIST(E39)</f>
        <v>0.36473006880754621</v>
      </c>
      <c r="G41" s="42"/>
      <c r="H41" s="43"/>
      <c r="I41" s="43"/>
      <c r="J41" s="44"/>
    </row>
    <row r="42" spans="1:10" ht="21.45" customHeight="1" x14ac:dyDescent="0.5">
      <c r="A42" s="27" t="s">
        <v>52</v>
      </c>
      <c r="B42" s="28"/>
      <c r="C42" s="33">
        <f>C28*C30</f>
        <v>4000000000</v>
      </c>
      <c r="D42" s="34"/>
      <c r="E42" s="35"/>
      <c r="G42" s="45"/>
      <c r="H42" s="46"/>
      <c r="I42" s="46"/>
      <c r="J42" s="47"/>
    </row>
    <row r="43" spans="1:10" ht="21.45" customHeight="1" thickBot="1" x14ac:dyDescent="0.55000000000000004">
      <c r="A43" s="27" t="s">
        <v>53</v>
      </c>
      <c r="B43" s="28"/>
      <c r="C43" s="36">
        <f>+C32</f>
        <v>0.1</v>
      </c>
      <c r="D43" s="37" t="s">
        <v>54</v>
      </c>
      <c r="E43" s="38">
        <f>(C41*EXP(-C43*C39)*E40)-(C42*EXP(-C40*C39)*E41)</f>
        <v>829191182.82362056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2019-05-08T11:26:25Z</dcterms:created>
  <dcterms:modified xsi:type="dcterms:W3CDTF">2019-05-29T12:39:23Z</dcterms:modified>
</cp:coreProperties>
</file>