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A6C0C8B4-64A3-4283-BD63-57AC942AB6D7}" xr6:coauthVersionLast="47" xr6:coauthVersionMax="47" xr10:uidLastSave="{00000000-0000-0000-0000-000000000000}"/>
  <bookViews>
    <workbookView xWindow="-110" yWindow="-110" windowWidth="19420" windowHeight="10420" xr2:uid="{C428C106-AB6E-4895-BB3D-3BE26818FB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1" i="1" s="1"/>
  <c r="D7" i="1"/>
  <c r="F6" i="1"/>
  <c r="F16" i="1" s="1"/>
  <c r="D31" i="1"/>
  <c r="C9" i="1"/>
  <c r="C11" i="1" s="1"/>
  <c r="F8" i="1" l="1"/>
  <c r="F10" i="1"/>
  <c r="F14" i="1" s="1"/>
  <c r="F15" i="1"/>
  <c r="F7" i="1"/>
  <c r="G6" i="1"/>
  <c r="H6" i="1" s="1"/>
  <c r="H7" i="1" s="1"/>
  <c r="H16" i="1" l="1"/>
  <c r="H15" i="1"/>
  <c r="H10" i="1"/>
  <c r="H14" i="1" s="1"/>
  <c r="G16" i="1"/>
  <c r="G10" i="1"/>
  <c r="G14" i="1" s="1"/>
  <c r="G7" i="1"/>
  <c r="G9" i="1" s="1"/>
  <c r="G11" i="1" s="1"/>
  <c r="G12" i="1" s="1"/>
  <c r="G13" i="1" s="1"/>
  <c r="G17" i="1" s="1"/>
  <c r="G19" i="1" s="1"/>
  <c r="G28" i="1" s="1"/>
  <c r="G30" i="1" s="1"/>
  <c r="I6" i="1"/>
  <c r="J6" i="1" s="1"/>
  <c r="J7" i="1" s="1"/>
  <c r="G15" i="1"/>
  <c r="G8" i="1"/>
  <c r="H8" i="1"/>
  <c r="H9" i="1"/>
  <c r="H11" i="1" s="1"/>
  <c r="H12" i="1" s="1"/>
  <c r="H13" i="1" s="1"/>
  <c r="H17" i="1" s="1"/>
  <c r="H19" i="1" s="1"/>
  <c r="H28" i="1" s="1"/>
  <c r="H30" i="1" s="1"/>
  <c r="J16" i="1" l="1"/>
  <c r="J8" i="1"/>
  <c r="J9" i="1" s="1"/>
  <c r="J15" i="1"/>
  <c r="I16" i="1"/>
  <c r="I10" i="1"/>
  <c r="I14" i="1" s="1"/>
  <c r="J10" i="1"/>
  <c r="J14" i="1" s="1"/>
  <c r="I8" i="1"/>
  <c r="I9" i="1" s="1"/>
  <c r="I11" i="1" s="1"/>
  <c r="I12" i="1" s="1"/>
  <c r="I13" i="1" s="1"/>
  <c r="I17" i="1" s="1"/>
  <c r="I19" i="1" s="1"/>
  <c r="I15" i="1"/>
  <c r="I7" i="1"/>
  <c r="J11" i="1" l="1"/>
  <c r="J12" i="1" s="1"/>
  <c r="J13" i="1" s="1"/>
  <c r="J17" i="1" s="1"/>
  <c r="J19" i="1"/>
  <c r="I23" i="1"/>
  <c r="I22" i="1"/>
  <c r="I24" i="1" s="1"/>
  <c r="I26" i="1" s="1"/>
  <c r="I28" i="1" s="1"/>
  <c r="I30" i="1" s="1"/>
  <c r="F9" i="1" l="1"/>
  <c r="F11" i="1" s="1"/>
  <c r="F12" i="1" s="1"/>
  <c r="F13" i="1" l="1"/>
  <c r="F17" i="1" s="1"/>
  <c r="F19" i="1" s="1"/>
  <c r="F28" i="1" s="1"/>
  <c r="F30" i="1" s="1"/>
  <c r="D30" i="1" s="1"/>
  <c r="D33" i="1" s="1"/>
  <c r="D34" i="1" s="1"/>
</calcChain>
</file>

<file path=xl/sharedStrings.xml><?xml version="1.0" encoding="utf-8"?>
<sst xmlns="http://schemas.openxmlformats.org/spreadsheetml/2006/main" count="56" uniqueCount="51">
  <si>
    <t>Discount Cash Flow Valuation Method (000's)</t>
  </si>
  <si>
    <t>PROJECTED</t>
  </si>
  <si>
    <t>EXIT YEAR</t>
  </si>
  <si>
    <t>Year -1</t>
  </si>
  <si>
    <t>Year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</si>
  <si>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</si>
  <si>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</si>
  <si>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</si>
  <si>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</si>
  <si>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</si>
  <si>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</si>
  <si>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</si>
  <si>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</si>
  <si>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EBITDA</t>
  </si>
  <si>
    <t>Less Depreciation &amp; Amortization</t>
  </si>
  <si>
    <t>EBIT</t>
  </si>
  <si>
    <t>Less Taxes</t>
  </si>
  <si>
    <t>EAT</t>
  </si>
  <si>
    <t>Plus Depreciation &amp; Amortization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</si>
  <si>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</si>
  <si>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</si>
  <si>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</si>
  <si>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</si>
  <si>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</si>
  <si>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</si>
  <si>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</si>
  <si>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</si>
  <si>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</si>
  <si>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</si>
  <si>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</si>
  <si>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</si>
  <si>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Less Debt</t>
  </si>
  <si>
    <t>Equity Value at Exit Year</t>
  </si>
  <si>
    <t>Equity Cash Flows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</si>
  <si>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</si>
  <si>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</si>
  <si>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</si>
  <si>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</si>
  <si>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</si>
  <si>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</si>
  <si>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Revenue Growth</t>
  </si>
  <si>
    <t>Cost of Rev % Rev</t>
  </si>
  <si>
    <t>Oper. Exp % of Rev</t>
  </si>
  <si>
    <t>Deprec % of Rev</t>
  </si>
  <si>
    <t>Tax Rate</t>
  </si>
  <si>
    <t>WC % of Rev</t>
  </si>
  <si>
    <t>Capex % Rev</t>
  </si>
  <si>
    <t>Private Company DCF</t>
  </si>
  <si>
    <t>Operating Assumptions</t>
  </si>
  <si>
    <t>Growth=</t>
  </si>
  <si>
    <t>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</si>
</sst>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0" fontId="0" fillId="0" borderId="2" xfId="0" applyBorder="1"/>
    <xf numFmtId="0" fontId="9" fillId="0" borderId="0" xfId="0" applyFont="1"/>
    <xf numFmtId="0" fontId="0" fillId="0" borderId="0" xfId="0" applyAlignment="1">
      <alignment horizontal="right"/>
    </xf>
    <xf numFmtId="165" fontId="3" fillId="0" borderId="0" xfId="0" applyNumberFormat="1" applyFont="1"/>
    <xf numFmtId="164" fontId="0" fillId="0" borderId="2" xfId="0" applyNumberFormat="1" applyBorder="1"/>
    <xf numFmtId="9" fontId="3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9" fontId="0" fillId="0" borderId="0" xfId="0" applyNumberFormat="1"/>
    <xf numFmtId="164" fontId="0" fillId="0" borderId="0" xfId="0" applyNumberFormat="1"/>
    <xf numFmtId="164" fontId="3" fillId="0" borderId="6" xfId="0" applyNumberFormat="1" applyFont="1" applyBorder="1"/>
    <xf numFmtId="164" fontId="10" fillId="0" borderId="0" xfId="1" applyNumberFormat="1" applyFont="1" applyBorder="1"/>
    <xf numFmtId="164" fontId="10" fillId="0" borderId="2" xfId="1" applyNumberFormat="1" applyFont="1" applyBorder="1"/>
    <xf numFmtId="41" fontId="10" fillId="0" borderId="0" xfId="0" applyNumberFormat="1" applyFont="1"/>
    <xf numFmtId="164" fontId="10" fillId="0" borderId="3" xfId="1" applyNumberFormat="1" applyFont="1" applyBorder="1"/>
    <xf numFmtId="0" fontId="0" fillId="0" borderId="0" xfId="0" applyBorder="1"/>
    <xf numFmtId="166" fontId="10" fillId="0" borderId="0" xfId="2" applyNumberFormat="1" applyFont="1" applyBorder="1"/>
    <xf numFmtId="0" fontId="10" fillId="0" borderId="0" xfId="0" applyFont="1" applyBorder="1"/>
    <xf numFmtId="9" fontId="3" fillId="0" borderId="0" xfId="0" applyNumberFormat="1" applyFont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Continuous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165" fontId="3" fillId="0" borderId="0" xfId="0" applyNumberFormat="1" applyFont="1" applyBorder="1"/>
    <xf numFmtId="0" fontId="0" fillId="3" borderId="1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66E4-3DF3-4966-A7B1-499C8FBAE4DE}">
  <dimension ref="A1:S35"/>
  <sheetViews>
    <sheetView tabSelected="1" workbookViewId="0">
      <selection activeCell="B14" sqref="B14"/>
    </sheetView>
  </sheetViews>
  <sheetFormatPr defaultRowHeight="14.5" x14ac:dyDescent="0.35"/>
  <cols>
    <col min="1" max="1" width="2.6328125" style="26" customWidth="1"/>
    <col min="2" max="2" width="31.26953125" customWidth="1"/>
    <col min="3" max="4" width="11.6328125" customWidth="1"/>
    <col min="5" max="5" width="6.453125" customWidth="1"/>
    <col min="6" max="8" width="10.26953125" customWidth="1"/>
    <col min="9" max="9" width="12" customWidth="1"/>
    <col min="10" max="10" width="10.26953125" customWidth="1"/>
    <col min="11" max="11" width="3" customWidth="1"/>
    <col min="13" max="13" width="9.7265625" bestFit="1" customWidth="1"/>
    <col min="15" max="19" width="9.7265625" bestFit="1" customWidth="1"/>
  </cols>
  <sheetData>
    <row r="1" spans="2:19" ht="20" x14ac:dyDescent="0.4">
      <c r="B1" s="31" t="s">
        <v>47</v>
      </c>
      <c r="C1" s="30"/>
      <c r="D1" s="30"/>
      <c r="E1" s="26"/>
      <c r="F1" s="26"/>
      <c r="G1" s="26"/>
      <c r="H1" s="26"/>
      <c r="I1" s="26"/>
      <c r="J1" s="26"/>
      <c r="K1" s="26"/>
    </row>
    <row r="2" spans="2:19" ht="15.5" x14ac:dyDescent="0.35">
      <c r="B2" s="32" t="s">
        <v>0</v>
      </c>
      <c r="C2" s="1"/>
      <c r="D2" s="1"/>
      <c r="K2" s="26"/>
      <c r="L2" s="26"/>
      <c r="M2" s="26"/>
      <c r="N2" s="26"/>
      <c r="O2" s="26"/>
      <c r="P2" s="26"/>
      <c r="Q2" s="26"/>
      <c r="R2" s="26"/>
      <c r="S2" s="26"/>
    </row>
    <row r="3" spans="2:19" x14ac:dyDescent="0.35">
      <c r="B3" s="35"/>
      <c r="C3" s="37" t="s">
        <v>50</v>
      </c>
      <c r="D3" s="37"/>
      <c r="F3" s="36" t="s">
        <v>1</v>
      </c>
      <c r="G3" s="36"/>
      <c r="H3" s="36"/>
      <c r="I3" s="36"/>
      <c r="J3" s="36"/>
      <c r="K3" s="26"/>
      <c r="L3" s="37"/>
      <c r="M3" s="37"/>
      <c r="N3" s="37"/>
      <c r="O3" s="37"/>
      <c r="P3" s="37"/>
      <c r="Q3" s="37"/>
      <c r="R3" s="37"/>
      <c r="S3" s="26"/>
    </row>
    <row r="4" spans="2:19" x14ac:dyDescent="0.35">
      <c r="B4" s="30"/>
      <c r="C4" s="1"/>
      <c r="D4" s="1"/>
      <c r="F4" s="2"/>
      <c r="G4" s="2"/>
      <c r="H4" s="2"/>
      <c r="I4" s="41" t="s">
        <v>2</v>
      </c>
      <c r="J4" s="2"/>
      <c r="K4" s="26"/>
      <c r="L4" s="42" t="s">
        <v>48</v>
      </c>
      <c r="M4" s="43"/>
      <c r="N4" s="43"/>
      <c r="O4" s="43"/>
      <c r="P4" s="43"/>
      <c r="Q4" s="43"/>
      <c r="R4" s="43"/>
      <c r="S4" s="26"/>
    </row>
    <row r="5" spans="2:19" ht="15.5" x14ac:dyDescent="0.35">
      <c r="B5" s="32"/>
      <c r="C5" s="38" t="s">
        <v>3</v>
      </c>
      <c r="D5" s="38" t="s">
        <v>4</v>
      </c>
      <c r="F5" s="39" t="s">
        <v>5</v>
      </c>
      <c r="G5" s="39" t="s">
        <v>6</v>
      </c>
      <c r="H5" s="39" t="s">
        <v>7</v>
      </c>
      <c r="I5" s="40" t="s">
        <v>8</v>
      </c>
      <c r="J5" s="39" t="s">
        <v>9</v>
      </c>
      <c r="K5" s="26"/>
      <c r="L5" s="45"/>
      <c r="M5" s="45"/>
      <c r="N5" s="38" t="s">
        <v>5</v>
      </c>
      <c r="O5" s="38" t="s">
        <v>6</v>
      </c>
      <c r="P5" s="38" t="s">
        <v>7</v>
      </c>
      <c r="Q5" s="38" t="s">
        <v>8</v>
      </c>
      <c r="R5" s="38" t="s">
        <v>9</v>
      </c>
      <c r="S5" s="26"/>
    </row>
    <row r="6" spans="2:19" x14ac:dyDescent="0.35">
      <c r="B6" s="26" t="s">
        <v>10</v>
      </c>
      <c r="C6" s="3">
        <v>960000</v>
      </c>
      <c r="D6" s="3">
        <v>1110000</v>
      </c>
      <c r="F6" s="3">
        <f>+D6*(1+N6)</f>
        <v>1221000</v>
      </c>
      <c r="G6" s="3">
        <f>+F6*(1+O6)</f>
        <v>1318680</v>
      </c>
      <c r="H6" s="3">
        <f>+G6*(1+P6)</f>
        <v>1410987.6</v>
      </c>
      <c r="I6" s="4">
        <f>+H6*(1+Q6)</f>
        <v>1495646.8560000001</v>
      </c>
      <c r="J6" s="3">
        <f>+I6*(1+R6)</f>
        <v>1570429.1988000001</v>
      </c>
      <c r="K6" s="26"/>
      <c r="L6" s="26" t="s">
        <v>40</v>
      </c>
      <c r="M6" s="26"/>
      <c r="N6" s="27">
        <v>0.1</v>
      </c>
      <c r="O6" s="27">
        <v>0.08</v>
      </c>
      <c r="P6" s="27">
        <v>7.0000000000000007E-2</v>
      </c>
      <c r="Q6" s="27">
        <v>0.06</v>
      </c>
      <c r="R6" s="27">
        <v>0.05</v>
      </c>
      <c r="S6" s="26"/>
    </row>
    <row r="7" spans="2:19" x14ac:dyDescent="0.35">
      <c r="B7" s="26" t="s">
        <v>11</v>
      </c>
      <c r="C7" s="3">
        <v>-345000</v>
      </c>
      <c r="D7" s="3">
        <f>-D6*0.4</f>
        <v>-444000</v>
      </c>
      <c r="F7" s="3">
        <f>-N7*F6</f>
        <v>-488400</v>
      </c>
      <c r="G7" s="3">
        <f>-O7*G6</f>
        <v>-527472</v>
      </c>
      <c r="H7" s="3">
        <f>-P7*H6</f>
        <v>-564395.04</v>
      </c>
      <c r="I7" s="4">
        <f>-Q7*I6</f>
        <v>-598258.7424000001</v>
      </c>
      <c r="J7" s="3">
        <f>-R7*J6</f>
        <v>-628171.67952000012</v>
      </c>
      <c r="K7" s="26"/>
      <c r="L7" s="26" t="s">
        <v>41</v>
      </c>
      <c r="M7" s="26"/>
      <c r="N7" s="27">
        <v>0.4</v>
      </c>
      <c r="O7" s="27">
        <v>0.4</v>
      </c>
      <c r="P7" s="27">
        <v>0.4</v>
      </c>
      <c r="Q7" s="27">
        <v>0.4</v>
      </c>
      <c r="R7" s="27">
        <v>0.4</v>
      </c>
      <c r="S7" s="26"/>
    </row>
    <row r="8" spans="2:19" x14ac:dyDescent="0.35">
      <c r="B8" s="26" t="s">
        <v>12</v>
      </c>
      <c r="C8" s="5">
        <v>-230000</v>
      </c>
      <c r="D8" s="5">
        <f>-D6*0.2</f>
        <v>-222000</v>
      </c>
      <c r="F8" s="5">
        <f>-N8*F6</f>
        <v>-244200</v>
      </c>
      <c r="G8" s="5">
        <f>-O8*G6</f>
        <v>-263736</v>
      </c>
      <c r="H8" s="5">
        <f>-P8*H6</f>
        <v>-282197.52</v>
      </c>
      <c r="I8" s="6">
        <f>-Q8*I6</f>
        <v>-299129.37120000005</v>
      </c>
      <c r="J8" s="5">
        <f>-R8*J6</f>
        <v>-314085.83976000006</v>
      </c>
      <c r="K8" s="26"/>
      <c r="L8" s="26" t="s">
        <v>42</v>
      </c>
      <c r="M8" s="26"/>
      <c r="N8" s="27">
        <v>0.2</v>
      </c>
      <c r="O8" s="27">
        <v>0.2</v>
      </c>
      <c r="P8" s="27">
        <v>0.2</v>
      </c>
      <c r="Q8" s="27">
        <v>0.2</v>
      </c>
      <c r="R8" s="27">
        <v>0.2</v>
      </c>
      <c r="S8" s="26"/>
    </row>
    <row r="9" spans="2:19" x14ac:dyDescent="0.35">
      <c r="B9" s="33" t="s">
        <v>13</v>
      </c>
      <c r="C9" s="7">
        <f>SUM(C6:C8)</f>
        <v>385000</v>
      </c>
      <c r="D9" s="7">
        <f>SUM(D6:D8)</f>
        <v>444000</v>
      </c>
      <c r="E9" s="7"/>
      <c r="F9" s="7">
        <f t="shared" ref="F9" si="0">SUM(F6:F8)</f>
        <v>488400</v>
      </c>
      <c r="G9" s="7">
        <f t="shared" ref="G9:J9" si="1">SUM(G6:G8)</f>
        <v>527472</v>
      </c>
      <c r="H9" s="7">
        <f t="shared" si="1"/>
        <v>564395.04</v>
      </c>
      <c r="I9" s="8">
        <f t="shared" si="1"/>
        <v>598258.74239999999</v>
      </c>
      <c r="J9" s="7">
        <f t="shared" si="1"/>
        <v>628171.67952000001</v>
      </c>
      <c r="K9" s="26"/>
      <c r="L9" s="26"/>
      <c r="M9" s="26"/>
      <c r="N9" s="28"/>
      <c r="O9" s="28"/>
      <c r="P9" s="28"/>
      <c r="Q9" s="28"/>
      <c r="R9" s="28"/>
      <c r="S9" s="26"/>
    </row>
    <row r="10" spans="2:19" x14ac:dyDescent="0.35">
      <c r="B10" s="26" t="s">
        <v>14</v>
      </c>
      <c r="C10" s="5">
        <v>-60000</v>
      </c>
      <c r="D10" s="5">
        <v>-65000</v>
      </c>
      <c r="E10" s="3"/>
      <c r="F10" s="5">
        <f>-N10*F6</f>
        <v>-73260</v>
      </c>
      <c r="G10" s="5">
        <f>-O10*G6</f>
        <v>-79120.800000000003</v>
      </c>
      <c r="H10" s="5">
        <f>-P10*H6</f>
        <v>-84659.256000000008</v>
      </c>
      <c r="I10" s="6">
        <f>-Q10*I6</f>
        <v>-89738.811360000007</v>
      </c>
      <c r="J10" s="5">
        <f>-R10*J6</f>
        <v>-94225.751927999998</v>
      </c>
      <c r="K10" s="26"/>
      <c r="L10" s="26" t="s">
        <v>43</v>
      </c>
      <c r="M10" s="26"/>
      <c r="N10" s="27">
        <v>0.06</v>
      </c>
      <c r="O10" s="27">
        <v>0.06</v>
      </c>
      <c r="P10" s="27">
        <v>0.06</v>
      </c>
      <c r="Q10" s="27">
        <v>0.06</v>
      </c>
      <c r="R10" s="27">
        <v>0.06</v>
      </c>
      <c r="S10" s="26"/>
    </row>
    <row r="11" spans="2:19" x14ac:dyDescent="0.35">
      <c r="B11" s="33" t="s">
        <v>15</v>
      </c>
      <c r="C11" s="3">
        <f>+C9+C10</f>
        <v>325000</v>
      </c>
      <c r="D11" s="3">
        <f>+D9+D10</f>
        <v>379000</v>
      </c>
      <c r="E11" s="7"/>
      <c r="F11" s="7">
        <f t="shared" ref="F11" si="2">+F9+F10</f>
        <v>415140</v>
      </c>
      <c r="G11" s="7">
        <f t="shared" ref="G11:J11" si="3">+G9+G10</f>
        <v>448351.2</v>
      </c>
      <c r="H11" s="7">
        <f t="shared" si="3"/>
        <v>479735.78400000004</v>
      </c>
      <c r="I11" s="8">
        <f t="shared" si="3"/>
        <v>508519.93104</v>
      </c>
      <c r="J11" s="7">
        <f t="shared" si="3"/>
        <v>533945.92759199999</v>
      </c>
      <c r="K11" s="26"/>
      <c r="L11" s="26" t="s">
        <v>44</v>
      </c>
      <c r="M11" s="26"/>
      <c r="N11" s="27">
        <v>0.26</v>
      </c>
      <c r="O11" s="27">
        <v>0.26</v>
      </c>
      <c r="P11" s="27">
        <v>0.26</v>
      </c>
      <c r="Q11" s="27">
        <v>0.26</v>
      </c>
      <c r="R11" s="27">
        <v>0.26</v>
      </c>
      <c r="S11" s="26"/>
    </row>
    <row r="12" spans="2:19" x14ac:dyDescent="0.35">
      <c r="B12" s="26" t="s">
        <v>16</v>
      </c>
      <c r="C12" s="3"/>
      <c r="D12" s="3"/>
      <c r="E12" s="3"/>
      <c r="F12" s="5">
        <f>-N11*F11</f>
        <v>-107936.40000000001</v>
      </c>
      <c r="G12" s="5">
        <f>-O11*G11</f>
        <v>-116571.31200000001</v>
      </c>
      <c r="H12" s="5">
        <f>-P11*H11</f>
        <v>-124731.30384000002</v>
      </c>
      <c r="I12" s="6">
        <f>-Q11*I11</f>
        <v>-132215.18207040001</v>
      </c>
      <c r="J12" s="5">
        <f>-R11*J11</f>
        <v>-138825.94117392</v>
      </c>
      <c r="K12" s="26"/>
      <c r="L12" s="26"/>
      <c r="M12" s="26"/>
      <c r="N12" s="28"/>
      <c r="O12" s="28"/>
      <c r="P12" s="28"/>
      <c r="Q12" s="28"/>
      <c r="R12" s="28"/>
      <c r="S12" s="26"/>
    </row>
    <row r="13" spans="2:19" x14ac:dyDescent="0.35">
      <c r="B13" s="33" t="s">
        <v>17</v>
      </c>
      <c r="C13" s="3"/>
      <c r="D13" s="3"/>
      <c r="E13" s="7"/>
      <c r="F13" s="7">
        <f>+F11+F12</f>
        <v>307203.59999999998</v>
      </c>
      <c r="G13" s="7">
        <f t="shared" ref="G13:J13" si="4">+G11+G12</f>
        <v>331779.88800000004</v>
      </c>
      <c r="H13" s="7">
        <f t="shared" si="4"/>
        <v>355004.48016000004</v>
      </c>
      <c r="I13" s="8">
        <f t="shared" si="4"/>
        <v>376304.74896959995</v>
      </c>
      <c r="J13" s="7">
        <f t="shared" si="4"/>
        <v>395119.98641807999</v>
      </c>
      <c r="K13" s="26"/>
      <c r="L13" s="26"/>
      <c r="M13" s="26"/>
      <c r="N13" s="28"/>
      <c r="O13" s="28"/>
      <c r="P13" s="28"/>
      <c r="Q13" s="28"/>
      <c r="R13" s="28"/>
      <c r="S13" s="26"/>
    </row>
    <row r="14" spans="2:19" x14ac:dyDescent="0.35">
      <c r="B14" s="26" t="s">
        <v>18</v>
      </c>
      <c r="C14" s="3"/>
      <c r="D14" s="3"/>
      <c r="E14" s="3"/>
      <c r="F14" s="3">
        <f>-F10</f>
        <v>73260</v>
      </c>
      <c r="G14" s="3">
        <f t="shared" ref="G14:J14" si="5">-G10</f>
        <v>79120.800000000003</v>
      </c>
      <c r="H14" s="3">
        <f t="shared" si="5"/>
        <v>84659.256000000008</v>
      </c>
      <c r="I14" s="4">
        <f t="shared" si="5"/>
        <v>89738.811360000007</v>
      </c>
      <c r="J14" s="3">
        <f t="shared" si="5"/>
        <v>94225.751927999998</v>
      </c>
      <c r="K14" s="26"/>
      <c r="L14" s="26"/>
      <c r="M14" s="26"/>
      <c r="N14" s="28"/>
      <c r="O14" s="28"/>
      <c r="P14" s="28"/>
      <c r="Q14" s="28"/>
      <c r="R14" s="28"/>
      <c r="S14" s="26"/>
    </row>
    <row r="15" spans="2:19" x14ac:dyDescent="0.35">
      <c r="B15" s="26" t="s">
        <v>19</v>
      </c>
      <c r="C15" s="3"/>
      <c r="D15" s="3"/>
      <c r="E15" s="3"/>
      <c r="F15" s="3">
        <f>-N15*F6</f>
        <v>-6105</v>
      </c>
      <c r="G15" s="3">
        <f>-O15*G6</f>
        <v>-6593.4000000000005</v>
      </c>
      <c r="H15" s="3">
        <f>-P15*H6</f>
        <v>-7054.938000000001</v>
      </c>
      <c r="I15" s="4">
        <f>-Q15*I6</f>
        <v>-7478.2342800000006</v>
      </c>
      <c r="J15" s="3">
        <f>-R15*J6</f>
        <v>-7852.1459940000004</v>
      </c>
      <c r="K15" s="26"/>
      <c r="L15" s="26" t="s">
        <v>45</v>
      </c>
      <c r="M15" s="26"/>
      <c r="N15" s="27">
        <v>5.0000000000000001E-3</v>
      </c>
      <c r="O15" s="27">
        <v>5.0000000000000001E-3</v>
      </c>
      <c r="P15" s="27">
        <v>5.0000000000000001E-3</v>
      </c>
      <c r="Q15" s="27">
        <v>5.0000000000000001E-3</v>
      </c>
      <c r="R15" s="27">
        <v>5.0000000000000001E-3</v>
      </c>
      <c r="S15" s="26"/>
    </row>
    <row r="16" spans="2:19" x14ac:dyDescent="0.35">
      <c r="B16" s="26" t="s">
        <v>20</v>
      </c>
      <c r="C16" s="3"/>
      <c r="D16" s="3"/>
      <c r="E16" s="3"/>
      <c r="F16" s="5">
        <f>-N16*F6</f>
        <v>-97680</v>
      </c>
      <c r="G16" s="5">
        <f>-O16*G6</f>
        <v>-105494.40000000001</v>
      </c>
      <c r="H16" s="5">
        <f>-P16*H6</f>
        <v>-112879.00800000002</v>
      </c>
      <c r="I16" s="6">
        <f>-Q16*I6</f>
        <v>-119651.74848000001</v>
      </c>
      <c r="J16" s="5">
        <f>-R16*J6</f>
        <v>-125634.33590400001</v>
      </c>
      <c r="K16" s="26"/>
      <c r="L16" s="26" t="s">
        <v>46</v>
      </c>
      <c r="M16" s="26"/>
      <c r="N16" s="27">
        <v>0.08</v>
      </c>
      <c r="O16" s="27">
        <v>0.08</v>
      </c>
      <c r="P16" s="27">
        <v>0.08</v>
      </c>
      <c r="Q16" s="27">
        <v>0.08</v>
      </c>
      <c r="R16" s="27">
        <v>0.08</v>
      </c>
      <c r="S16" s="26"/>
    </row>
    <row r="17" spans="2:19" x14ac:dyDescent="0.35">
      <c r="B17" s="33" t="s">
        <v>21</v>
      </c>
      <c r="C17" s="3"/>
      <c r="D17" s="3"/>
      <c r="E17" s="7"/>
      <c r="F17" s="7">
        <f>SUM(F13:F16)</f>
        <v>276678.59999999998</v>
      </c>
      <c r="G17" s="7">
        <f t="shared" ref="G17:J17" si="6">SUM(G13:G16)</f>
        <v>298812.88799999998</v>
      </c>
      <c r="H17" s="7">
        <f t="shared" si="6"/>
        <v>319729.79015999998</v>
      </c>
      <c r="I17" s="8">
        <f t="shared" si="6"/>
        <v>338913.57756959996</v>
      </c>
      <c r="J17" s="7">
        <f t="shared" si="6"/>
        <v>355859.25644807995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2:19" x14ac:dyDescent="0.35">
      <c r="B18" s="26" t="s">
        <v>22</v>
      </c>
      <c r="C18" s="3"/>
      <c r="D18" s="3"/>
      <c r="E18" s="3"/>
      <c r="F18" s="22">
        <v>-125450</v>
      </c>
      <c r="G18" s="22">
        <v>-129600</v>
      </c>
      <c r="H18" s="22">
        <v>-153450</v>
      </c>
      <c r="I18" s="23">
        <v>-201750</v>
      </c>
      <c r="J18" s="22">
        <v>-237250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2:19" x14ac:dyDescent="0.35">
      <c r="B19" s="33" t="s">
        <v>23</v>
      </c>
      <c r="C19" s="3"/>
      <c r="D19" s="3"/>
      <c r="E19" s="7"/>
      <c r="F19" s="9">
        <f>+F17+F18</f>
        <v>151228.59999999998</v>
      </c>
      <c r="G19" s="9">
        <f t="shared" ref="G19:J19" si="7">+G17+G18</f>
        <v>169212.88799999998</v>
      </c>
      <c r="H19" s="9">
        <f t="shared" si="7"/>
        <v>166279.79015999998</v>
      </c>
      <c r="I19" s="10">
        <f t="shared" si="7"/>
        <v>137163.57756959996</v>
      </c>
      <c r="J19" s="9">
        <f t="shared" si="7"/>
        <v>118609.25644807995</v>
      </c>
      <c r="K19" s="26"/>
      <c r="S19" s="26"/>
    </row>
    <row r="20" spans="2:19" x14ac:dyDescent="0.35">
      <c r="B20" s="26"/>
      <c r="I20" s="11"/>
      <c r="K20" s="26"/>
    </row>
    <row r="21" spans="2:19" x14ac:dyDescent="0.35">
      <c r="B21" s="34" t="s">
        <v>24</v>
      </c>
      <c r="D21" s="12" t="s">
        <v>25</v>
      </c>
      <c r="I21" s="11"/>
      <c r="K21" s="26"/>
    </row>
    <row r="22" spans="2:19" x14ac:dyDescent="0.35">
      <c r="B22" s="26" t="s">
        <v>26</v>
      </c>
      <c r="D22" s="13" t="s">
        <v>27</v>
      </c>
      <c r="E22" s="14">
        <v>8</v>
      </c>
      <c r="I22" s="15">
        <f>+E22*I9</f>
        <v>4786069.9391999999</v>
      </c>
      <c r="K22" s="26"/>
    </row>
    <row r="23" spans="2:19" x14ac:dyDescent="0.35">
      <c r="B23" s="26" t="s">
        <v>28</v>
      </c>
      <c r="D23" s="13" t="s">
        <v>29</v>
      </c>
      <c r="E23" s="16">
        <v>0.12</v>
      </c>
      <c r="F23" s="13" t="s">
        <v>49</v>
      </c>
      <c r="G23" s="29">
        <v>0.05</v>
      </c>
      <c r="I23" s="6">
        <f>+J17/(E23-G23)</f>
        <v>5083703.6635440001</v>
      </c>
      <c r="K23" s="26"/>
    </row>
    <row r="24" spans="2:19" x14ac:dyDescent="0.35">
      <c r="B24" s="26" t="s">
        <v>30</v>
      </c>
      <c r="I24" s="15">
        <f>AVERAGE(I22:I23)</f>
        <v>4934886.801372</v>
      </c>
      <c r="K24" s="26"/>
    </row>
    <row r="25" spans="2:19" x14ac:dyDescent="0.35">
      <c r="B25" s="26" t="s">
        <v>31</v>
      </c>
      <c r="D25" s="13"/>
      <c r="I25" s="25">
        <v>-1000000</v>
      </c>
      <c r="K25" s="26"/>
    </row>
    <row r="26" spans="2:19" x14ac:dyDescent="0.35">
      <c r="B26" s="26" t="s">
        <v>32</v>
      </c>
      <c r="D26" s="13"/>
      <c r="I26" s="15">
        <f>SUM(I24:I25)</f>
        <v>3934886.801372</v>
      </c>
      <c r="K26" s="26"/>
    </row>
    <row r="27" spans="2:19" x14ac:dyDescent="0.35">
      <c r="B27" s="26"/>
      <c r="D27" s="13"/>
      <c r="I27" s="11"/>
      <c r="K27" s="26"/>
    </row>
    <row r="28" spans="2:19" x14ac:dyDescent="0.35">
      <c r="B28" s="26" t="s">
        <v>33</v>
      </c>
      <c r="D28" s="13" t="s">
        <v>34</v>
      </c>
      <c r="E28" s="16">
        <v>0.2</v>
      </c>
      <c r="F28" s="17">
        <f>+F19</f>
        <v>151228.59999999998</v>
      </c>
      <c r="G28" s="17">
        <f>+G19</f>
        <v>169212.88799999998</v>
      </c>
      <c r="H28" s="17">
        <f>+H19</f>
        <v>166279.79015999998</v>
      </c>
      <c r="I28" s="18">
        <f>+I26+I19</f>
        <v>4072050.3789416002</v>
      </c>
      <c r="K28" s="26"/>
    </row>
    <row r="29" spans="2:19" x14ac:dyDescent="0.35">
      <c r="B29" s="26"/>
      <c r="D29" s="13"/>
      <c r="E29" s="19"/>
      <c r="F29" s="20"/>
      <c r="G29" s="20"/>
      <c r="H29" s="20"/>
      <c r="I29" s="20"/>
      <c r="J29" s="20"/>
      <c r="K29" s="26"/>
    </row>
    <row r="30" spans="2:19" x14ac:dyDescent="0.35">
      <c r="B30" s="26" t="s">
        <v>35</v>
      </c>
      <c r="D30" s="20">
        <f>SUM(F30:I30)</f>
        <v>2303518.3770513115</v>
      </c>
      <c r="F30" s="3">
        <f>F28/(1+$E$28)^1</f>
        <v>126023.83333333331</v>
      </c>
      <c r="G30" s="3">
        <f>G28/(1+$E$28)^2</f>
        <v>117508.94999999998</v>
      </c>
      <c r="H30" s="3">
        <f>H28/(1+$E$28)^3</f>
        <v>96226.730416666658</v>
      </c>
      <c r="I30" s="3">
        <f>I28/(1+$E$28)^4</f>
        <v>1963758.8633013119</v>
      </c>
      <c r="J30" s="3"/>
      <c r="K30" s="26"/>
    </row>
    <row r="31" spans="2:19" x14ac:dyDescent="0.35">
      <c r="B31" s="26" t="s">
        <v>36</v>
      </c>
      <c r="D31" s="24">
        <f>1180000+10000</f>
        <v>1190000</v>
      </c>
      <c r="K31" s="26"/>
    </row>
    <row r="32" spans="2:19" x14ac:dyDescent="0.35">
      <c r="B32" s="26" t="s">
        <v>37</v>
      </c>
      <c r="D32" s="24">
        <v>-65800</v>
      </c>
      <c r="K32" s="26"/>
    </row>
    <row r="33" spans="2:13" ht="15" thickBot="1" x14ac:dyDescent="0.4">
      <c r="B33" s="33" t="s">
        <v>38</v>
      </c>
      <c r="D33" s="21">
        <f>SUM(D30:D32)</f>
        <v>3427718.3770513115</v>
      </c>
      <c r="K33" s="26"/>
    </row>
    <row r="34" spans="2:13" x14ac:dyDescent="0.35">
      <c r="B34" s="26" t="s">
        <v>39</v>
      </c>
      <c r="C34" s="26"/>
      <c r="D34" s="44">
        <f>+D33/D9</f>
        <v>7.7200864348002511</v>
      </c>
      <c r="E34" s="26"/>
      <c r="F34" s="26"/>
      <c r="G34" s="26"/>
      <c r="H34" s="26"/>
      <c r="I34" s="26"/>
      <c r="J34" s="26"/>
      <c r="K34" s="26"/>
    </row>
    <row r="35" spans="2:13" x14ac:dyDescent="0.3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</sheetData>
  <mergeCells count="1">
    <mergeCell ref="F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2021-11-18T13:41:23Z</dcterms:created>
  <dcterms:modified xsi:type="dcterms:W3CDTF">2021-11-18T14:06:55Z</dcterms:modified>
</cp:coreProperties>
</file>