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Text Book project/Excel Spreadsheets/"/>
    </mc:Choice>
  </mc:AlternateContent>
  <xr:revisionPtr revIDLastSave="17" documentId="8_{8D7DE487-75F8-40A6-9912-BBFD08C41D74}" xr6:coauthVersionLast="40" xr6:coauthVersionMax="40" xr10:uidLastSave="{FD0272EB-8362-4661-83B4-4914D9B090AB}"/>
  <bookViews>
    <workbookView xWindow="0" yWindow="1800" windowWidth="16120" windowHeight="6667" activeTab="1" xr2:uid="{C9B65557-6B9C-4AC8-A0C9-DA00E3B4A84B}"/>
  </bookViews>
  <sheets>
    <sheet name="DCF Valuation" sheetId="1" r:id="rId1"/>
    <sheet name="LBO Valuation" sheetId="14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4" i="14" l="1"/>
  <c r="F50" i="14"/>
  <c r="D21" i="14"/>
  <c r="D17" i="14"/>
  <c r="K30" i="14"/>
  <c r="J30" i="14"/>
  <c r="J44" i="14" s="1"/>
  <c r="I30" i="14"/>
  <c r="H30" i="14"/>
  <c r="G30" i="14"/>
  <c r="E30" i="14"/>
  <c r="D8" i="14" s="1"/>
  <c r="E21" i="14" s="1"/>
  <c r="D30" i="14"/>
  <c r="D33" i="14" s="1"/>
  <c r="E32" i="1"/>
  <c r="K15" i="1"/>
  <c r="J15" i="1"/>
  <c r="I15" i="1"/>
  <c r="H15" i="1"/>
  <c r="G15" i="1"/>
  <c r="K12" i="1"/>
  <c r="K14" i="1" s="1"/>
  <c r="K18" i="1" s="1"/>
  <c r="K20" i="1" s="1"/>
  <c r="G12" i="1"/>
  <c r="G14" i="1" s="1"/>
  <c r="G18" i="1" s="1"/>
  <c r="G20" i="1" s="1"/>
  <c r="E12" i="1"/>
  <c r="K10" i="1"/>
  <c r="J10" i="1"/>
  <c r="J12" i="1" s="1"/>
  <c r="J14" i="1" s="1"/>
  <c r="J18" i="1" s="1"/>
  <c r="J20" i="1" s="1"/>
  <c r="I10" i="1"/>
  <c r="I12" i="1" s="1"/>
  <c r="I14" i="1" s="1"/>
  <c r="I18" i="1" s="1"/>
  <c r="I20" i="1" s="1"/>
  <c r="H10" i="1"/>
  <c r="H12" i="1" s="1"/>
  <c r="H14" i="1" s="1"/>
  <c r="H18" i="1" s="1"/>
  <c r="H20" i="1" s="1"/>
  <c r="G10" i="1"/>
  <c r="E10" i="1"/>
  <c r="D10" i="1"/>
  <c r="D12" i="1" s="1"/>
  <c r="G21" i="14" l="1"/>
  <c r="G23" i="14"/>
  <c r="E33" i="14"/>
  <c r="G18" i="14"/>
  <c r="K7" i="14"/>
  <c r="D7" i="14"/>
  <c r="E17" i="14" s="1"/>
  <c r="J18" i="14" s="1"/>
  <c r="H23" i="14" l="1"/>
  <c r="H21" i="14"/>
  <c r="I18" i="14"/>
  <c r="G19" i="14"/>
  <c r="H18" i="14"/>
  <c r="G17" i="14"/>
  <c r="K8" i="14"/>
  <c r="K11" i="14"/>
  <c r="D10" i="14" s="1"/>
  <c r="D9" i="14"/>
  <c r="E53" i="14" s="1"/>
  <c r="H17" i="14" l="1"/>
  <c r="H19" i="14"/>
  <c r="I23" i="14"/>
  <c r="I21" i="14"/>
  <c r="J32" i="14"/>
  <c r="I32" i="14"/>
  <c r="G32" i="14"/>
  <c r="H32" i="14"/>
  <c r="K32" i="14"/>
  <c r="C9" i="14"/>
  <c r="J23" i="14" l="1"/>
  <c r="J21" i="14"/>
  <c r="G36" i="14"/>
  <c r="G33" i="14"/>
  <c r="I36" i="14"/>
  <c r="I33" i="14"/>
  <c r="H36" i="14"/>
  <c r="H33" i="14"/>
  <c r="K36" i="14"/>
  <c r="K33" i="14"/>
  <c r="J33" i="14"/>
  <c r="J36" i="14"/>
  <c r="I19" i="14"/>
  <c r="I17" i="14"/>
  <c r="G34" i="14" l="1"/>
  <c r="G35" i="14"/>
  <c r="G39" i="14" s="1"/>
  <c r="G41" i="14" s="1"/>
  <c r="G50" i="14" s="1"/>
  <c r="G52" i="14" s="1"/>
  <c r="J34" i="14"/>
  <c r="J35" i="14"/>
  <c r="J39" i="14" s="1"/>
  <c r="J41" i="14" s="1"/>
  <c r="H34" i="14"/>
  <c r="H35" i="14"/>
  <c r="H39" i="14" s="1"/>
  <c r="H41" i="14" s="1"/>
  <c r="H50" i="14" s="1"/>
  <c r="H52" i="14" s="1"/>
  <c r="J19" i="14"/>
  <c r="J17" i="14"/>
  <c r="I34" i="14"/>
  <c r="I35" i="14"/>
  <c r="I39" i="14" s="1"/>
  <c r="I41" i="14" s="1"/>
  <c r="I50" i="14" s="1"/>
  <c r="I52" i="14" s="1"/>
  <c r="K21" i="14"/>
  <c r="K23" i="14"/>
  <c r="K34" i="14"/>
  <c r="K35" i="14"/>
  <c r="K39" i="14" s="1"/>
  <c r="K41" i="14" s="1"/>
  <c r="K19" i="14" l="1"/>
  <c r="K18" i="14"/>
  <c r="K17" i="14" s="1"/>
  <c r="J23" i="1" l="1"/>
  <c r="I29" i="1" l="1"/>
  <c r="I31" i="1" s="1"/>
  <c r="H29" i="1"/>
  <c r="H31" i="1" s="1"/>
  <c r="G29" i="1"/>
  <c r="G31" i="1" s="1"/>
  <c r="J24" i="1" l="1"/>
  <c r="J25" i="1" s="1"/>
  <c r="J27" i="1" s="1"/>
  <c r="J29" i="1" s="1"/>
  <c r="J31" i="1" s="1"/>
  <c r="E31" i="1" s="1"/>
  <c r="E34" i="1" s="1"/>
  <c r="E35" i="1" s="1"/>
  <c r="D11" i="14" l="1"/>
  <c r="E9" i="14" s="1"/>
  <c r="G9" i="14" s="1"/>
  <c r="E8" i="14" l="1"/>
  <c r="G8" i="14" s="1"/>
  <c r="E11" i="14"/>
  <c r="E10" i="14"/>
  <c r="G10" i="14" s="1"/>
  <c r="G11" i="14" s="1"/>
  <c r="F45" i="14" s="1"/>
  <c r="J45" i="14" s="1"/>
  <c r="J46" i="14" s="1"/>
  <c r="J48" i="14" s="1"/>
  <c r="J50" i="14" s="1"/>
  <c r="J52" i="14" s="1"/>
  <c r="E52" i="14" s="1"/>
  <c r="E55" i="14" s="1"/>
  <c r="E56" i="14" s="1"/>
  <c r="E7" i="14"/>
  <c r="G7" i="14" s="1"/>
</calcChain>
</file>

<file path=xl/sharedStrings.xml><?xml version="1.0" encoding="utf-8"?>
<sst xmlns="http://schemas.openxmlformats.org/spreadsheetml/2006/main" count="162" uniqueCount="73">
  <si>
    <t>Celerity Technogy Inc. ("CTI")</t>
  </si>
  <si>
    <t>Discount Cash Flow Valuation Method (000's)</t>
  </si>
  <si>
    <t>PROJECTED</t>
  </si>
  <si>
    <t>EXIT YEAR</t>
  </si>
  <si>
    <t>Year 0</t>
  </si>
  <si>
    <t xml:space="preserve"> Year  1</t>
  </si>
  <si>
    <t xml:space="preserve"> Year  2</t>
  </si>
  <si>
    <t xml:space="preserve"> Year  3</t>
  </si>
  <si>
    <t xml:space="preserve"> Year  4</t>
  </si>
  <si>
    <t xml:space="preserve"> Year  5</t>
  </si>
  <si>
    <t>Revenues</t>
  </si>
  <si>
    <t>Cost of Revenues</t>
  </si>
  <si>
    <t>Operating Expenses</t>
  </si>
  <si>
    <t>EBITDA</t>
  </si>
  <si>
    <t>Less Depreciation &amp; Amortization</t>
  </si>
  <si>
    <t>EBIT</t>
  </si>
  <si>
    <t>Less Taxes</t>
  </si>
  <si>
    <t>EAT</t>
  </si>
  <si>
    <t>Plus Depreciation &amp; Amortization</t>
  </si>
  <si>
    <t>Less Working Capital</t>
  </si>
  <si>
    <t>Less Capital Expenditures and Investments</t>
  </si>
  <si>
    <t>Cash Before Financing Payments</t>
  </si>
  <si>
    <t>Less Debt Service (Principal + Interest)</t>
  </si>
  <si>
    <t xml:space="preserve">  Free Cash Flow</t>
  </si>
  <si>
    <t>TERMINAL VALUE (TV)</t>
  </si>
  <si>
    <t>TV Assumptions</t>
  </si>
  <si>
    <t>Terminal Value using EBITDA Multiple Method</t>
  </si>
  <si>
    <t>EBITDA Multiple =</t>
  </si>
  <si>
    <t>Terminal Value using Perpetuity Method</t>
  </si>
  <si>
    <t>Discount Rate =</t>
  </si>
  <si>
    <t xml:space="preserve">   Average Terminal Value</t>
  </si>
  <si>
    <t>Growth =</t>
  </si>
  <si>
    <t>Less Debt</t>
  </si>
  <si>
    <t>Equity Value at Exit Year</t>
  </si>
  <si>
    <t>Equity Cash Flows</t>
  </si>
  <si>
    <t>Equity Expected Return =</t>
  </si>
  <si>
    <t>Present Value of Equity</t>
  </si>
  <si>
    <t>Plus Debt</t>
  </si>
  <si>
    <t>Less Cash</t>
  </si>
  <si>
    <t xml:space="preserve"> Firm Enterprise value</t>
  </si>
  <si>
    <t xml:space="preserve"> Enteprise Value / EBITDA</t>
  </si>
  <si>
    <t>WACC</t>
  </si>
  <si>
    <t>Bank Loan</t>
  </si>
  <si>
    <t>Corporate Bonds</t>
  </si>
  <si>
    <t>Equity</t>
  </si>
  <si>
    <t>Years</t>
  </si>
  <si>
    <t>Year -1</t>
  </si>
  <si>
    <t>LBO Method (000's)</t>
  </si>
  <si>
    <t>Sources</t>
  </si>
  <si>
    <t xml:space="preserve">  Total Debt</t>
  </si>
  <si>
    <t xml:space="preserve">  Total Sources</t>
  </si>
  <si>
    <t>Amount</t>
  </si>
  <si>
    <t>Capacity EBITDA x</t>
  </si>
  <si>
    <t xml:space="preserve"> Tax Rate =</t>
  </si>
  <si>
    <t>Uses</t>
  </si>
  <si>
    <t>Purchase EBITDA Multiple</t>
  </si>
  <si>
    <t>Purchase Enteprise Value</t>
  </si>
  <si>
    <t>Fees (% EV)</t>
  </si>
  <si>
    <t xml:space="preserve"> % Capital</t>
  </si>
  <si>
    <t>Bank Loal - Outstanding</t>
  </si>
  <si>
    <t>Bank Loan  - Principal Incr./Decr.</t>
  </si>
  <si>
    <t>Bank Loan - Interst Payment</t>
  </si>
  <si>
    <t>Bonds - Outstanding</t>
  </si>
  <si>
    <t>Bonds  - Principal Incr./Decr.</t>
  </si>
  <si>
    <t>Bonds - Interst Payment</t>
  </si>
  <si>
    <t>Interest</t>
  </si>
  <si>
    <t>Less Depreciation</t>
  </si>
  <si>
    <t>Less Amortization</t>
  </si>
  <si>
    <t>Inter. / 
Exp. Ret.</t>
  </si>
  <si>
    <t>DEBT SCHEDULES</t>
  </si>
  <si>
    <t>CASH FLOW PROJECTIONS</t>
  </si>
  <si>
    <t>TRANSACTION SOURCES &amp; USES</t>
  </si>
  <si>
    <t>Figure 17.10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</si>
</sst>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\x"/>
    <numFmt numFmtId="168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1" xfId="0" applyFont="1" applyBorder="1"/>
    <xf numFmtId="0" fontId="4" fillId="0" borderId="2" xfId="0" applyFont="1" applyBorder="1"/>
    <xf numFmtId="0" fontId="0" fillId="0" borderId="2" xfId="0" applyBorder="1"/>
    <xf numFmtId="0" fontId="0" fillId="0" borderId="3" xfId="0" applyBorder="1"/>
    <xf numFmtId="0" fontId="5" fillId="0" borderId="4" xfId="0" applyFont="1" applyBorder="1"/>
    <xf numFmtId="0" fontId="4" fillId="0" borderId="0" xfId="0" applyFont="1" applyBorder="1"/>
    <xf numFmtId="0" fontId="0" fillId="0" borderId="0" xfId="0" applyBorder="1"/>
    <xf numFmtId="0" fontId="0" fillId="0" borderId="5" xfId="0" applyBorder="1"/>
    <xf numFmtId="0" fontId="4" fillId="0" borderId="4" xfId="0" applyFont="1" applyBorder="1"/>
    <xf numFmtId="0" fontId="2" fillId="0" borderId="0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0" borderId="4" xfId="0" applyBorder="1"/>
    <xf numFmtId="164" fontId="0" fillId="0" borderId="0" xfId="1" applyNumberFormat="1" applyFont="1" applyBorder="1"/>
    <xf numFmtId="164" fontId="0" fillId="0" borderId="7" xfId="1" applyNumberFormat="1" applyFont="1" applyBorder="1"/>
    <xf numFmtId="164" fontId="0" fillId="0" borderId="6" xfId="1" applyNumberFormat="1" applyFont="1" applyBorder="1"/>
    <xf numFmtId="164" fontId="0" fillId="0" borderId="8" xfId="1" applyNumberFormat="1" applyFont="1" applyBorder="1"/>
    <xf numFmtId="0" fontId="2" fillId="0" borderId="4" xfId="0" applyFont="1" applyBorder="1"/>
    <xf numFmtId="0" fontId="2" fillId="0" borderId="0" xfId="0" applyFont="1" applyBorder="1"/>
    <xf numFmtId="164" fontId="2" fillId="0" borderId="0" xfId="1" applyNumberFormat="1" applyFont="1" applyBorder="1"/>
    <xf numFmtId="164" fontId="2" fillId="0" borderId="7" xfId="1" applyNumberFormat="1" applyFont="1" applyBorder="1"/>
    <xf numFmtId="164" fontId="2" fillId="0" borderId="9" xfId="1" applyNumberFormat="1" applyFont="1" applyBorder="1"/>
    <xf numFmtId="164" fontId="2" fillId="0" borderId="10" xfId="1" applyNumberFormat="1" applyFont="1" applyBorder="1"/>
    <xf numFmtId="0" fontId="0" fillId="0" borderId="7" xfId="0" applyBorder="1"/>
    <xf numFmtId="0" fontId="8" fillId="0" borderId="4" xfId="0" applyFont="1" applyBorder="1"/>
    <xf numFmtId="0" fontId="8" fillId="0" borderId="0" xfId="0" applyFont="1" applyBorder="1"/>
    <xf numFmtId="0" fontId="0" fillId="0" borderId="0" xfId="0" applyBorder="1" applyAlignment="1">
      <alignment horizontal="right"/>
    </xf>
    <xf numFmtId="164" fontId="0" fillId="0" borderId="7" xfId="0" applyNumberFormat="1" applyBorder="1"/>
    <xf numFmtId="9" fontId="0" fillId="0" borderId="0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164" fontId="0" fillId="0" borderId="0" xfId="0" applyNumberFormat="1" applyBorder="1"/>
    <xf numFmtId="41" fontId="0" fillId="0" borderId="0" xfId="0" applyNumberFormat="1" applyBorder="1"/>
    <xf numFmtId="164" fontId="2" fillId="0" borderId="11" xfId="0" applyNumberFormat="1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65" fontId="0" fillId="0" borderId="14" xfId="0" applyNumberFormat="1" applyBorder="1"/>
    <xf numFmtId="0" fontId="0" fillId="0" borderId="15" xfId="0" applyBorder="1"/>
    <xf numFmtId="0" fontId="0" fillId="0" borderId="6" xfId="0" applyBorder="1"/>
    <xf numFmtId="0" fontId="0" fillId="0" borderId="17" xfId="0" applyBorder="1"/>
    <xf numFmtId="164" fontId="0" fillId="0" borderId="0" xfId="0" applyNumberFormat="1"/>
    <xf numFmtId="10" fontId="0" fillId="0" borderId="0" xfId="0" applyNumberFormat="1" applyBorder="1"/>
    <xf numFmtId="0" fontId="0" fillId="0" borderId="0" xfId="0" applyFill="1" applyBorder="1"/>
    <xf numFmtId="9" fontId="2" fillId="0" borderId="0" xfId="0" applyNumberFormat="1" applyFont="1" applyBorder="1"/>
    <xf numFmtId="165" fontId="2" fillId="0" borderId="0" xfId="0" applyNumberFormat="1" applyFont="1" applyBorder="1"/>
    <xf numFmtId="0" fontId="7" fillId="2" borderId="6" xfId="0" applyFont="1" applyFill="1" applyBorder="1" applyAlignment="1">
      <alignment horizontal="left"/>
    </xf>
    <xf numFmtId="165" fontId="4" fillId="0" borderId="0" xfId="0" applyNumberFormat="1" applyFont="1" applyBorder="1"/>
    <xf numFmtId="0" fontId="7" fillId="2" borderId="6" xfId="0" applyFont="1" applyFill="1" applyBorder="1" applyAlignment="1">
      <alignment horizontal="center" wrapText="1"/>
    </xf>
    <xf numFmtId="164" fontId="4" fillId="0" borderId="0" xfId="0" applyNumberFormat="1" applyFont="1" applyBorder="1"/>
    <xf numFmtId="168" fontId="4" fillId="0" borderId="0" xfId="2" applyNumberFormat="1" applyFont="1" applyBorder="1"/>
    <xf numFmtId="168" fontId="4" fillId="0" borderId="0" xfId="2" applyNumberFormat="1" applyFont="1" applyBorder="1" applyAlignment="1">
      <alignment horizontal="center"/>
    </xf>
    <xf numFmtId="164" fontId="4" fillId="0" borderId="6" xfId="0" applyNumberFormat="1" applyFont="1" applyBorder="1"/>
    <xf numFmtId="168" fontId="4" fillId="0" borderId="6" xfId="2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9" fontId="0" fillId="0" borderId="0" xfId="0" applyNumberFormat="1" applyBorder="1" applyAlignment="1">
      <alignment horizontal="left"/>
    </xf>
    <xf numFmtId="168" fontId="9" fillId="0" borderId="0" xfId="2" applyNumberFormat="1" applyFont="1" applyBorder="1" applyAlignment="1">
      <alignment horizontal="center"/>
    </xf>
    <xf numFmtId="168" fontId="2" fillId="0" borderId="0" xfId="0" applyNumberFormat="1" applyFont="1" applyBorder="1"/>
    <xf numFmtId="0" fontId="4" fillId="0" borderId="6" xfId="0" applyFont="1" applyBorder="1"/>
    <xf numFmtId="164" fontId="4" fillId="0" borderId="16" xfId="0" applyNumberFormat="1" applyFont="1" applyBorder="1"/>
    <xf numFmtId="168" fontId="10" fillId="0" borderId="6" xfId="2" applyNumberFormat="1" applyFont="1" applyBorder="1" applyAlignment="1">
      <alignment horizontal="center"/>
    </xf>
    <xf numFmtId="168" fontId="0" fillId="0" borderId="6" xfId="2" applyNumberFormat="1" applyFont="1" applyBorder="1" applyAlignment="1">
      <alignment horizontal="center"/>
    </xf>
    <xf numFmtId="168" fontId="2" fillId="0" borderId="16" xfId="0" applyNumberFormat="1" applyFont="1" applyBorder="1" applyAlignment="1">
      <alignment horizontal="center"/>
    </xf>
    <xf numFmtId="168" fontId="0" fillId="0" borderId="0" xfId="2" applyNumberFormat="1" applyFont="1" applyAlignment="1">
      <alignment horizontal="center"/>
    </xf>
    <xf numFmtId="168" fontId="0" fillId="0" borderId="16" xfId="2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64" fontId="0" fillId="0" borderId="0" xfId="1" applyNumberFormat="1" applyFont="1" applyFill="1" applyBorder="1"/>
    <xf numFmtId="0" fontId="2" fillId="0" borderId="18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/>
    </xf>
    <xf numFmtId="168" fontId="2" fillId="0" borderId="0" xfId="2" applyNumberFormat="1" applyFont="1" applyBorder="1"/>
    <xf numFmtId="0" fontId="4" fillId="0" borderId="6" xfId="0" applyFont="1" applyBorder="1" applyAlignment="1">
      <alignment horizontal="right"/>
    </xf>
    <xf numFmtId="9" fontId="0" fillId="0" borderId="6" xfId="0" applyNumberFormat="1" applyBorder="1" applyAlignment="1">
      <alignment horizontal="left"/>
    </xf>
    <xf numFmtId="0" fontId="6" fillId="0" borderId="6" xfId="0" applyFont="1" applyFill="1" applyBorder="1" applyAlignment="1">
      <alignment horizontal="center" vertical="center"/>
    </xf>
    <xf numFmtId="164" fontId="11" fillId="0" borderId="0" xfId="1" applyNumberFormat="1" applyFont="1" applyBorder="1"/>
    <xf numFmtId="164" fontId="11" fillId="0" borderId="6" xfId="1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drou/Documents/Baruch%20offnline/FIN%20Spreadsheets/public_company_hyatt_valuation_v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74">
          <cell r="N174" t="str">
            <v>Current Market Price</v>
          </cell>
          <cell r="O174">
            <v>77.929999999999993</v>
          </cell>
        </row>
        <row r="175">
          <cell r="N175" t="str">
            <v>Intrinsic Value Price</v>
          </cell>
          <cell r="O175">
            <v>83.104456454327988</v>
          </cell>
        </row>
        <row r="176">
          <cell r="N176" t="str">
            <v>Dividend Discount Model</v>
          </cell>
          <cell r="O176">
            <v>68.989547038327586</v>
          </cell>
        </row>
        <row r="177">
          <cell r="N177" t="str">
            <v>Comparable Trading Multiples</v>
          </cell>
          <cell r="O177">
            <v>82.883996447350881</v>
          </cell>
        </row>
        <row r="178">
          <cell r="N178" t="str">
            <v>Comparable Acquisition Multiples</v>
          </cell>
          <cell r="O178">
            <v>68.995314460664929</v>
          </cell>
        </row>
        <row r="179">
          <cell r="N179" t="str">
            <v>DCF Analysis</v>
          </cell>
          <cell r="O179">
            <v>85.507134472019729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602C5-ED3C-421E-899E-213AFEE06D08}">
  <dimension ref="B1:L35"/>
  <sheetViews>
    <sheetView showGridLines="0" topLeftCell="A16" workbookViewId="0">
      <selection activeCell="O33" sqref="O33"/>
    </sheetView>
  </sheetViews>
  <sheetFormatPr defaultRowHeight="14.35" x14ac:dyDescent="0.5"/>
  <cols>
    <col min="1" max="1" width="4.5859375" customWidth="1"/>
    <col min="2" max="2" width="30.3515625" customWidth="1"/>
    <col min="4" max="4" width="12.703125" customWidth="1"/>
    <col min="5" max="5" width="12.234375" bestFit="1" customWidth="1"/>
    <col min="6" max="6" width="4.17578125" customWidth="1"/>
    <col min="7" max="9" width="10.234375" customWidth="1"/>
    <col min="10" max="10" width="12" customWidth="1"/>
    <col min="11" max="11" width="10.234375" customWidth="1"/>
    <col min="12" max="12" width="4" customWidth="1"/>
    <col min="13" max="13" width="2.46875" customWidth="1"/>
    <col min="15" max="15" width="9.76171875" bestFit="1" customWidth="1"/>
    <col min="17" max="17" width="9.76171875" bestFit="1" customWidth="1"/>
    <col min="19" max="23" width="9.76171875" bestFit="1" customWidth="1"/>
  </cols>
  <sheetData>
    <row r="1" spans="2:12" ht="14.7" thickBot="1" x14ac:dyDescent="0.55000000000000004"/>
    <row r="2" spans="2:12" ht="20" x14ac:dyDescent="0.6">
      <c r="B2" s="1" t="s">
        <v>0</v>
      </c>
      <c r="C2" s="2"/>
      <c r="D2" s="2"/>
      <c r="E2" s="2"/>
      <c r="F2" s="3"/>
      <c r="G2" s="3"/>
      <c r="H2" s="3"/>
      <c r="I2" s="3"/>
      <c r="J2" s="3"/>
      <c r="K2" s="3"/>
      <c r="L2" s="4"/>
    </row>
    <row r="3" spans="2:12" ht="15.35" x14ac:dyDescent="0.5">
      <c r="B3" s="5" t="s">
        <v>1</v>
      </c>
      <c r="C3" s="6"/>
      <c r="D3" s="6"/>
      <c r="E3" s="6"/>
      <c r="F3" s="7"/>
      <c r="G3" s="7"/>
      <c r="H3" s="7"/>
      <c r="I3" s="7"/>
      <c r="J3" s="7"/>
      <c r="K3" s="7"/>
      <c r="L3" s="8"/>
    </row>
    <row r="4" spans="2:12" x14ac:dyDescent="0.5">
      <c r="B4" s="9"/>
      <c r="C4" s="6"/>
      <c r="D4" s="6"/>
      <c r="E4" s="6"/>
      <c r="F4" s="7"/>
      <c r="G4" s="77" t="s">
        <v>2</v>
      </c>
      <c r="H4" s="77"/>
      <c r="I4" s="77"/>
      <c r="J4" s="77"/>
      <c r="K4" s="77"/>
      <c r="L4" s="8"/>
    </row>
    <row r="5" spans="2:12" x14ac:dyDescent="0.5">
      <c r="B5" s="9"/>
      <c r="C5" s="6"/>
      <c r="D5" s="6"/>
      <c r="E5" s="6"/>
      <c r="F5" s="7"/>
      <c r="G5" s="10"/>
      <c r="H5" s="10"/>
      <c r="I5" s="10"/>
      <c r="J5" s="11" t="s">
        <v>3</v>
      </c>
      <c r="K5" s="10"/>
      <c r="L5" s="8"/>
    </row>
    <row r="6" spans="2:12" ht="15.35" x14ac:dyDescent="0.5">
      <c r="B6" s="5"/>
      <c r="C6" s="6"/>
      <c r="D6" s="12" t="s">
        <v>46</v>
      </c>
      <c r="E6" s="12" t="s">
        <v>4</v>
      </c>
      <c r="F6" s="7"/>
      <c r="G6" s="13" t="s">
        <v>5</v>
      </c>
      <c r="H6" s="13" t="s">
        <v>6</v>
      </c>
      <c r="I6" s="13" t="s">
        <v>7</v>
      </c>
      <c r="J6" s="14" t="s">
        <v>8</v>
      </c>
      <c r="K6" s="13" t="s">
        <v>9</v>
      </c>
      <c r="L6" s="8"/>
    </row>
    <row r="7" spans="2:12" x14ac:dyDescent="0.5">
      <c r="B7" s="15" t="s">
        <v>10</v>
      </c>
      <c r="C7" s="7"/>
      <c r="D7" s="78">
        <v>960000</v>
      </c>
      <c r="E7" s="78">
        <v>1110000</v>
      </c>
      <c r="G7" s="16">
        <v>1228140</v>
      </c>
      <c r="H7" s="16">
        <v>1344199.848</v>
      </c>
      <c r="I7" s="16">
        <v>1442918.9540652002</v>
      </c>
      <c r="J7" s="17">
        <v>1529267.7156714478</v>
      </c>
      <c r="K7" s="16">
        <v>1605161.4860476251</v>
      </c>
      <c r="L7" s="8"/>
    </row>
    <row r="8" spans="2:12" x14ac:dyDescent="0.5">
      <c r="B8" s="15" t="s">
        <v>11</v>
      </c>
      <c r="C8" s="7"/>
      <c r="D8" s="78">
        <v>-345000</v>
      </c>
      <c r="E8" s="78">
        <v>-420000</v>
      </c>
      <c r="G8" s="16">
        <v>-463078.2</v>
      </c>
      <c r="H8" s="16">
        <v>-506823.33804</v>
      </c>
      <c r="I8" s="16">
        <v>-544053.13711893605</v>
      </c>
      <c r="J8" s="17">
        <v>-576709.25695468695</v>
      </c>
      <c r="K8" s="16">
        <v>-605474.36387137498</v>
      </c>
      <c r="L8" s="8"/>
    </row>
    <row r="9" spans="2:12" x14ac:dyDescent="0.5">
      <c r="B9" s="15" t="s">
        <v>12</v>
      </c>
      <c r="C9" s="7"/>
      <c r="D9" s="79">
        <v>-230000</v>
      </c>
      <c r="E9" s="79">
        <v>-257000</v>
      </c>
      <c r="G9" s="18">
        <v>-271501.2</v>
      </c>
      <c r="H9" s="18">
        <v>-289448.48784000002</v>
      </c>
      <c r="I9" s="18">
        <v>-306441.64132521598</v>
      </c>
      <c r="J9" s="19">
        <v>-322899.94850371598</v>
      </c>
      <c r="K9" s="18">
        <v>-338999.37669631001</v>
      </c>
      <c r="L9" s="8"/>
    </row>
    <row r="10" spans="2:12" x14ac:dyDescent="0.5">
      <c r="B10" s="20" t="s">
        <v>13</v>
      </c>
      <c r="C10" s="21"/>
      <c r="D10" s="22">
        <f>SUM(D7:D9)</f>
        <v>385000</v>
      </c>
      <c r="E10" s="22">
        <f>SUM(E7:E9)</f>
        <v>433000</v>
      </c>
      <c r="F10" s="22"/>
      <c r="G10" s="22">
        <f t="shared" ref="G10:K10" si="0">SUM(G7:G9)</f>
        <v>493560.60000000003</v>
      </c>
      <c r="H10" s="22">
        <f t="shared" si="0"/>
        <v>547928.02211999986</v>
      </c>
      <c r="I10" s="22">
        <f t="shared" si="0"/>
        <v>592424.17562104808</v>
      </c>
      <c r="J10" s="23">
        <f t="shared" si="0"/>
        <v>629658.51021304494</v>
      </c>
      <c r="K10" s="22">
        <f t="shared" si="0"/>
        <v>660687.74547994009</v>
      </c>
      <c r="L10" s="8"/>
    </row>
    <row r="11" spans="2:12" x14ac:dyDescent="0.5">
      <c r="B11" s="15" t="s">
        <v>14</v>
      </c>
      <c r="C11" s="7"/>
      <c r="D11" s="79">
        <v>-60000</v>
      </c>
      <c r="E11" s="79">
        <v>-65000</v>
      </c>
      <c r="F11" s="16"/>
      <c r="G11" s="18">
        <v>-73688.399999999994</v>
      </c>
      <c r="H11" s="18">
        <v>-80651.990879999998</v>
      </c>
      <c r="I11" s="18">
        <v>-86575.137243912002</v>
      </c>
      <c r="J11" s="19">
        <v>-91756.062940286865</v>
      </c>
      <c r="K11" s="18">
        <v>-96309.689162857496</v>
      </c>
      <c r="L11" s="8"/>
    </row>
    <row r="12" spans="2:12" x14ac:dyDescent="0.5">
      <c r="B12" s="20" t="s">
        <v>15</v>
      </c>
      <c r="C12" s="21"/>
      <c r="D12" s="16">
        <f>+D10+D11</f>
        <v>325000</v>
      </c>
      <c r="E12" s="16">
        <f>+E10+E11</f>
        <v>368000</v>
      </c>
      <c r="F12" s="22"/>
      <c r="G12" s="22">
        <f t="shared" ref="G12:K12" si="1">+G10+G11</f>
        <v>419872.20000000007</v>
      </c>
      <c r="H12" s="22">
        <f t="shared" si="1"/>
        <v>467276.03123999987</v>
      </c>
      <c r="I12" s="22">
        <f t="shared" si="1"/>
        <v>505849.03837713611</v>
      </c>
      <c r="J12" s="23">
        <f t="shared" si="1"/>
        <v>537902.44727275812</v>
      </c>
      <c r="K12" s="22">
        <f t="shared" si="1"/>
        <v>564378.05631708261</v>
      </c>
      <c r="L12" s="8"/>
    </row>
    <row r="13" spans="2:12" x14ac:dyDescent="0.5">
      <c r="B13" s="15" t="s">
        <v>16</v>
      </c>
      <c r="C13" s="7"/>
      <c r="D13" s="16"/>
      <c r="E13" s="16"/>
      <c r="F13" s="16"/>
      <c r="G13" s="18">
        <v>-129768.88</v>
      </c>
      <c r="H13" s="18">
        <v>-147070.412496</v>
      </c>
      <c r="I13" s="18">
        <v>-156959.615350854</v>
      </c>
      <c r="J13" s="19">
        <v>-158460.978909103</v>
      </c>
      <c r="K13" s="18">
        <v>-162851.22252683301</v>
      </c>
      <c r="L13" s="8"/>
    </row>
    <row r="14" spans="2:12" x14ac:dyDescent="0.5">
      <c r="B14" s="20" t="s">
        <v>17</v>
      </c>
      <c r="C14" s="21"/>
      <c r="D14" s="16"/>
      <c r="E14" s="16"/>
      <c r="F14" s="22"/>
      <c r="G14" s="22">
        <f>+G12+G13</f>
        <v>290103.32000000007</v>
      </c>
      <c r="H14" s="22">
        <f t="shared" ref="H14:K14" si="2">+H12+H13</f>
        <v>320205.61874399986</v>
      </c>
      <c r="I14" s="22">
        <f t="shared" si="2"/>
        <v>348889.42302628211</v>
      </c>
      <c r="J14" s="23">
        <f t="shared" si="2"/>
        <v>379441.46836365515</v>
      </c>
      <c r="K14" s="22">
        <f t="shared" si="2"/>
        <v>401526.8337902496</v>
      </c>
      <c r="L14" s="8"/>
    </row>
    <row r="15" spans="2:12" x14ac:dyDescent="0.5">
      <c r="B15" s="15" t="s">
        <v>18</v>
      </c>
      <c r="C15" s="7"/>
      <c r="D15" s="16"/>
      <c r="E15" s="16"/>
      <c r="F15" s="16"/>
      <c r="G15" s="16">
        <f>-G11</f>
        <v>73688.399999999994</v>
      </c>
      <c r="H15" s="16">
        <f t="shared" ref="H15:K15" si="3">-H11</f>
        <v>80651.990879999998</v>
      </c>
      <c r="I15" s="16">
        <f t="shared" si="3"/>
        <v>86575.137243912002</v>
      </c>
      <c r="J15" s="17">
        <f t="shared" si="3"/>
        <v>91756.062940286865</v>
      </c>
      <c r="K15" s="16">
        <f t="shared" si="3"/>
        <v>96309.689162857496</v>
      </c>
      <c r="L15" s="8"/>
    </row>
    <row r="16" spans="2:12" x14ac:dyDescent="0.5">
      <c r="B16" s="15" t="s">
        <v>19</v>
      </c>
      <c r="C16" s="7"/>
      <c r="D16" s="16"/>
      <c r="E16" s="16"/>
      <c r="F16" s="16"/>
      <c r="G16" s="16">
        <v>2870.189189189201</v>
      </c>
      <c r="H16" s="16">
        <v>-4548.2913405405416</v>
      </c>
      <c r="I16" s="16">
        <v>-3868.7217241767667</v>
      </c>
      <c r="J16" s="17">
        <v>-3383.9379548394299</v>
      </c>
      <c r="K16" s="16">
        <v>-2974.2153255528992</v>
      </c>
      <c r="L16" s="8"/>
    </row>
    <row r="17" spans="2:12" x14ac:dyDescent="0.5">
      <c r="B17" s="15" t="s">
        <v>20</v>
      </c>
      <c r="C17" s="7"/>
      <c r="D17" s="16"/>
      <c r="E17" s="16"/>
      <c r="F17" s="16"/>
      <c r="G17" s="18">
        <v>-193625.67567567568</v>
      </c>
      <c r="H17" s="18">
        <v>-211923.39945945944</v>
      </c>
      <c r="I17" s="18">
        <v>-227487.22248775678</v>
      </c>
      <c r="J17" s="19">
        <v>-241100.76598423725</v>
      </c>
      <c r="K17" s="18">
        <v>-253066.00005255349</v>
      </c>
      <c r="L17" s="8"/>
    </row>
    <row r="18" spans="2:12" x14ac:dyDescent="0.5">
      <c r="B18" s="20" t="s">
        <v>21</v>
      </c>
      <c r="C18" s="21"/>
      <c r="D18" s="16"/>
      <c r="E18" s="16"/>
      <c r="F18" s="22"/>
      <c r="G18" s="22">
        <f>SUM(G14:G17)</f>
        <v>173036.23351351364</v>
      </c>
      <c r="H18" s="22">
        <f t="shared" ref="H18:K18" si="4">SUM(H14:H17)</f>
        <v>184385.91882399985</v>
      </c>
      <c r="I18" s="22">
        <f t="shared" si="4"/>
        <v>204108.61605826052</v>
      </c>
      <c r="J18" s="23">
        <f t="shared" si="4"/>
        <v>226712.82736486534</v>
      </c>
      <c r="K18" s="22">
        <f t="shared" si="4"/>
        <v>241796.30757500068</v>
      </c>
      <c r="L18" s="8"/>
    </row>
    <row r="19" spans="2:12" x14ac:dyDescent="0.5">
      <c r="B19" s="15" t="s">
        <v>22</v>
      </c>
      <c r="C19" s="7"/>
      <c r="D19" s="16"/>
      <c r="E19" s="16"/>
      <c r="F19" s="16"/>
      <c r="G19" s="16">
        <v>-125450</v>
      </c>
      <c r="H19" s="16">
        <v>-129600</v>
      </c>
      <c r="I19" s="16">
        <v>-153450</v>
      </c>
      <c r="J19" s="17">
        <v>-201750</v>
      </c>
      <c r="K19" s="16">
        <v>-237250</v>
      </c>
      <c r="L19" s="8"/>
    </row>
    <row r="20" spans="2:12" x14ac:dyDescent="0.5">
      <c r="B20" s="20" t="s">
        <v>23</v>
      </c>
      <c r="C20" s="21"/>
      <c r="D20" s="16"/>
      <c r="E20" s="16"/>
      <c r="F20" s="22"/>
      <c r="G20" s="24">
        <f>+G18+G19</f>
        <v>47586.233513513638</v>
      </c>
      <c r="H20" s="24">
        <f t="shared" ref="H20:K20" si="5">+H18+H19</f>
        <v>54785.918823999848</v>
      </c>
      <c r="I20" s="24">
        <f t="shared" si="5"/>
        <v>50658.616058260523</v>
      </c>
      <c r="J20" s="25">
        <f t="shared" si="5"/>
        <v>24962.827364865341</v>
      </c>
      <c r="K20" s="24">
        <f t="shared" si="5"/>
        <v>4546.3075750006828</v>
      </c>
      <c r="L20" s="8"/>
    </row>
    <row r="21" spans="2:12" x14ac:dyDescent="0.5">
      <c r="B21" s="15"/>
      <c r="C21" s="7"/>
      <c r="D21" s="7"/>
      <c r="E21" s="7"/>
      <c r="F21" s="7"/>
      <c r="G21" s="7"/>
      <c r="H21" s="7"/>
      <c r="I21" s="7"/>
      <c r="J21" s="26"/>
      <c r="K21" s="7"/>
      <c r="L21" s="8"/>
    </row>
    <row r="22" spans="2:12" x14ac:dyDescent="0.5">
      <c r="B22" s="27" t="s">
        <v>24</v>
      </c>
      <c r="C22" s="7"/>
      <c r="D22" s="7"/>
      <c r="E22" s="28" t="s">
        <v>25</v>
      </c>
      <c r="F22" s="7"/>
      <c r="G22" s="7"/>
      <c r="H22" s="7"/>
      <c r="I22" s="7"/>
      <c r="J22" s="26"/>
      <c r="K22" s="7"/>
      <c r="L22" s="8"/>
    </row>
    <row r="23" spans="2:12" x14ac:dyDescent="0.5">
      <c r="B23" s="15" t="s">
        <v>26</v>
      </c>
      <c r="C23" s="7"/>
      <c r="D23" s="7"/>
      <c r="E23" s="29" t="s">
        <v>27</v>
      </c>
      <c r="F23" s="48">
        <v>7.5</v>
      </c>
      <c r="G23" s="7"/>
      <c r="H23" s="7"/>
      <c r="I23" s="7"/>
      <c r="J23" s="30">
        <f>+F23*J10</f>
        <v>4722438.8265978368</v>
      </c>
      <c r="K23" s="7"/>
      <c r="L23" s="8"/>
    </row>
    <row r="24" spans="2:12" x14ac:dyDescent="0.5">
      <c r="B24" s="15" t="s">
        <v>28</v>
      </c>
      <c r="C24" s="7"/>
      <c r="D24" s="7"/>
      <c r="E24" s="29" t="s">
        <v>29</v>
      </c>
      <c r="F24" s="47">
        <v>0.1</v>
      </c>
      <c r="G24" s="7"/>
      <c r="H24" s="7"/>
      <c r="I24" s="7"/>
      <c r="J24" s="19">
        <f>+K18/(F24-F25)</f>
        <v>4835926.1515000137</v>
      </c>
      <c r="K24" s="7"/>
      <c r="L24" s="8"/>
    </row>
    <row r="25" spans="2:12" x14ac:dyDescent="0.5">
      <c r="B25" s="15" t="s">
        <v>30</v>
      </c>
      <c r="C25" s="7"/>
      <c r="D25" s="7"/>
      <c r="E25" s="29" t="s">
        <v>31</v>
      </c>
      <c r="F25" s="47">
        <v>0.05</v>
      </c>
      <c r="G25" s="7"/>
      <c r="H25" s="7"/>
      <c r="I25" s="7"/>
      <c r="J25" s="30">
        <f>AVERAGE(J23:J24)</f>
        <v>4779182.4890489252</v>
      </c>
      <c r="K25" s="7"/>
      <c r="L25" s="8"/>
    </row>
    <row r="26" spans="2:12" x14ac:dyDescent="0.5">
      <c r="B26" s="15" t="s">
        <v>32</v>
      </c>
      <c r="C26" s="7"/>
      <c r="D26" s="7"/>
      <c r="E26" s="29"/>
      <c r="F26" s="7"/>
      <c r="G26" s="7"/>
      <c r="H26" s="7"/>
      <c r="I26" s="7"/>
      <c r="J26" s="19">
        <v>-1030000</v>
      </c>
      <c r="K26" s="7"/>
      <c r="L26" s="8"/>
    </row>
    <row r="27" spans="2:12" x14ac:dyDescent="0.5">
      <c r="B27" s="15" t="s">
        <v>33</v>
      </c>
      <c r="C27" s="7"/>
      <c r="D27" s="7"/>
      <c r="E27" s="29"/>
      <c r="F27" s="7"/>
      <c r="G27" s="7"/>
      <c r="H27" s="7"/>
      <c r="I27" s="7"/>
      <c r="J27" s="30">
        <f>SUM(J25:J26)</f>
        <v>3749182.4890489252</v>
      </c>
      <c r="K27" s="7"/>
      <c r="L27" s="8"/>
    </row>
    <row r="28" spans="2:12" x14ac:dyDescent="0.5">
      <c r="B28" s="15"/>
      <c r="C28" s="7"/>
      <c r="D28" s="7"/>
      <c r="E28" s="29"/>
      <c r="F28" s="7"/>
      <c r="G28" s="7"/>
      <c r="H28" s="7"/>
      <c r="I28" s="7"/>
      <c r="J28" s="26"/>
      <c r="K28" s="7"/>
      <c r="L28" s="8"/>
    </row>
    <row r="29" spans="2:12" x14ac:dyDescent="0.5">
      <c r="B29" s="15" t="s">
        <v>34</v>
      </c>
      <c r="C29" s="7"/>
      <c r="D29" s="7"/>
      <c r="E29" s="29" t="s">
        <v>35</v>
      </c>
      <c r="F29" s="47">
        <v>0.2</v>
      </c>
      <c r="G29" s="32">
        <f>+G20</f>
        <v>47586.233513513638</v>
      </c>
      <c r="H29" s="32">
        <f>+H20</f>
        <v>54785.918823999848</v>
      </c>
      <c r="I29" s="32">
        <f>+I20</f>
        <v>50658.616058260523</v>
      </c>
      <c r="J29" s="33">
        <f>+J27+J20</f>
        <v>3774145.3164137905</v>
      </c>
      <c r="K29" s="7"/>
      <c r="L29" s="8"/>
    </row>
    <row r="30" spans="2:12" x14ac:dyDescent="0.5">
      <c r="B30" s="15"/>
      <c r="C30" s="7"/>
      <c r="D30" s="7"/>
      <c r="E30" s="29"/>
      <c r="F30" s="31"/>
      <c r="G30" s="34"/>
      <c r="H30" s="34"/>
      <c r="I30" s="34"/>
      <c r="J30" s="30"/>
      <c r="K30" s="7"/>
      <c r="L30" s="8"/>
    </row>
    <row r="31" spans="2:12" x14ac:dyDescent="0.5">
      <c r="B31" s="15" t="s">
        <v>36</v>
      </c>
      <c r="C31" s="7"/>
      <c r="D31" s="7"/>
      <c r="E31" s="34">
        <f>SUM(G31:J31)</f>
        <v>1927110.5277303311</v>
      </c>
      <c r="F31" s="7"/>
      <c r="G31" s="16">
        <f>G29/(1+$F$29)^1</f>
        <v>39655.194594594701</v>
      </c>
      <c r="H31" s="16">
        <f>H29/(1+$F$29)^2</f>
        <v>38045.776961111005</v>
      </c>
      <c r="I31" s="16">
        <f>I29/(1+$F$29)^3</f>
        <v>29316.328737419284</v>
      </c>
      <c r="J31" s="17">
        <f>J29/(1+$F$29)^4</f>
        <v>1820093.2274372061</v>
      </c>
      <c r="K31" s="7"/>
      <c r="L31" s="8"/>
    </row>
    <row r="32" spans="2:12" x14ac:dyDescent="0.5">
      <c r="B32" s="15" t="s">
        <v>37</v>
      </c>
      <c r="C32" s="7"/>
      <c r="D32" s="7"/>
      <c r="E32" s="35">
        <f>1180000+10000</f>
        <v>1190000</v>
      </c>
      <c r="F32" s="7"/>
      <c r="G32" s="7"/>
      <c r="H32" s="7"/>
      <c r="I32" s="7"/>
      <c r="J32" s="26"/>
      <c r="K32" s="7"/>
      <c r="L32" s="8"/>
    </row>
    <row r="33" spans="2:12" x14ac:dyDescent="0.5">
      <c r="B33" s="15" t="s">
        <v>38</v>
      </c>
      <c r="C33" s="7"/>
      <c r="D33" s="7"/>
      <c r="E33" s="35">
        <v>-65800</v>
      </c>
      <c r="F33" s="7"/>
      <c r="G33" s="7"/>
      <c r="H33" s="7"/>
      <c r="I33" s="7"/>
      <c r="J33" s="26"/>
      <c r="K33" s="7"/>
      <c r="L33" s="8"/>
    </row>
    <row r="34" spans="2:12" ht="14.7" thickBot="1" x14ac:dyDescent="0.55000000000000004">
      <c r="B34" s="20" t="s">
        <v>39</v>
      </c>
      <c r="C34" s="7"/>
      <c r="D34" s="7"/>
      <c r="E34" s="36">
        <f>SUM(E31:E33)</f>
        <v>3051310.5277303308</v>
      </c>
      <c r="F34" s="7"/>
      <c r="G34" s="7"/>
      <c r="H34" s="7"/>
      <c r="I34" s="7"/>
      <c r="J34" s="37"/>
      <c r="K34" s="7"/>
      <c r="L34" s="8"/>
    </row>
    <row r="35" spans="2:12" ht="14.7" thickBot="1" x14ac:dyDescent="0.55000000000000004">
      <c r="B35" s="38" t="s">
        <v>40</v>
      </c>
      <c r="C35" s="39"/>
      <c r="D35" s="39"/>
      <c r="E35" s="40">
        <f>+E34/E10</f>
        <v>7.0469065305550362</v>
      </c>
      <c r="F35" s="39"/>
      <c r="G35" s="39"/>
      <c r="H35" s="39"/>
      <c r="I35" s="39"/>
      <c r="J35" s="39"/>
      <c r="K35" s="39"/>
      <c r="L35" s="41"/>
    </row>
  </sheetData>
  <mergeCells count="1">
    <mergeCell ref="G4:K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EF672-C72C-4898-8A96-B91F17E0F7E8}">
  <dimension ref="B1:L56"/>
  <sheetViews>
    <sheetView showGridLines="0" tabSelected="1" topLeftCell="A37" workbookViewId="0">
      <selection activeCell="B59" sqref="B59"/>
    </sheetView>
  </sheetViews>
  <sheetFormatPr defaultRowHeight="14.35" x14ac:dyDescent="0.5"/>
  <cols>
    <col min="1" max="1" width="4.5859375" customWidth="1"/>
    <col min="2" max="2" width="30.3515625" customWidth="1"/>
    <col min="4" max="4" width="12.703125" customWidth="1"/>
    <col min="5" max="5" width="10.52734375" customWidth="1"/>
    <col min="6" max="6" width="6.76171875" customWidth="1"/>
    <col min="7" max="9" width="10.234375" customWidth="1"/>
    <col min="10" max="10" width="11.3515625" customWidth="1"/>
    <col min="11" max="11" width="10.234375" customWidth="1"/>
    <col min="12" max="12" width="4" customWidth="1"/>
    <col min="13" max="13" width="2.8203125" customWidth="1"/>
    <col min="15" max="15" width="9.76171875" bestFit="1" customWidth="1"/>
    <col min="17" max="17" width="9.76171875" bestFit="1" customWidth="1"/>
    <col min="19" max="23" width="9.76171875" bestFit="1" customWidth="1"/>
  </cols>
  <sheetData>
    <row r="1" spans="2:12" ht="14.7" thickBot="1" x14ac:dyDescent="0.55000000000000004"/>
    <row r="2" spans="2:12" ht="20" x14ac:dyDescent="0.6">
      <c r="B2" s="1" t="s">
        <v>0</v>
      </c>
      <c r="C2" s="2"/>
      <c r="D2" s="2"/>
      <c r="E2" s="2"/>
      <c r="F2" s="3"/>
      <c r="G2" s="3"/>
      <c r="H2" s="3"/>
      <c r="I2" s="3"/>
      <c r="J2" s="3"/>
      <c r="K2" s="3"/>
      <c r="L2" s="4"/>
    </row>
    <row r="3" spans="2:12" ht="15.35" x14ac:dyDescent="0.5">
      <c r="B3" s="5" t="s">
        <v>47</v>
      </c>
      <c r="C3" s="6"/>
      <c r="D3" s="6"/>
      <c r="E3" s="6"/>
      <c r="F3" s="7"/>
      <c r="G3" s="7"/>
      <c r="H3" s="7"/>
      <c r="I3" s="7"/>
      <c r="J3" s="7"/>
      <c r="K3" s="7"/>
      <c r="L3" s="8"/>
    </row>
    <row r="4" spans="2:12" ht="15.35" x14ac:dyDescent="0.5">
      <c r="B4" s="5"/>
      <c r="C4" s="6"/>
      <c r="D4" s="6"/>
      <c r="E4" s="6"/>
      <c r="F4" s="7"/>
      <c r="G4" s="7"/>
      <c r="H4" s="7"/>
      <c r="I4" s="7"/>
      <c r="J4" s="7"/>
      <c r="K4" s="7"/>
      <c r="L4" s="8"/>
    </row>
    <row r="5" spans="2:12" x14ac:dyDescent="0.5">
      <c r="B5" s="20" t="s">
        <v>71</v>
      </c>
      <c r="C5" s="6"/>
      <c r="D5" s="6"/>
      <c r="E5" s="6"/>
      <c r="F5" s="7"/>
      <c r="G5" s="7"/>
      <c r="H5" s="7"/>
      <c r="I5" s="7"/>
      <c r="J5" s="7"/>
      <c r="K5" s="7"/>
      <c r="L5" s="8"/>
    </row>
    <row r="6" spans="2:12" ht="38.700000000000003" x14ac:dyDescent="0.5">
      <c r="B6" s="49" t="s">
        <v>48</v>
      </c>
      <c r="C6" s="51" t="s">
        <v>52</v>
      </c>
      <c r="D6" s="13" t="s">
        <v>51</v>
      </c>
      <c r="E6" s="13" t="s">
        <v>58</v>
      </c>
      <c r="F6" s="51" t="s">
        <v>68</v>
      </c>
      <c r="G6" s="51" t="s">
        <v>41</v>
      </c>
      <c r="H6" s="49" t="s">
        <v>54</v>
      </c>
      <c r="I6" s="49"/>
      <c r="J6" s="51" t="s">
        <v>55</v>
      </c>
      <c r="K6" s="51" t="s">
        <v>51</v>
      </c>
      <c r="L6" s="8"/>
    </row>
    <row r="7" spans="2:12" x14ac:dyDescent="0.5">
      <c r="B7" s="15" t="s">
        <v>42</v>
      </c>
      <c r="C7" s="50">
        <v>3.5</v>
      </c>
      <c r="D7" s="52">
        <f>+C7*E30</f>
        <v>1515500</v>
      </c>
      <c r="E7" s="66">
        <f>+D7/$D$11</f>
        <v>0.33816425120772947</v>
      </c>
      <c r="F7" s="54">
        <v>0.05</v>
      </c>
      <c r="G7" s="54">
        <f>+(F7*(1-$F$13))*E7</f>
        <v>1.0821256038647344E-2</v>
      </c>
      <c r="H7" s="7" t="s">
        <v>56</v>
      </c>
      <c r="I7" s="7"/>
      <c r="J7" s="50">
        <v>10</v>
      </c>
      <c r="K7" s="44">
        <f>+J7*E30</f>
        <v>4330000</v>
      </c>
      <c r="L7" s="8"/>
    </row>
    <row r="8" spans="2:12" x14ac:dyDescent="0.5">
      <c r="B8" s="15" t="s">
        <v>43</v>
      </c>
      <c r="C8" s="50">
        <v>2.5</v>
      </c>
      <c r="D8" s="55">
        <f>+C8*E30</f>
        <v>1082500</v>
      </c>
      <c r="E8" s="64">
        <f t="shared" ref="E8:E11" si="0">+D8/$D$11</f>
        <v>0.24154589371980675</v>
      </c>
      <c r="F8" s="56">
        <v>0.08</v>
      </c>
      <c r="G8" s="56">
        <f t="shared" ref="G8:G9" si="1">+(F8*(1-$F$13))*E8</f>
        <v>1.2367149758454106E-2</v>
      </c>
      <c r="H8" s="46" t="s">
        <v>57</v>
      </c>
      <c r="I8" s="45">
        <v>3.5000000000000003E-2</v>
      </c>
      <c r="J8" s="50"/>
      <c r="K8" s="34">
        <f>+I8*K7</f>
        <v>151550</v>
      </c>
      <c r="L8" s="8"/>
    </row>
    <row r="9" spans="2:12" x14ac:dyDescent="0.5">
      <c r="B9" s="15" t="s">
        <v>49</v>
      </c>
      <c r="C9" s="50">
        <f>+D9/E30</f>
        <v>6</v>
      </c>
      <c r="D9" s="52">
        <f>SUM(D7:D8)</f>
        <v>2598000</v>
      </c>
      <c r="E9" s="66">
        <f t="shared" si="0"/>
        <v>0.57971014492753625</v>
      </c>
      <c r="F9" s="59"/>
      <c r="G9" s="54">
        <f t="shared" si="1"/>
        <v>0</v>
      </c>
      <c r="L9" s="8"/>
    </row>
    <row r="10" spans="2:12" x14ac:dyDescent="0.5">
      <c r="B10" s="15" t="s">
        <v>44</v>
      </c>
      <c r="C10" s="6"/>
      <c r="D10" s="55">
        <f>+K11-D9</f>
        <v>1883550</v>
      </c>
      <c r="E10" s="66">
        <f t="shared" si="0"/>
        <v>0.42028985507246375</v>
      </c>
      <c r="F10" s="63">
        <v>0.25</v>
      </c>
      <c r="G10" s="64">
        <f>+E10*F10</f>
        <v>0.10507246376811594</v>
      </c>
      <c r="L10" s="8"/>
    </row>
    <row r="11" spans="2:12" ht="14.7" thickBot="1" x14ac:dyDescent="0.55000000000000004">
      <c r="B11" s="15" t="s">
        <v>50</v>
      </c>
      <c r="C11" s="6"/>
      <c r="D11" s="62">
        <f>SUM(D9:D10)</f>
        <v>4481550</v>
      </c>
      <c r="E11" s="67">
        <f t="shared" si="0"/>
        <v>1</v>
      </c>
      <c r="F11" s="53"/>
      <c r="G11" s="65">
        <f>SUM(G9:G10)</f>
        <v>0.10507246376811594</v>
      </c>
      <c r="H11" s="7"/>
      <c r="I11" s="7"/>
      <c r="J11" s="7"/>
      <c r="K11" s="62">
        <f>SUM(K7:K10)</f>
        <v>4481550</v>
      </c>
      <c r="L11" s="8"/>
    </row>
    <row r="12" spans="2:12" ht="7.5" customHeight="1" thickTop="1" x14ac:dyDescent="0.5">
      <c r="B12" s="15"/>
      <c r="C12" s="6"/>
      <c r="D12" s="6"/>
      <c r="G12" s="7"/>
      <c r="H12" s="7"/>
      <c r="I12" s="7"/>
      <c r="J12" s="7"/>
      <c r="K12" s="7"/>
      <c r="L12" s="8"/>
    </row>
    <row r="13" spans="2:12" x14ac:dyDescent="0.5">
      <c r="B13" s="15"/>
      <c r="C13" s="6"/>
      <c r="D13" s="6"/>
      <c r="E13" s="57" t="s">
        <v>53</v>
      </c>
      <c r="F13" s="58">
        <v>0.36</v>
      </c>
      <c r="G13" s="7"/>
      <c r="H13" s="7"/>
      <c r="I13" s="7"/>
      <c r="J13" s="7"/>
      <c r="K13" s="7"/>
      <c r="L13" s="8"/>
    </row>
    <row r="14" spans="2:12" x14ac:dyDescent="0.5">
      <c r="B14" s="43"/>
      <c r="C14" s="61"/>
      <c r="D14" s="61"/>
      <c r="E14" s="75"/>
      <c r="F14" s="76"/>
      <c r="G14" s="42"/>
      <c r="H14" s="7"/>
      <c r="I14" s="7"/>
      <c r="J14" s="7"/>
      <c r="K14" s="7"/>
      <c r="L14" s="8"/>
    </row>
    <row r="15" spans="2:12" x14ac:dyDescent="0.5">
      <c r="B15" s="20" t="s">
        <v>69</v>
      </c>
      <c r="C15" s="6"/>
      <c r="D15" s="6"/>
      <c r="E15" s="57"/>
      <c r="F15" s="58"/>
      <c r="G15" s="10"/>
      <c r="H15" s="72"/>
      <c r="I15" s="72"/>
      <c r="J15" s="73" t="s">
        <v>3</v>
      </c>
      <c r="K15" s="72"/>
      <c r="L15" s="8"/>
    </row>
    <row r="16" spans="2:12" x14ac:dyDescent="0.5">
      <c r="B16" s="49"/>
      <c r="C16" s="13" t="s">
        <v>45</v>
      </c>
      <c r="D16" s="13" t="s">
        <v>65</v>
      </c>
      <c r="E16" s="13" t="s">
        <v>4</v>
      </c>
      <c r="F16" s="58"/>
      <c r="G16" s="13" t="s">
        <v>5</v>
      </c>
      <c r="H16" s="13" t="s">
        <v>6</v>
      </c>
      <c r="I16" s="13" t="s">
        <v>7</v>
      </c>
      <c r="J16" s="14" t="s">
        <v>8</v>
      </c>
      <c r="K16" s="13" t="s">
        <v>9</v>
      </c>
      <c r="L16" s="8"/>
    </row>
    <row r="17" spans="2:12" x14ac:dyDescent="0.5">
      <c r="B17" s="15" t="s">
        <v>59</v>
      </c>
      <c r="C17" s="69">
        <v>5</v>
      </c>
      <c r="D17" s="70">
        <f>+F7</f>
        <v>0.05</v>
      </c>
      <c r="E17" s="68">
        <f>+D7</f>
        <v>1515500</v>
      </c>
      <c r="F17" s="58"/>
      <c r="G17" s="34">
        <f>+E17-G18</f>
        <v>1363950</v>
      </c>
      <c r="H17" s="34">
        <f>+G17-H18</f>
        <v>1212400</v>
      </c>
      <c r="I17" s="34">
        <f t="shared" ref="I17:K17" si="2">+H17-I18</f>
        <v>1060850</v>
      </c>
      <c r="J17" s="34">
        <f t="shared" si="2"/>
        <v>909300</v>
      </c>
      <c r="K17" s="34">
        <f t="shared" si="2"/>
        <v>0</v>
      </c>
      <c r="L17" s="8"/>
    </row>
    <row r="18" spans="2:12" x14ac:dyDescent="0.5">
      <c r="B18" s="15" t="s">
        <v>60</v>
      </c>
      <c r="C18" s="6"/>
      <c r="D18" s="69"/>
      <c r="E18" s="57"/>
      <c r="F18" s="58"/>
      <c r="G18" s="16">
        <f>+$E$17*0.1</f>
        <v>151550</v>
      </c>
      <c r="H18" s="16">
        <f>+$E$17*0.1</f>
        <v>151550</v>
      </c>
      <c r="I18" s="16">
        <f>+$E$17*0.1</f>
        <v>151550</v>
      </c>
      <c r="J18" s="16">
        <f>+$E$17*0.1</f>
        <v>151550</v>
      </c>
      <c r="K18" s="16">
        <f>+J17</f>
        <v>909300</v>
      </c>
      <c r="L18" s="8"/>
    </row>
    <row r="19" spans="2:12" x14ac:dyDescent="0.5">
      <c r="B19" s="15" t="s">
        <v>61</v>
      </c>
      <c r="C19" s="6"/>
      <c r="D19" s="69"/>
      <c r="E19" s="57"/>
      <c r="F19" s="58"/>
      <c r="G19" s="16">
        <f>+E17*$D$17</f>
        <v>75775</v>
      </c>
      <c r="H19" s="16">
        <f>+G17*$D$17</f>
        <v>68197.5</v>
      </c>
      <c r="I19" s="16">
        <f t="shared" ref="I19:K19" si="3">+H17*$D$17</f>
        <v>60620</v>
      </c>
      <c r="J19" s="16">
        <f t="shared" si="3"/>
        <v>53042.5</v>
      </c>
      <c r="K19" s="16">
        <f t="shared" si="3"/>
        <v>45465</v>
      </c>
      <c r="L19" s="8"/>
    </row>
    <row r="20" spans="2:12" x14ac:dyDescent="0.5">
      <c r="B20" s="15"/>
      <c r="C20" s="6"/>
      <c r="D20" s="69"/>
      <c r="E20" s="57"/>
      <c r="F20" s="58"/>
      <c r="G20" s="7"/>
      <c r="H20" s="7"/>
      <c r="I20" s="7"/>
      <c r="J20" s="7"/>
      <c r="K20" s="7"/>
      <c r="L20" s="8"/>
    </row>
    <row r="21" spans="2:12" x14ac:dyDescent="0.5">
      <c r="B21" s="15" t="s">
        <v>62</v>
      </c>
      <c r="C21" s="69">
        <v>10</v>
      </c>
      <c r="D21" s="70">
        <f>+F8</f>
        <v>0.08</v>
      </c>
      <c r="E21" s="68">
        <f>+D8</f>
        <v>1082500</v>
      </c>
      <c r="F21" s="58"/>
      <c r="G21" s="34">
        <f>+E21-G22</f>
        <v>1082500</v>
      </c>
      <c r="H21" s="34">
        <f>+G21-H22</f>
        <v>1082500</v>
      </c>
      <c r="I21" s="34">
        <f t="shared" ref="I21:K21" si="4">+H21-I22</f>
        <v>1082500</v>
      </c>
      <c r="J21" s="34">
        <f t="shared" si="4"/>
        <v>1082500</v>
      </c>
      <c r="K21" s="34">
        <f t="shared" si="4"/>
        <v>1082500</v>
      </c>
      <c r="L21" s="8"/>
    </row>
    <row r="22" spans="2:12" x14ac:dyDescent="0.5">
      <c r="B22" s="15" t="s">
        <v>63</v>
      </c>
      <c r="C22" s="6"/>
      <c r="D22" s="6"/>
      <c r="E22" s="57"/>
      <c r="F22" s="58"/>
      <c r="G22" s="16">
        <v>0</v>
      </c>
      <c r="H22" s="16">
        <v>0</v>
      </c>
      <c r="I22" s="16">
        <v>0</v>
      </c>
      <c r="J22" s="71">
        <v>0</v>
      </c>
      <c r="K22" s="71">
        <v>0</v>
      </c>
      <c r="L22" s="8"/>
    </row>
    <row r="23" spans="2:12" x14ac:dyDescent="0.5">
      <c r="B23" s="15" t="s">
        <v>64</v>
      </c>
      <c r="C23" s="6"/>
      <c r="D23" s="6"/>
      <c r="E23" s="57"/>
      <c r="F23" s="58"/>
      <c r="G23" s="16">
        <f>+E21*$D$21</f>
        <v>86600</v>
      </c>
      <c r="H23" s="16">
        <f>+G21*$D$21</f>
        <v>86600</v>
      </c>
      <c r="I23" s="16">
        <f t="shared" ref="I23:K23" si="5">+H21*$D$21</f>
        <v>86600</v>
      </c>
      <c r="J23" s="16">
        <f t="shared" si="5"/>
        <v>86600</v>
      </c>
      <c r="K23" s="16">
        <f t="shared" si="5"/>
        <v>86600</v>
      </c>
      <c r="L23" s="8"/>
    </row>
    <row r="24" spans="2:12" x14ac:dyDescent="0.5">
      <c r="B24" s="15"/>
      <c r="C24" s="6"/>
      <c r="D24" s="6"/>
      <c r="E24" s="57"/>
      <c r="F24" s="58"/>
      <c r="G24" s="7"/>
      <c r="H24" s="7"/>
      <c r="I24" s="7"/>
      <c r="J24" s="7"/>
      <c r="K24" s="7"/>
      <c r="L24" s="8"/>
    </row>
    <row r="25" spans="2:12" x14ac:dyDescent="0.5">
      <c r="B25" s="20" t="s">
        <v>70</v>
      </c>
      <c r="C25" s="6"/>
      <c r="D25" s="6"/>
      <c r="E25" s="6"/>
      <c r="F25" s="7"/>
      <c r="G25" s="10"/>
      <c r="H25" s="10"/>
      <c r="I25" s="10"/>
      <c r="J25" s="11" t="s">
        <v>3</v>
      </c>
      <c r="K25" s="10"/>
      <c r="L25" s="8"/>
    </row>
    <row r="26" spans="2:12" x14ac:dyDescent="0.5">
      <c r="B26" s="49"/>
      <c r="C26" s="49"/>
      <c r="D26" s="13" t="s">
        <v>46</v>
      </c>
      <c r="E26" s="13" t="s">
        <v>4</v>
      </c>
      <c r="F26" s="7"/>
      <c r="G26" s="13" t="s">
        <v>5</v>
      </c>
      <c r="H26" s="13" t="s">
        <v>6</v>
      </c>
      <c r="I26" s="13" t="s">
        <v>7</v>
      </c>
      <c r="J26" s="14" t="s">
        <v>8</v>
      </c>
      <c r="K26" s="13" t="s">
        <v>9</v>
      </c>
      <c r="L26" s="8"/>
    </row>
    <row r="27" spans="2:12" x14ac:dyDescent="0.5">
      <c r="B27" s="15" t="s">
        <v>10</v>
      </c>
      <c r="C27" s="7"/>
      <c r="D27" s="16">
        <v>960000</v>
      </c>
      <c r="E27" s="16">
        <v>1110000</v>
      </c>
      <c r="G27" s="16">
        <v>1228140</v>
      </c>
      <c r="H27" s="16">
        <v>1344199.848</v>
      </c>
      <c r="I27" s="16">
        <v>1442918.9540652002</v>
      </c>
      <c r="J27" s="17">
        <v>1529267.7156714478</v>
      </c>
      <c r="K27" s="16">
        <v>1605161.4860476251</v>
      </c>
      <c r="L27" s="8"/>
    </row>
    <row r="28" spans="2:12" x14ac:dyDescent="0.5">
      <c r="B28" s="15" t="s">
        <v>11</v>
      </c>
      <c r="C28" s="7"/>
      <c r="D28" s="16">
        <v>-345000</v>
      </c>
      <c r="E28" s="16">
        <v>-420000</v>
      </c>
      <c r="G28" s="16">
        <v>-463078.2</v>
      </c>
      <c r="H28" s="16">
        <v>-506823.33804</v>
      </c>
      <c r="I28" s="16">
        <v>-544053.13711893605</v>
      </c>
      <c r="J28" s="17">
        <v>-576709.25695468695</v>
      </c>
      <c r="K28" s="16">
        <v>-605474.36387137498</v>
      </c>
      <c r="L28" s="8"/>
    </row>
    <row r="29" spans="2:12" x14ac:dyDescent="0.5">
      <c r="B29" s="15" t="s">
        <v>12</v>
      </c>
      <c r="C29" s="7"/>
      <c r="D29" s="18">
        <v>-230000</v>
      </c>
      <c r="E29" s="18">
        <v>-257000</v>
      </c>
      <c r="G29" s="18">
        <v>-271501.2</v>
      </c>
      <c r="H29" s="18">
        <v>-289448.48784000002</v>
      </c>
      <c r="I29" s="18">
        <v>-306441.64132521598</v>
      </c>
      <c r="J29" s="19">
        <v>-322899.94850371598</v>
      </c>
      <c r="K29" s="18">
        <v>-338999.37669631001</v>
      </c>
      <c r="L29" s="8"/>
    </row>
    <row r="30" spans="2:12" x14ac:dyDescent="0.5">
      <c r="B30" s="20" t="s">
        <v>13</v>
      </c>
      <c r="C30" s="21"/>
      <c r="D30" s="22">
        <f>SUM(D27:D29)</f>
        <v>385000</v>
      </c>
      <c r="E30" s="22">
        <f>SUM(E27:E29)</f>
        <v>433000</v>
      </c>
      <c r="F30" s="22"/>
      <c r="G30" s="22">
        <f t="shared" ref="G30:K30" si="6">SUM(G27:G29)</f>
        <v>493560.60000000003</v>
      </c>
      <c r="H30" s="22">
        <f t="shared" si="6"/>
        <v>547928.02211999986</v>
      </c>
      <c r="I30" s="22">
        <f t="shared" si="6"/>
        <v>592424.17562104808</v>
      </c>
      <c r="J30" s="23">
        <f t="shared" si="6"/>
        <v>629658.51021304494</v>
      </c>
      <c r="K30" s="22">
        <f t="shared" si="6"/>
        <v>660687.74547994009</v>
      </c>
      <c r="L30" s="8"/>
    </row>
    <row r="31" spans="2:12" x14ac:dyDescent="0.5">
      <c r="B31" s="15" t="s">
        <v>66</v>
      </c>
      <c r="C31" s="7"/>
      <c r="D31" s="16">
        <v>-60000</v>
      </c>
      <c r="E31" s="16">
        <v>-65000</v>
      </c>
      <c r="F31" s="16"/>
      <c r="G31" s="16">
        <v>-73688.399999999994</v>
      </c>
      <c r="H31" s="16">
        <v>-80651.990879999998</v>
      </c>
      <c r="I31" s="16">
        <v>-86575.137243912002</v>
      </c>
      <c r="J31" s="16">
        <v>-91756.062940286865</v>
      </c>
      <c r="K31" s="16">
        <v>-96309.689162857496</v>
      </c>
      <c r="L31" s="8"/>
    </row>
    <row r="32" spans="2:12" x14ac:dyDescent="0.5">
      <c r="B32" s="15" t="s">
        <v>67</v>
      </c>
      <c r="C32" s="7"/>
      <c r="D32" s="16"/>
      <c r="E32" s="16"/>
      <c r="F32" s="16"/>
      <c r="G32" s="18">
        <f>-$K$8/$C$17</f>
        <v>-30310</v>
      </c>
      <c r="H32" s="18">
        <f>-$K$8/$C$17</f>
        <v>-30310</v>
      </c>
      <c r="I32" s="18">
        <f>-$K$8/$C$17</f>
        <v>-30310</v>
      </c>
      <c r="J32" s="19">
        <f>-$K$8/$C$17</f>
        <v>-30310</v>
      </c>
      <c r="K32" s="18">
        <f>-$K$8/$C$17</f>
        <v>-30310</v>
      </c>
      <c r="L32" s="8"/>
    </row>
    <row r="33" spans="2:12" x14ac:dyDescent="0.5">
      <c r="B33" s="20" t="s">
        <v>15</v>
      </c>
      <c r="C33" s="21"/>
      <c r="D33" s="16">
        <f>+D30+D31</f>
        <v>325000</v>
      </c>
      <c r="E33" s="16">
        <f>+E30+E31</f>
        <v>368000</v>
      </c>
      <c r="F33" s="22"/>
      <c r="G33" s="22">
        <f>+G30+G31+G32</f>
        <v>389562.20000000007</v>
      </c>
      <c r="H33" s="22">
        <f t="shared" ref="H33:K33" si="7">+H30+H31+H32</f>
        <v>436966.03123999987</v>
      </c>
      <c r="I33" s="22">
        <f t="shared" si="7"/>
        <v>475539.03837713611</v>
      </c>
      <c r="J33" s="23">
        <f t="shared" si="7"/>
        <v>507592.44727275812</v>
      </c>
      <c r="K33" s="22">
        <f t="shared" si="7"/>
        <v>534068.05631708261</v>
      </c>
      <c r="L33" s="8"/>
    </row>
    <row r="34" spans="2:12" x14ac:dyDescent="0.5">
      <c r="B34" s="15" t="s">
        <v>16</v>
      </c>
      <c r="C34" s="7"/>
      <c r="D34" s="16"/>
      <c r="E34" s="16"/>
      <c r="F34" s="16"/>
      <c r="G34" s="18">
        <f>-G33*$F$13</f>
        <v>-140242.39200000002</v>
      </c>
      <c r="H34" s="18">
        <f t="shared" ref="H34:K34" si="8">-H33*$F$13</f>
        <v>-157307.77124639993</v>
      </c>
      <c r="I34" s="18">
        <f t="shared" si="8"/>
        <v>-171194.053815769</v>
      </c>
      <c r="J34" s="19">
        <f t="shared" si="8"/>
        <v>-182733.28101819291</v>
      </c>
      <c r="K34" s="18">
        <f t="shared" si="8"/>
        <v>-192264.50027414973</v>
      </c>
      <c r="L34" s="8"/>
    </row>
    <row r="35" spans="2:12" x14ac:dyDescent="0.5">
      <c r="B35" s="20" t="s">
        <v>17</v>
      </c>
      <c r="C35" s="21"/>
      <c r="D35" s="16"/>
      <c r="E35" s="16"/>
      <c r="F35" s="22"/>
      <c r="G35" s="22">
        <f>+G33+G34</f>
        <v>249319.80800000005</v>
      </c>
      <c r="H35" s="22">
        <f t="shared" ref="H35:K35" si="9">+H33+H34</f>
        <v>279658.25999359996</v>
      </c>
      <c r="I35" s="22">
        <f t="shared" si="9"/>
        <v>304344.98456136708</v>
      </c>
      <c r="J35" s="23">
        <f t="shared" si="9"/>
        <v>324859.16625456524</v>
      </c>
      <c r="K35" s="22">
        <f t="shared" si="9"/>
        <v>341803.55604293291</v>
      </c>
      <c r="L35" s="8"/>
    </row>
    <row r="36" spans="2:12" x14ac:dyDescent="0.5">
      <c r="B36" s="15" t="s">
        <v>18</v>
      </c>
      <c r="C36" s="7"/>
      <c r="D36" s="16"/>
      <c r="E36" s="16"/>
      <c r="F36" s="16"/>
      <c r="G36" s="16">
        <f>-G31-G32</f>
        <v>103998.39999999999</v>
      </c>
      <c r="H36" s="16">
        <f t="shared" ref="H36:K36" si="10">-H31-H32</f>
        <v>110961.99088</v>
      </c>
      <c r="I36" s="16">
        <f t="shared" si="10"/>
        <v>116885.137243912</v>
      </c>
      <c r="J36" s="17">
        <f t="shared" si="10"/>
        <v>122066.06294028687</v>
      </c>
      <c r="K36" s="16">
        <f t="shared" si="10"/>
        <v>126619.6891628575</v>
      </c>
      <c r="L36" s="8"/>
    </row>
    <row r="37" spans="2:12" x14ac:dyDescent="0.5">
      <c r="B37" s="15" t="s">
        <v>19</v>
      </c>
      <c r="C37" s="7"/>
      <c r="D37" s="16"/>
      <c r="E37" s="16"/>
      <c r="F37" s="16"/>
      <c r="G37" s="16">
        <v>2870.189189189201</v>
      </c>
      <c r="H37" s="16">
        <v>-4548.2913405405416</v>
      </c>
      <c r="I37" s="16">
        <v>-3868.7217241767667</v>
      </c>
      <c r="J37" s="17">
        <v>-3383.9379548394299</v>
      </c>
      <c r="K37" s="16">
        <v>-2974.2153255528992</v>
      </c>
      <c r="L37" s="8"/>
    </row>
    <row r="38" spans="2:12" x14ac:dyDescent="0.5">
      <c r="B38" s="15" t="s">
        <v>20</v>
      </c>
      <c r="C38" s="7"/>
      <c r="D38" s="16"/>
      <c r="E38" s="16"/>
      <c r="F38" s="16"/>
      <c r="G38" s="18">
        <v>-193625.67567567568</v>
      </c>
      <c r="H38" s="18">
        <v>-211923.39945945944</v>
      </c>
      <c r="I38" s="18">
        <v>-227487.22248775678</v>
      </c>
      <c r="J38" s="19">
        <v>-241100.76598423725</v>
      </c>
      <c r="K38" s="18">
        <v>-253066.00005255349</v>
      </c>
      <c r="L38" s="8"/>
    </row>
    <row r="39" spans="2:12" x14ac:dyDescent="0.5">
      <c r="B39" s="20" t="s">
        <v>21</v>
      </c>
      <c r="C39" s="21"/>
      <c r="D39" s="16"/>
      <c r="E39" s="16"/>
      <c r="F39" s="22"/>
      <c r="G39" s="22">
        <f>SUM(G35:G38)</f>
        <v>162562.72151351353</v>
      </c>
      <c r="H39" s="22">
        <f t="shared" ref="H39:K39" si="11">SUM(H35:H38)</f>
        <v>174148.56007359995</v>
      </c>
      <c r="I39" s="22">
        <f t="shared" si="11"/>
        <v>189874.17759334549</v>
      </c>
      <c r="J39" s="23">
        <f t="shared" si="11"/>
        <v>202440.52525577543</v>
      </c>
      <c r="K39" s="22">
        <f t="shared" si="11"/>
        <v>212383.02982768399</v>
      </c>
      <c r="L39" s="8"/>
    </row>
    <row r="40" spans="2:12" x14ac:dyDescent="0.5">
      <c r="B40" s="15" t="s">
        <v>22</v>
      </c>
      <c r="C40" s="7"/>
      <c r="D40" s="16"/>
      <c r="E40" s="16"/>
      <c r="F40" s="16"/>
      <c r="G40" s="16">
        <v>-125450</v>
      </c>
      <c r="H40" s="16">
        <v>-129600</v>
      </c>
      <c r="I40" s="16">
        <v>-153450</v>
      </c>
      <c r="J40" s="17">
        <v>-201750</v>
      </c>
      <c r="K40" s="16">
        <v>-237250</v>
      </c>
      <c r="L40" s="8"/>
    </row>
    <row r="41" spans="2:12" x14ac:dyDescent="0.5">
      <c r="B41" s="20" t="s">
        <v>23</v>
      </c>
      <c r="C41" s="21"/>
      <c r="D41" s="16"/>
      <c r="E41" s="16"/>
      <c r="F41" s="22"/>
      <c r="G41" s="24">
        <f>+G39+G40</f>
        <v>37112.721513513534</v>
      </c>
      <c r="H41" s="24">
        <f t="shared" ref="H41:K41" si="12">+H39+H40</f>
        <v>44548.560073599947</v>
      </c>
      <c r="I41" s="24">
        <f t="shared" si="12"/>
        <v>36424.177593345492</v>
      </c>
      <c r="J41" s="25">
        <f t="shared" si="12"/>
        <v>690.52525577542838</v>
      </c>
      <c r="K41" s="24">
        <f t="shared" si="12"/>
        <v>-24866.970172316011</v>
      </c>
      <c r="L41" s="8"/>
    </row>
    <row r="42" spans="2:12" x14ac:dyDescent="0.5">
      <c r="B42" s="15"/>
      <c r="C42" s="7"/>
      <c r="D42" s="7"/>
      <c r="E42" s="7"/>
      <c r="F42" s="7"/>
      <c r="G42" s="7"/>
      <c r="H42" s="7"/>
      <c r="I42" s="7"/>
      <c r="J42" s="26"/>
      <c r="K42" s="7"/>
      <c r="L42" s="8"/>
    </row>
    <row r="43" spans="2:12" x14ac:dyDescent="0.5">
      <c r="B43" s="27" t="s">
        <v>24</v>
      </c>
      <c r="C43" s="7"/>
      <c r="D43" s="7"/>
      <c r="E43" s="28" t="s">
        <v>25</v>
      </c>
      <c r="F43" s="7"/>
      <c r="G43" s="7"/>
      <c r="H43" s="7"/>
      <c r="I43" s="7"/>
      <c r="J43" s="26"/>
      <c r="K43" s="7"/>
      <c r="L43" s="8"/>
    </row>
    <row r="44" spans="2:12" x14ac:dyDescent="0.5">
      <c r="B44" s="15" t="s">
        <v>26</v>
      </c>
      <c r="C44" s="7"/>
      <c r="D44" s="7"/>
      <c r="E44" s="29" t="s">
        <v>27</v>
      </c>
      <c r="F44" s="48">
        <f>+J7</f>
        <v>10</v>
      </c>
      <c r="G44" s="7"/>
      <c r="H44" s="7"/>
      <c r="I44" s="7"/>
      <c r="J44" s="30">
        <f>+F44*J30</f>
        <v>6296585.1021304494</v>
      </c>
      <c r="K44" s="7"/>
      <c r="L44" s="8"/>
    </row>
    <row r="45" spans="2:12" x14ac:dyDescent="0.5">
      <c r="B45" s="15" t="s">
        <v>28</v>
      </c>
      <c r="C45" s="7"/>
      <c r="D45" s="7"/>
      <c r="E45" s="29" t="s">
        <v>29</v>
      </c>
      <c r="F45" s="74">
        <f>+G11</f>
        <v>0.10507246376811594</v>
      </c>
      <c r="G45" s="7"/>
      <c r="H45" s="7"/>
      <c r="I45" s="7"/>
      <c r="J45" s="19">
        <f>+K39/(F45-F46)</f>
        <v>3856428.6995026837</v>
      </c>
      <c r="K45" s="7"/>
      <c r="L45" s="8"/>
    </row>
    <row r="46" spans="2:12" x14ac:dyDescent="0.5">
      <c r="B46" s="15" t="s">
        <v>30</v>
      </c>
      <c r="C46" s="7"/>
      <c r="D46" s="7"/>
      <c r="E46" s="29" t="s">
        <v>31</v>
      </c>
      <c r="F46" s="60">
        <v>0.05</v>
      </c>
      <c r="G46" s="7"/>
      <c r="H46" s="7"/>
      <c r="I46" s="7"/>
      <c r="J46" s="30">
        <f>AVERAGE(J44:J45)</f>
        <v>5076506.9008165663</v>
      </c>
      <c r="K46" s="7"/>
      <c r="L46" s="8"/>
    </row>
    <row r="47" spans="2:12" x14ac:dyDescent="0.5">
      <c r="B47" s="15" t="s">
        <v>32</v>
      </c>
      <c r="C47" s="7"/>
      <c r="D47" s="7"/>
      <c r="E47" s="29"/>
      <c r="F47" s="7"/>
      <c r="G47" s="7"/>
      <c r="H47" s="7"/>
      <c r="I47" s="7"/>
      <c r="J47" s="19">
        <v>-1030000</v>
      </c>
      <c r="K47" s="7"/>
      <c r="L47" s="8"/>
    </row>
    <row r="48" spans="2:12" x14ac:dyDescent="0.5">
      <c r="B48" s="15" t="s">
        <v>33</v>
      </c>
      <c r="C48" s="7"/>
      <c r="D48" s="7"/>
      <c r="E48" s="29"/>
      <c r="F48" s="7"/>
      <c r="G48" s="7"/>
      <c r="H48" s="7"/>
      <c r="I48" s="7"/>
      <c r="J48" s="30">
        <f>SUM(J46:J47)</f>
        <v>4046506.9008165663</v>
      </c>
      <c r="K48" s="7"/>
      <c r="L48" s="8"/>
    </row>
    <row r="49" spans="2:12" x14ac:dyDescent="0.5">
      <c r="B49" s="15"/>
      <c r="C49" s="7"/>
      <c r="D49" s="7"/>
      <c r="E49" s="29"/>
      <c r="F49" s="7"/>
      <c r="G49" s="7"/>
      <c r="H49" s="7"/>
      <c r="I49" s="7"/>
      <c r="J49" s="26"/>
      <c r="K49" s="7"/>
      <c r="L49" s="8"/>
    </row>
    <row r="50" spans="2:12" x14ac:dyDescent="0.5">
      <c r="B50" s="15" t="s">
        <v>34</v>
      </c>
      <c r="C50" s="7"/>
      <c r="D50" s="7"/>
      <c r="E50" s="29" t="s">
        <v>35</v>
      </c>
      <c r="F50" s="47">
        <f>+F10</f>
        <v>0.25</v>
      </c>
      <c r="G50" s="32">
        <f>+G41</f>
        <v>37112.721513513534</v>
      </c>
      <c r="H50" s="32">
        <f>+H41</f>
        <v>44548.560073599947</v>
      </c>
      <c r="I50" s="32">
        <f>+I41</f>
        <v>36424.177593345492</v>
      </c>
      <c r="J50" s="33">
        <f>+J48+J41</f>
        <v>4047197.4260723419</v>
      </c>
      <c r="K50" s="7"/>
      <c r="L50" s="8"/>
    </row>
    <row r="51" spans="2:12" x14ac:dyDescent="0.5">
      <c r="B51" s="15"/>
      <c r="C51" s="7"/>
      <c r="D51" s="7"/>
      <c r="E51" s="29"/>
      <c r="F51" s="31"/>
      <c r="G51" s="34"/>
      <c r="H51" s="34"/>
      <c r="I51" s="34"/>
      <c r="J51" s="30"/>
      <c r="K51" s="7"/>
      <c r="L51" s="8"/>
    </row>
    <row r="52" spans="2:12" x14ac:dyDescent="0.5">
      <c r="B52" s="15" t="s">
        <v>36</v>
      </c>
      <c r="C52" s="7"/>
      <c r="D52" s="7"/>
      <c r="E52" s="34">
        <f>SUM(G52:J52)</f>
        <v>1734582.500304939</v>
      </c>
      <c r="F52" s="7"/>
      <c r="G52" s="16">
        <f>G50/(1+$F$50)^1</f>
        <v>29690.177210810827</v>
      </c>
      <c r="H52" s="16">
        <f>H50/(1+$F$50)^2</f>
        <v>28511.078447103966</v>
      </c>
      <c r="I52" s="16">
        <f>I50/(1+$F$50)^3</f>
        <v>18649.178927792891</v>
      </c>
      <c r="J52" s="17">
        <f>J50/(1+$F$50)^4</f>
        <v>1657732.0657192313</v>
      </c>
      <c r="K52" s="7"/>
      <c r="L52" s="8"/>
    </row>
    <row r="53" spans="2:12" x14ac:dyDescent="0.5">
      <c r="B53" s="15" t="s">
        <v>37</v>
      </c>
      <c r="C53" s="7"/>
      <c r="D53" s="7"/>
      <c r="E53" s="35">
        <f>+D9</f>
        <v>2598000</v>
      </c>
      <c r="F53" s="7"/>
      <c r="G53" s="7"/>
      <c r="H53" s="7"/>
      <c r="I53" s="7"/>
      <c r="J53" s="26"/>
      <c r="K53" s="7"/>
      <c r="L53" s="8"/>
    </row>
    <row r="54" spans="2:12" x14ac:dyDescent="0.5">
      <c r="B54" s="15" t="s">
        <v>38</v>
      </c>
      <c r="C54" s="7"/>
      <c r="D54" s="7"/>
      <c r="E54" s="35">
        <v>0</v>
      </c>
      <c r="F54" s="7"/>
      <c r="G54" s="7"/>
      <c r="H54" s="7"/>
      <c r="I54" s="7"/>
      <c r="J54" s="26"/>
      <c r="K54" s="7"/>
      <c r="L54" s="8"/>
    </row>
    <row r="55" spans="2:12" ht="14.7" thickBot="1" x14ac:dyDescent="0.55000000000000004">
      <c r="B55" s="20" t="s">
        <v>39</v>
      </c>
      <c r="C55" s="7"/>
      <c r="D55" s="7"/>
      <c r="E55" s="36">
        <f>SUM(E52:E54)</f>
        <v>4332582.5003049392</v>
      </c>
      <c r="F55" s="7"/>
      <c r="G55" s="7"/>
      <c r="H55" s="7"/>
      <c r="I55" s="7"/>
      <c r="J55" s="37"/>
      <c r="K55" s="7"/>
      <c r="L55" s="8"/>
    </row>
    <row r="56" spans="2:12" ht="14.7" thickBot="1" x14ac:dyDescent="0.55000000000000004">
      <c r="B56" s="38" t="s">
        <v>40</v>
      </c>
      <c r="C56" s="39"/>
      <c r="D56" s="39"/>
      <c r="E56" s="40">
        <f>+E55/E30</f>
        <v>10.005964203937504</v>
      </c>
      <c r="F56" s="39"/>
      <c r="G56" s="39"/>
      <c r="H56" s="39"/>
      <c r="I56" s="39"/>
      <c r="J56" s="39"/>
      <c r="K56" s="39"/>
      <c r="L56" s="4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DCF Valuation</vt:lpstr>
      <vt:lpstr>LBO Valuation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2018-09-23T13:46:11Z</dcterms:created>
  <dcterms:modified xsi:type="dcterms:W3CDTF">2019-01-16T12:02:04Z</dcterms:modified>
</cp:coreProperties>
</file>