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I - SECONDARY MARKETS\PROBLEMS\Problem Answers\"/>
    </mc:Choice>
  </mc:AlternateContent>
  <xr:revisionPtr revIDLastSave="0" documentId="13_ncr:1_{98096300-9599-48EF-850F-5B613C1A51D5}" xr6:coauthVersionLast="47" xr6:coauthVersionMax="47" xr10:uidLastSave="{00000000-0000-0000-0000-000000000000}"/>
  <bookViews>
    <workbookView xWindow="-110" yWindow="-110" windowWidth="19420" windowHeight="10420" xr2:uid="{65BE4A62-0D38-42BE-B5B7-4DF5192904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J27" i="1"/>
  <c r="E26" i="1"/>
  <c r="J25" i="1" s="1"/>
  <c r="U38" i="1"/>
  <c r="P38" i="1"/>
  <c r="T37" i="1"/>
  <c r="S36" i="1"/>
  <c r="S38" i="1" s="1"/>
  <c r="R36" i="1"/>
  <c r="R38" i="1" s="1"/>
  <c r="T35" i="1"/>
  <c r="T34" i="1"/>
  <c r="T33" i="1"/>
  <c r="T32" i="1"/>
  <c r="Q32" i="1"/>
  <c r="T30" i="1"/>
  <c r="T28" i="1"/>
  <c r="Q28" i="1"/>
  <c r="H16" i="1"/>
  <c r="I16" i="1"/>
  <c r="J16" i="1"/>
  <c r="K16" i="1"/>
  <c r="G16" i="1"/>
  <c r="O7" i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M6" i="1"/>
  <c r="N6" i="1" s="1"/>
  <c r="N10" i="1" s="1"/>
  <c r="N11" i="1" s="1"/>
  <c r="N13" i="1" s="1"/>
  <c r="T36" i="1" l="1"/>
  <c r="T38" i="1"/>
  <c r="E27" i="1"/>
  <c r="J26" i="1" s="1"/>
  <c r="Q38" i="1"/>
  <c r="N16" i="1"/>
  <c r="N14" i="1"/>
  <c r="N15" i="1" s="1"/>
  <c r="M10" i="1"/>
  <c r="O6" i="1"/>
  <c r="O10" i="1" s="1"/>
  <c r="O11" i="1" l="1"/>
  <c r="O13" i="1" s="1"/>
  <c r="O16" i="1"/>
  <c r="M11" i="1"/>
  <c r="M14" i="1" s="1"/>
  <c r="M16" i="1"/>
  <c r="P6" i="1"/>
  <c r="Q6" i="1" s="1"/>
  <c r="M13" i="1"/>
  <c r="O14" i="1" l="1"/>
  <c r="P10" i="1"/>
  <c r="M15" i="1"/>
  <c r="O15" i="1"/>
  <c r="R6" i="1"/>
  <c r="Q10" i="1"/>
  <c r="Q11" i="1" l="1"/>
  <c r="Q16" i="1"/>
  <c r="P11" i="1"/>
  <c r="P16" i="1"/>
  <c r="Q13" i="1"/>
  <c r="Q14" i="1"/>
  <c r="S6" i="1"/>
  <c r="R10" i="1"/>
  <c r="P13" i="1" l="1"/>
  <c r="P14" i="1"/>
  <c r="R11" i="1"/>
  <c r="R13" i="1" s="1"/>
  <c r="R16" i="1"/>
  <c r="Q15" i="1"/>
  <c r="T6" i="1"/>
  <c r="S10" i="1"/>
  <c r="R14" i="1" l="1"/>
  <c r="R15" i="1" s="1"/>
  <c r="S11" i="1"/>
  <c r="S16" i="1"/>
  <c r="P15" i="1"/>
  <c r="S13" i="1"/>
  <c r="S14" i="1"/>
  <c r="U6" i="1"/>
  <c r="T10" i="1"/>
  <c r="T11" i="1" l="1"/>
  <c r="T16" i="1"/>
  <c r="S15" i="1"/>
  <c r="T13" i="1"/>
  <c r="T14" i="1"/>
  <c r="V6" i="1"/>
  <c r="W6" i="1" s="1"/>
  <c r="U10" i="1"/>
  <c r="X6" i="1" l="1"/>
  <c r="W10" i="1"/>
  <c r="U11" i="1"/>
  <c r="U16" i="1"/>
  <c r="T15" i="1"/>
  <c r="U13" i="1"/>
  <c r="U14" i="1"/>
  <c r="V10" i="1"/>
  <c r="W16" i="1" l="1"/>
  <c r="W11" i="1"/>
  <c r="Y6" i="1"/>
  <c r="X10" i="1"/>
  <c r="V11" i="1"/>
  <c r="V16" i="1"/>
  <c r="U15" i="1"/>
  <c r="V13" i="1"/>
  <c r="V14" i="1"/>
  <c r="X16" i="1" l="1"/>
  <c r="X11" i="1"/>
  <c r="Z6" i="1"/>
  <c r="Y10" i="1"/>
  <c r="W13" i="1"/>
  <c r="W14" i="1"/>
  <c r="V15" i="1"/>
  <c r="W15" i="1" l="1"/>
  <c r="Y16" i="1"/>
  <c r="Y11" i="1"/>
  <c r="AA6" i="1"/>
  <c r="AA10" i="1" s="1"/>
  <c r="Z10" i="1"/>
  <c r="X14" i="1"/>
  <c r="X13" i="1"/>
  <c r="X15" i="1" s="1"/>
  <c r="Z11" i="1" l="1"/>
  <c r="Z16" i="1"/>
  <c r="AA11" i="1"/>
  <c r="AA16" i="1"/>
  <c r="Y14" i="1"/>
  <c r="Y13" i="1"/>
  <c r="Y15" i="1" s="1"/>
  <c r="AA14" i="1" l="1"/>
  <c r="AA13" i="1"/>
  <c r="AA15" i="1" s="1"/>
  <c r="Z14" i="1"/>
  <c r="Z13" i="1"/>
  <c r="Z15" i="1" s="1"/>
  <c r="E18" i="1"/>
  <c r="E24" i="1" s="1"/>
  <c r="J24" i="1" s="1"/>
  <c r="H24" i="1" s="1"/>
  <c r="H26" i="1" l="1"/>
  <c r="H27" i="1" s="1"/>
  <c r="H25" i="1"/>
  <c r="H28" i="1" l="1"/>
  <c r="E31" i="1" s="1"/>
</calcChain>
</file>

<file path=xl/sharedStrings.xml><?xml version="1.0" encoding="utf-8"?>
<sst xmlns="http://schemas.openxmlformats.org/spreadsheetml/2006/main" count="93" uniqueCount="87">
  <si>
    <r>
      <t>Commercialization Phase (</t>
    </r>
    <r>
      <rPr>
        <b/>
        <sz val="11"/>
        <color theme="0"/>
        <rFont val="Calibri"/>
        <family val="2"/>
      </rPr>
      <t xml:space="preserve">€ </t>
    </r>
    <r>
      <rPr>
        <b/>
        <sz val="11"/>
        <color theme="0"/>
        <rFont val="Arial"/>
        <family val="2"/>
      </rPr>
      <t>000's)</t>
    </r>
  </si>
  <si>
    <r>
      <t>Addressable Market (</t>
    </r>
    <r>
      <rPr>
        <sz val="10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 xml:space="preserve"> billions)</t>
    </r>
  </si>
  <si>
    <t>Addressable Market Growth</t>
  </si>
  <si>
    <t>Market Pentration %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</si>
  <si>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</si>
  <si>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</si>
  <si>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</si>
  <si>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</si>
  <si>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</si>
  <si>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</si>
  <si>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</si>
  <si>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</si>
  <si>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</si>
  <si>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</si>
  <si>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Yr 11</t>
  </si>
  <si>
    <t>Yr 12</t>
  </si>
  <si>
    <t>Yr 13</t>
  </si>
  <si>
    <t>Yr 14</t>
  </si>
  <si>
    <t>Yr 15</t>
  </si>
  <si>
    <t>Yr 16</t>
  </si>
  <si>
    <t>Yr 17</t>
  </si>
  <si>
    <t>Yr 18</t>
  </si>
  <si>
    <t>Yr 19</t>
  </si>
  <si>
    <t>Yr 20</t>
  </si>
  <si>
    <t>Phase I-III</t>
  </si>
  <si>
    <t>Operating Expenses</t>
  </si>
  <si>
    <t>Gross Profit</t>
  </si>
  <si>
    <t>Pharma Sales ($ millions)</t>
  </si>
  <si>
    <t>FortyEight Sales ($ 000's)</t>
  </si>
  <si>
    <t>EBITDA</t>
  </si>
  <si>
    <t>Present Value</t>
  </si>
  <si>
    <t>Value</t>
  </si>
  <si>
    <t>OPTIONS PRICING MODEL</t>
  </si>
  <si>
    <t>INPUT</t>
  </si>
  <si>
    <t>Value (S) =</t>
  </si>
  <si>
    <t>Development Cost (X) =</t>
  </si>
  <si>
    <r>
      <t>Variance (</t>
    </r>
    <r>
      <rPr>
        <sz val="11"/>
        <color theme="1"/>
        <rFont val="Calibri"/>
        <family val="2"/>
      </rPr>
      <t>σ</t>
    </r>
    <r>
      <rPr>
        <sz val="9.35"/>
        <color theme="1"/>
        <rFont val="Calibri"/>
        <family val="2"/>
      </rPr>
      <t>^2)</t>
    </r>
  </si>
  <si>
    <r>
      <t>Standard Deviation (</t>
    </r>
    <r>
      <rPr>
        <sz val="11"/>
        <color theme="1"/>
        <rFont val="Calibri"/>
        <family val="2"/>
      </rPr>
      <t>σ</t>
    </r>
    <r>
      <rPr>
        <sz val="9.35"/>
        <color theme="1"/>
        <rFont val="Calibri"/>
        <family val="2"/>
      </rPr>
      <t>)</t>
    </r>
  </si>
  <si>
    <t>Risk Free Rate =</t>
  </si>
  <si>
    <t>MARKET METHOD and ANOVA</t>
  </si>
  <si>
    <t>Pharma Company</t>
  </si>
  <si>
    <t>Cancer
Drug 
Name</t>
  </si>
  <si>
    <t>2022E
Sales
$ billions</t>
  </si>
  <si>
    <t>Company
Level
EV ($ Bln)</t>
  </si>
  <si>
    <t>Company
Level
EBITDA</t>
  </si>
  <si>
    <t>Company
Level
EV/EBITDA</t>
  </si>
  <si>
    <r>
      <t xml:space="preserve">Company
Stock
Variable
</t>
    </r>
    <r>
      <rPr>
        <b/>
        <sz val="12"/>
        <rFont val="Calibri"/>
        <family val="2"/>
      </rPr>
      <t>(σ)</t>
    </r>
  </si>
  <si>
    <t>Roche</t>
  </si>
  <si>
    <t>Tecentriq</t>
  </si>
  <si>
    <t>Avastin</t>
  </si>
  <si>
    <t>Perjeta</t>
  </si>
  <si>
    <t>Herceptin</t>
  </si>
  <si>
    <t>Gazyva</t>
  </si>
  <si>
    <t>Rituxan</t>
  </si>
  <si>
    <t>Celgene</t>
  </si>
  <si>
    <t>Revlimid</t>
  </si>
  <si>
    <t>Bristol-Myers Squibb</t>
  </si>
  <si>
    <t>Opdivo</t>
  </si>
  <si>
    <t>AbbVie</t>
  </si>
  <si>
    <t>Imbruvica</t>
  </si>
  <si>
    <t>Venclexta</t>
  </si>
  <si>
    <t>Merck</t>
  </si>
  <si>
    <t>Keytruda</t>
  </si>
  <si>
    <t>Pfizer</t>
  </si>
  <si>
    <t>Ibrance</t>
  </si>
  <si>
    <t>Johnson &amp; Johnson</t>
  </si>
  <si>
    <t>Darzalex</t>
  </si>
  <si>
    <t>Astellas Pharma</t>
  </si>
  <si>
    <t>Xtandi</t>
  </si>
  <si>
    <t>Novartis</t>
  </si>
  <si>
    <t>Jakafi</t>
  </si>
  <si>
    <t xml:space="preserve">  Average</t>
  </si>
  <si>
    <t>OUTPUT</t>
  </si>
  <si>
    <t>A=</t>
  </si>
  <si>
    <t>B=</t>
  </si>
  <si>
    <t>C=</t>
  </si>
  <si>
    <t>Time=</t>
  </si>
  <si>
    <t>d1 =</t>
  </si>
  <si>
    <t>N (d1) =</t>
  </si>
  <si>
    <t>d2 =</t>
  </si>
  <si>
    <t>N (d2) =</t>
  </si>
  <si>
    <t>Call =</t>
  </si>
  <si>
    <t>e^(-i.t) =</t>
  </si>
  <si>
    <t>Value of FortyEight</t>
  </si>
  <si>
    <t>Calculations</t>
  </si>
  <si>
    <t>FORTYEIGHT INC.</t>
  </si>
  <si>
    <t>Valuation Analysis using OPM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</si>
</sst>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_);_(* \(#,##0\);_(* &quot;-&quot;?_);_(@_)"/>
    <numFmt numFmtId="169" formatCode="0.0\x"/>
    <numFmt numFmtId="170" formatCode="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1712DE"/>
      <name val="Arial"/>
      <family val="2"/>
    </font>
    <font>
      <sz val="8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0" xfId="0" applyNumberFormat="1" applyFont="1" applyAlignment="1">
      <alignment horizontal="center"/>
    </xf>
    <xf numFmtId="1" fontId="6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0" fillId="0" borderId="0" xfId="0" applyNumberFormat="1"/>
    <xf numFmtId="166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167" fontId="8" fillId="0" borderId="0" xfId="2" applyNumberFormat="1" applyFont="1" applyFill="1" applyBorder="1" applyAlignment="1">
      <alignment horizontal="right"/>
    </xf>
    <xf numFmtId="1" fontId="0" fillId="0" borderId="3" xfId="0" applyNumberFormat="1" applyBorder="1"/>
    <xf numFmtId="10" fontId="8" fillId="0" borderId="3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Continuous" vertical="center"/>
    </xf>
    <xf numFmtId="1" fontId="5" fillId="3" borderId="0" xfId="0" applyNumberFormat="1" applyFont="1" applyFill="1"/>
    <xf numFmtId="1" fontId="0" fillId="0" borderId="0" xfId="0" applyNumberFormat="1" applyFill="1" applyBorder="1"/>
    <xf numFmtId="43" fontId="0" fillId="0" borderId="0" xfId="1" applyFont="1"/>
    <xf numFmtId="165" fontId="0" fillId="0" borderId="0" xfId="1" applyNumberFormat="1" applyFont="1"/>
    <xf numFmtId="10" fontId="0" fillId="0" borderId="0" xfId="0" applyNumberFormat="1"/>
    <xf numFmtId="10" fontId="10" fillId="0" borderId="0" xfId="0" applyNumberFormat="1" applyFont="1"/>
    <xf numFmtId="168" fontId="0" fillId="0" borderId="0" xfId="0" applyNumberFormat="1"/>
    <xf numFmtId="43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7" fontId="10" fillId="0" borderId="0" xfId="0" applyNumberFormat="1" applyFont="1"/>
    <xf numFmtId="166" fontId="10" fillId="0" borderId="0" xfId="0" applyNumberFormat="1" applyFont="1"/>
    <xf numFmtId="0" fontId="0" fillId="0" borderId="0" xfId="0" applyAlignment="1">
      <alignment horizontal="right"/>
    </xf>
    <xf numFmtId="43" fontId="2" fillId="4" borderId="4" xfId="0" applyNumberFormat="1" applyFont="1" applyFill="1" applyBorder="1"/>
    <xf numFmtId="0" fontId="3" fillId="2" borderId="5" xfId="0" applyFont="1" applyFill="1" applyBorder="1" applyAlignment="1">
      <alignment horizontal="left" vertical="center"/>
    </xf>
    <xf numFmtId="0" fontId="13" fillId="5" borderId="6" xfId="0" applyFont="1" applyFill="1" applyBorder="1"/>
    <xf numFmtId="0" fontId="1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4" fillId="3" borderId="7" xfId="0" quotePrefix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 vertical="center"/>
    </xf>
    <xf numFmtId="10" fontId="0" fillId="0" borderId="2" xfId="0" applyNumberFormat="1" applyBorder="1"/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0" fontId="5" fillId="0" borderId="3" xfId="2" applyNumberFormat="1" applyFont="1" applyBorder="1" applyAlignment="1">
      <alignment vertical="center"/>
    </xf>
    <xf numFmtId="10" fontId="0" fillId="0" borderId="0" xfId="2" applyNumberFormat="1" applyFont="1"/>
    <xf numFmtId="170" fontId="0" fillId="0" borderId="0" xfId="0" quotePrefix="1" applyNumberFormat="1"/>
    <xf numFmtId="170" fontId="0" fillId="0" borderId="0" xfId="0" applyNumberFormat="1"/>
    <xf numFmtId="0" fontId="16" fillId="0" borderId="0" xfId="0" applyFont="1"/>
  </cellXfs>
  <cellStyles count="4">
    <cellStyle name="Comma" xfId="1" builtinId="3"/>
    <cellStyle name="Normal" xfId="0" builtinId="0"/>
    <cellStyle name="Per cent 2" xfId="3" xr:uid="{B146171D-B7DD-4DBB-A46C-C171F88E86C9}"/>
    <cellStyle name="Percent" xfId="2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1883-AAC2-4027-B658-0FF0D4A75573}">
  <dimension ref="A1:AZ39"/>
  <sheetViews>
    <sheetView showGridLines="0" tabSelected="1" zoomScale="85" zoomScaleNormal="85" workbookViewId="0">
      <selection activeCell="J19" sqref="J19"/>
    </sheetView>
  </sheetViews>
  <sheetFormatPr defaultRowHeight="14.5" x14ac:dyDescent="0.35"/>
  <cols>
    <col min="1" max="1" width="2.26953125" customWidth="1"/>
    <col min="5" max="5" width="10.453125" customWidth="1"/>
    <col min="6" max="6" width="2.453125" customWidth="1"/>
    <col min="7" max="11" width="10.453125" customWidth="1"/>
    <col min="12" max="12" width="2.453125" customWidth="1"/>
    <col min="13" max="14" width="8.08984375" bestFit="1" customWidth="1"/>
    <col min="15" max="15" width="8.6328125" bestFit="1" customWidth="1"/>
    <col min="16" max="22" width="9.1796875" bestFit="1" customWidth="1"/>
    <col min="23" max="23" width="8.6328125" bestFit="1" customWidth="1"/>
    <col min="24" max="27" width="8.08984375" bestFit="1" customWidth="1"/>
  </cols>
  <sheetData>
    <row r="1" spans="1:52" ht="21" x14ac:dyDescent="0.5">
      <c r="B1" s="51" t="s">
        <v>85</v>
      </c>
    </row>
    <row r="2" spans="1:52" x14ac:dyDescent="0.35">
      <c r="B2" t="s">
        <v>86</v>
      </c>
      <c r="G2">
        <v>1</v>
      </c>
      <c r="H2">
        <v>2</v>
      </c>
      <c r="I2">
        <v>3</v>
      </c>
      <c r="J2">
        <v>4</v>
      </c>
      <c r="K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</row>
    <row r="3" spans="1:52" s="2" customFormat="1" ht="30.5" customHeight="1" x14ac:dyDescent="0.35">
      <c r="A3"/>
      <c r="B3" s="1"/>
      <c r="C3" s="1"/>
      <c r="D3" s="1"/>
      <c r="E3" s="1"/>
      <c r="F3"/>
      <c r="G3" s="12" t="s">
        <v>24</v>
      </c>
      <c r="H3" s="12"/>
      <c r="I3" s="12"/>
      <c r="J3" s="12"/>
      <c r="K3" s="12"/>
      <c r="L3"/>
      <c r="M3" s="12" t="s">
        <v>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7" customHeight="1" x14ac:dyDescent="0.35">
      <c r="B4" s="3"/>
      <c r="C4" s="3"/>
      <c r="D4" s="3"/>
      <c r="E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52" ht="14.5" customHeight="1" x14ac:dyDescent="0.35">
      <c r="B5" s="4"/>
      <c r="C5" s="4"/>
      <c r="D5" s="4"/>
      <c r="E5" s="5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20</v>
      </c>
      <c r="Y5" s="5" t="s">
        <v>21</v>
      </c>
      <c r="Z5" s="5" t="s">
        <v>22</v>
      </c>
      <c r="AA5" s="5" t="s">
        <v>23</v>
      </c>
    </row>
    <row r="6" spans="1:52" x14ac:dyDescent="0.35">
      <c r="B6" s="6" t="s">
        <v>1</v>
      </c>
      <c r="C6" s="6"/>
      <c r="D6" s="6"/>
      <c r="E6" s="6"/>
      <c r="M6" s="7">
        <f>274.40063/1.15</f>
        <v>238.60924347826088</v>
      </c>
      <c r="N6" s="7">
        <f>+M6*(1+N7)</f>
        <v>250.53970565217392</v>
      </c>
      <c r="O6" s="7">
        <f t="shared" ref="O6:W6" si="0">+N6*(1+O7)</f>
        <v>263.06669093478263</v>
      </c>
      <c r="P6" s="7">
        <f t="shared" si="0"/>
        <v>276.22002548152176</v>
      </c>
      <c r="Q6" s="7">
        <f t="shared" si="0"/>
        <v>290.03102675559785</v>
      </c>
      <c r="R6" s="7">
        <f t="shared" si="0"/>
        <v>304.53257809337777</v>
      </c>
      <c r="S6" s="7">
        <f t="shared" si="0"/>
        <v>319.75920699804669</v>
      </c>
      <c r="T6" s="7">
        <f t="shared" si="0"/>
        <v>335.74716734794902</v>
      </c>
      <c r="U6" s="7">
        <f t="shared" si="0"/>
        <v>352.53452571534649</v>
      </c>
      <c r="V6" s="7">
        <f t="shared" si="0"/>
        <v>370.16125200111384</v>
      </c>
      <c r="W6" s="7">
        <f t="shared" si="0"/>
        <v>388.66931460116956</v>
      </c>
      <c r="X6" s="7">
        <f t="shared" ref="X6" si="1">+W6*(1+X7)</f>
        <v>408.10278033122808</v>
      </c>
      <c r="Y6" s="7">
        <f t="shared" ref="Y6" si="2">+X6*(1+Y7)</f>
        <v>428.50791934778948</v>
      </c>
      <c r="Z6" s="7">
        <f t="shared" ref="Z6" si="3">+Y6*(1+Z7)</f>
        <v>449.93331531517896</v>
      </c>
      <c r="AA6" s="7">
        <f t="shared" ref="AA6" si="4">+Z6*(1+AA7)</f>
        <v>472.42998108093792</v>
      </c>
    </row>
    <row r="7" spans="1:52" x14ac:dyDescent="0.35">
      <c r="B7" s="6" t="s">
        <v>2</v>
      </c>
      <c r="C7" s="6"/>
      <c r="D7" s="6"/>
      <c r="E7" s="6"/>
      <c r="M7" s="8"/>
      <c r="N7" s="9">
        <v>0.05</v>
      </c>
      <c r="O7" s="9">
        <f>+N7</f>
        <v>0.05</v>
      </c>
      <c r="P7" s="9">
        <f t="shared" ref="P7:W7" si="5">+O7</f>
        <v>0.05</v>
      </c>
      <c r="Q7" s="9">
        <f t="shared" si="5"/>
        <v>0.05</v>
      </c>
      <c r="R7" s="9">
        <f t="shared" si="5"/>
        <v>0.05</v>
      </c>
      <c r="S7" s="9">
        <f t="shared" si="5"/>
        <v>0.05</v>
      </c>
      <c r="T7" s="9">
        <f t="shared" si="5"/>
        <v>0.05</v>
      </c>
      <c r="U7" s="9">
        <f t="shared" si="5"/>
        <v>0.05</v>
      </c>
      <c r="V7" s="9">
        <f t="shared" si="5"/>
        <v>0.05</v>
      </c>
      <c r="W7" s="9">
        <f t="shared" si="5"/>
        <v>0.05</v>
      </c>
      <c r="X7" s="9">
        <f t="shared" ref="X7" si="6">+W7</f>
        <v>0.05</v>
      </c>
      <c r="Y7" s="9">
        <f t="shared" ref="Y7" si="7">+X7</f>
        <v>0.05</v>
      </c>
      <c r="Z7" s="9">
        <f t="shared" ref="Z7" si="8">+Y7</f>
        <v>0.05</v>
      </c>
      <c r="AA7" s="9">
        <f t="shared" ref="AA7" si="9">+Z7</f>
        <v>0.05</v>
      </c>
    </row>
    <row r="8" spans="1:52" ht="15" thickBot="1" x14ac:dyDescent="0.4"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1">
        <v>1E-3</v>
      </c>
      <c r="N8" s="11">
        <v>2E-3</v>
      </c>
      <c r="O8" s="11">
        <v>5.0000000000000001E-3</v>
      </c>
      <c r="P8" s="11">
        <v>7.4999999999999997E-3</v>
      </c>
      <c r="Q8" s="11">
        <v>0.01</v>
      </c>
      <c r="R8" s="11">
        <v>1.2500000000000001E-2</v>
      </c>
      <c r="S8" s="11">
        <v>1.4999999999999999E-2</v>
      </c>
      <c r="T8" s="11">
        <v>1.2500000000000001E-2</v>
      </c>
      <c r="U8" s="11">
        <v>0.01</v>
      </c>
      <c r="V8" s="11">
        <v>7.4999999999999997E-3</v>
      </c>
      <c r="W8" s="11">
        <v>5.0000000000000001E-3</v>
      </c>
      <c r="X8" s="11">
        <v>2E-3</v>
      </c>
      <c r="Y8" s="11">
        <v>2E-3</v>
      </c>
      <c r="Z8" s="11">
        <v>1E-3</v>
      </c>
      <c r="AA8" s="11">
        <v>1E-3</v>
      </c>
    </row>
    <row r="9" spans="1:52" ht="15" thickTop="1" x14ac:dyDescent="0.35"/>
    <row r="10" spans="1:52" x14ac:dyDescent="0.35">
      <c r="B10" s="14" t="s">
        <v>27</v>
      </c>
      <c r="E10" s="18"/>
      <c r="G10" s="24">
        <v>-25</v>
      </c>
      <c r="H10" s="24">
        <v>-30</v>
      </c>
      <c r="I10" s="24">
        <v>-40</v>
      </c>
      <c r="J10" s="24">
        <v>-15</v>
      </c>
      <c r="K10" s="24">
        <v>-15</v>
      </c>
      <c r="M10" s="16">
        <f t="shared" ref="M10:AA10" si="10">+M8*M6*1000</f>
        <v>238.60924347826088</v>
      </c>
      <c r="N10" s="16">
        <f t="shared" si="10"/>
        <v>501.07941130434784</v>
      </c>
      <c r="O10" s="16">
        <f t="shared" si="10"/>
        <v>1315.3334546739134</v>
      </c>
      <c r="P10" s="16">
        <f t="shared" si="10"/>
        <v>2071.6501911114128</v>
      </c>
      <c r="Q10" s="16">
        <f t="shared" si="10"/>
        <v>2900.3102675559785</v>
      </c>
      <c r="R10" s="16">
        <f t="shared" si="10"/>
        <v>3806.6572261672222</v>
      </c>
      <c r="S10" s="16">
        <f t="shared" si="10"/>
        <v>4796.3881049706997</v>
      </c>
      <c r="T10" s="16">
        <f t="shared" si="10"/>
        <v>4196.8395918493634</v>
      </c>
      <c r="U10" s="16">
        <f t="shared" si="10"/>
        <v>3525.3452571534649</v>
      </c>
      <c r="V10" s="16">
        <f t="shared" si="10"/>
        <v>2776.2093900083537</v>
      </c>
      <c r="W10" s="16">
        <f t="shared" si="10"/>
        <v>1943.3465730058479</v>
      </c>
      <c r="X10" s="16">
        <f t="shared" si="10"/>
        <v>816.20556066245615</v>
      </c>
      <c r="Y10" s="16">
        <f t="shared" si="10"/>
        <v>857.01583869557896</v>
      </c>
      <c r="Z10" s="16">
        <f t="shared" si="10"/>
        <v>449.93331531517902</v>
      </c>
      <c r="AA10" s="16">
        <f t="shared" si="10"/>
        <v>472.42998108093792</v>
      </c>
    </row>
    <row r="11" spans="1:52" x14ac:dyDescent="0.35">
      <c r="B11" s="14" t="s">
        <v>28</v>
      </c>
      <c r="E11" s="23">
        <v>0.05</v>
      </c>
      <c r="M11" s="19">
        <f>+$E$11*M10*1000</f>
        <v>11930.462173913043</v>
      </c>
      <c r="N11" s="19">
        <f t="shared" ref="N11:AA11" si="11">+$E$11*N10*1000</f>
        <v>25053.970565217394</v>
      </c>
      <c r="O11" s="19">
        <f t="shared" si="11"/>
        <v>65766.672733695668</v>
      </c>
      <c r="P11" s="19">
        <f t="shared" si="11"/>
        <v>103582.50955557065</v>
      </c>
      <c r="Q11" s="19">
        <f t="shared" si="11"/>
        <v>145015.51337779892</v>
      </c>
      <c r="R11" s="19">
        <f t="shared" si="11"/>
        <v>190332.86130836111</v>
      </c>
      <c r="S11" s="19">
        <f t="shared" si="11"/>
        <v>239819.40524853498</v>
      </c>
      <c r="T11" s="19">
        <f t="shared" si="11"/>
        <v>209841.97959246818</v>
      </c>
      <c r="U11" s="19">
        <f t="shared" si="11"/>
        <v>176267.26285767325</v>
      </c>
      <c r="V11" s="19">
        <f t="shared" si="11"/>
        <v>138810.4695004177</v>
      </c>
      <c r="W11" s="19">
        <f t="shared" si="11"/>
        <v>97167.328650292402</v>
      </c>
      <c r="X11" s="19">
        <f t="shared" si="11"/>
        <v>40810.278033122813</v>
      </c>
      <c r="Y11" s="19">
        <f t="shared" si="11"/>
        <v>42850.791934778958</v>
      </c>
      <c r="Z11" s="19">
        <f t="shared" si="11"/>
        <v>22496.665765758953</v>
      </c>
      <c r="AA11" s="19">
        <f t="shared" si="11"/>
        <v>23621.499054046897</v>
      </c>
    </row>
    <row r="12" spans="1:52" x14ac:dyDescent="0.35">
      <c r="E12" s="23"/>
    </row>
    <row r="13" spans="1:52" x14ac:dyDescent="0.35">
      <c r="B13" s="14" t="s">
        <v>26</v>
      </c>
      <c r="E13" s="23">
        <v>0.85</v>
      </c>
      <c r="M13" s="21">
        <f>$E$13*M11</f>
        <v>10140.892847826086</v>
      </c>
      <c r="N13" s="21">
        <f t="shared" ref="N13:AA13" si="12">$E$13*N11</f>
        <v>21295.874980434786</v>
      </c>
      <c r="O13" s="21">
        <f t="shared" si="12"/>
        <v>55901.671823641314</v>
      </c>
      <c r="P13" s="21">
        <f t="shared" si="12"/>
        <v>88045.133122235056</v>
      </c>
      <c r="Q13" s="21">
        <f t="shared" si="12"/>
        <v>123263.18637112908</v>
      </c>
      <c r="R13" s="21">
        <f t="shared" si="12"/>
        <v>161782.93211210694</v>
      </c>
      <c r="S13" s="21">
        <f t="shared" si="12"/>
        <v>203846.49446125474</v>
      </c>
      <c r="T13" s="21">
        <f t="shared" si="12"/>
        <v>178365.68265359796</v>
      </c>
      <c r="U13" s="21">
        <f t="shared" si="12"/>
        <v>149827.17342902225</v>
      </c>
      <c r="V13" s="21">
        <f t="shared" si="12"/>
        <v>117988.89907535505</v>
      </c>
      <c r="W13" s="21">
        <f t="shared" si="12"/>
        <v>82592.229352748545</v>
      </c>
      <c r="X13" s="21">
        <f t="shared" si="12"/>
        <v>34688.736328154388</v>
      </c>
      <c r="Y13" s="21">
        <f t="shared" si="12"/>
        <v>36423.173144562112</v>
      </c>
      <c r="Z13" s="21">
        <f t="shared" si="12"/>
        <v>19122.16590089511</v>
      </c>
      <c r="AA13" s="21">
        <f t="shared" si="12"/>
        <v>20078.274195939863</v>
      </c>
    </row>
    <row r="14" spans="1:52" x14ac:dyDescent="0.35">
      <c r="B14" s="14" t="s">
        <v>25</v>
      </c>
      <c r="E14" s="23">
        <v>0.25</v>
      </c>
      <c r="M14" s="21">
        <f>+$E$14*M11</f>
        <v>2982.6155434782609</v>
      </c>
      <c r="N14" s="21">
        <f t="shared" ref="N14:AA14" si="13">+$E$14*N11</f>
        <v>6263.4926413043486</v>
      </c>
      <c r="O14" s="21">
        <f t="shared" si="13"/>
        <v>16441.668183423917</v>
      </c>
      <c r="P14" s="21">
        <f t="shared" si="13"/>
        <v>25895.627388892663</v>
      </c>
      <c r="Q14" s="21">
        <f t="shared" si="13"/>
        <v>36253.878344449731</v>
      </c>
      <c r="R14" s="21">
        <f t="shared" si="13"/>
        <v>47583.215327090278</v>
      </c>
      <c r="S14" s="21">
        <f t="shared" si="13"/>
        <v>59954.851312133746</v>
      </c>
      <c r="T14" s="21">
        <f t="shared" si="13"/>
        <v>52460.494898117046</v>
      </c>
      <c r="U14" s="21">
        <f t="shared" si="13"/>
        <v>44066.815714418313</v>
      </c>
      <c r="V14" s="21">
        <f t="shared" si="13"/>
        <v>34702.617375104426</v>
      </c>
      <c r="W14" s="21">
        <f t="shared" si="13"/>
        <v>24291.832162573101</v>
      </c>
      <c r="X14" s="21">
        <f t="shared" si="13"/>
        <v>10202.569508280703</v>
      </c>
      <c r="Y14" s="21">
        <f t="shared" si="13"/>
        <v>10712.697983694739</v>
      </c>
      <c r="Z14" s="21">
        <f t="shared" si="13"/>
        <v>5624.1664414397383</v>
      </c>
      <c r="AA14" s="21">
        <f t="shared" si="13"/>
        <v>5905.3747635117243</v>
      </c>
    </row>
    <row r="15" spans="1:52" ht="15" thickBot="1" x14ac:dyDescent="0.4">
      <c r="B15" s="14" t="s">
        <v>29</v>
      </c>
      <c r="E15" s="23"/>
      <c r="M15" s="22">
        <f>+M13-M14</f>
        <v>7158.2773043478246</v>
      </c>
      <c r="N15" s="22">
        <f t="shared" ref="N15:AA15" si="14">+N13-N14</f>
        <v>15032.382339130438</v>
      </c>
      <c r="O15" s="22">
        <f t="shared" si="14"/>
        <v>39460.003640217401</v>
      </c>
      <c r="P15" s="22">
        <f t="shared" si="14"/>
        <v>62149.50573334239</v>
      </c>
      <c r="Q15" s="22">
        <f t="shared" si="14"/>
        <v>87009.308026679355</v>
      </c>
      <c r="R15" s="22">
        <f t="shared" si="14"/>
        <v>114199.71678501666</v>
      </c>
      <c r="S15" s="22">
        <f t="shared" si="14"/>
        <v>143891.643149121</v>
      </c>
      <c r="T15" s="22">
        <f t="shared" si="14"/>
        <v>125905.18775548092</v>
      </c>
      <c r="U15" s="22">
        <f t="shared" si="14"/>
        <v>105760.35771460395</v>
      </c>
      <c r="V15" s="22">
        <f t="shared" si="14"/>
        <v>83286.28170025062</v>
      </c>
      <c r="W15" s="22">
        <f t="shared" si="14"/>
        <v>58300.397190175441</v>
      </c>
      <c r="X15" s="22">
        <f t="shared" si="14"/>
        <v>24486.166819873684</v>
      </c>
      <c r="Y15" s="22">
        <f t="shared" si="14"/>
        <v>25710.475160867372</v>
      </c>
      <c r="Z15" s="22">
        <f t="shared" si="14"/>
        <v>13497.999459455372</v>
      </c>
      <c r="AA15" s="22">
        <f t="shared" si="14"/>
        <v>14172.899432428138</v>
      </c>
    </row>
    <row r="16" spans="1:52" ht="15" thickTop="1" x14ac:dyDescent="0.35">
      <c r="B16" s="14" t="s">
        <v>30</v>
      </c>
      <c r="E16" s="23">
        <v>0.35</v>
      </c>
      <c r="G16" s="15">
        <f>G10/(1+$E$16)^G2</f>
        <v>-18.518518518518519</v>
      </c>
      <c r="H16" s="15">
        <f>H10/(1+$E$16)^H2</f>
        <v>-16.460905349794238</v>
      </c>
      <c r="I16" s="15">
        <f>I10/(1+$E$16)^I2</f>
        <v>-16.257684296093071</v>
      </c>
      <c r="J16" s="15">
        <f>J10/(1+$E$16)^J2</f>
        <v>-4.5160234155814081</v>
      </c>
      <c r="K16" s="15">
        <f>K10/(1+$E$16)^K2</f>
        <v>-3.3452025300603023</v>
      </c>
      <c r="L16" s="15"/>
      <c r="M16" s="15">
        <f t="shared" ref="M16:AA16" si="15">M10/(1+$E$16)^M2</f>
        <v>39.417098517493976</v>
      </c>
      <c r="N16" s="15">
        <f t="shared" si="15"/>
        <v>61.315486582768401</v>
      </c>
      <c r="O16" s="15">
        <f t="shared" si="15"/>
        <v>119.22455724427191</v>
      </c>
      <c r="P16" s="15">
        <f t="shared" si="15"/>
        <v>139.09531678498382</v>
      </c>
      <c r="Q16" s="15">
        <f t="shared" si="15"/>
        <v>144.24699518442767</v>
      </c>
      <c r="R16" s="15">
        <f t="shared" si="15"/>
        <v>140.24013420708249</v>
      </c>
      <c r="S16" s="15">
        <f t="shared" si="15"/>
        <v>130.89079192661029</v>
      </c>
      <c r="T16" s="15">
        <f t="shared" si="15"/>
        <v>84.836624396877056</v>
      </c>
      <c r="U16" s="15">
        <f t="shared" si="15"/>
        <v>52.787232958056826</v>
      </c>
      <c r="V16" s="15">
        <f t="shared" si="15"/>
        <v>30.792552558866486</v>
      </c>
      <c r="W16" s="15">
        <f t="shared" si="15"/>
        <v>15.966508734227068</v>
      </c>
      <c r="X16" s="15">
        <f t="shared" si="15"/>
        <v>4.9673582728706425</v>
      </c>
      <c r="Y16" s="15">
        <f t="shared" si="15"/>
        <v>3.863500878899389</v>
      </c>
      <c r="Z16" s="15">
        <f t="shared" si="15"/>
        <v>1.5024725640164294</v>
      </c>
      <c r="AA16" s="15">
        <f t="shared" si="15"/>
        <v>1.168589772012778</v>
      </c>
    </row>
    <row r="17" spans="2:21" ht="15" thickBot="1" x14ac:dyDescent="0.4"/>
    <row r="18" spans="2:21" ht="15" thickBot="1" x14ac:dyDescent="0.4">
      <c r="B18" s="14" t="s">
        <v>31</v>
      </c>
      <c r="E18" s="26">
        <f>SUM(G16:AA16)</f>
        <v>911.21688647341773</v>
      </c>
    </row>
    <row r="20" spans="2:21" x14ac:dyDescent="0.35">
      <c r="B20" s="1" t="s">
        <v>32</v>
      </c>
      <c r="C20" s="1"/>
      <c r="D20" s="1"/>
      <c r="E20" s="1"/>
      <c r="M20" s="1" t="s">
        <v>39</v>
      </c>
      <c r="N20" s="1"/>
      <c r="O20" s="1"/>
      <c r="P20" s="1"/>
      <c r="Q20" s="1"/>
      <c r="R20" s="1"/>
      <c r="S20" s="1"/>
      <c r="T20" s="1"/>
      <c r="U20" s="1"/>
    </row>
    <row r="21" spans="2:21" ht="3.5" customHeight="1" thickBot="1" x14ac:dyDescent="0.4">
      <c r="B21" s="3"/>
      <c r="C21" s="3"/>
      <c r="D21" s="3"/>
      <c r="E21" s="3"/>
      <c r="M21" s="27"/>
      <c r="N21" s="28"/>
      <c r="O21" s="28"/>
      <c r="P21" s="28"/>
      <c r="Q21" s="28"/>
      <c r="R21" s="28"/>
      <c r="S21" s="28"/>
      <c r="T21" s="28"/>
      <c r="U21" s="28"/>
    </row>
    <row r="22" spans="2:21" ht="55.5" thickTop="1" thickBot="1" x14ac:dyDescent="0.4">
      <c r="B22" s="13" t="s">
        <v>33</v>
      </c>
      <c r="C22" s="4"/>
      <c r="D22" s="4"/>
      <c r="E22" s="4"/>
      <c r="G22" s="13" t="s">
        <v>72</v>
      </c>
      <c r="H22" s="4"/>
      <c r="J22" t="s">
        <v>84</v>
      </c>
      <c r="M22" s="29" t="s">
        <v>40</v>
      </c>
      <c r="N22" s="30"/>
      <c r="O22" s="31" t="s">
        <v>41</v>
      </c>
      <c r="P22" s="32" t="s">
        <v>42</v>
      </c>
      <c r="Q22" s="32" t="s">
        <v>42</v>
      </c>
      <c r="R22" s="32" t="s">
        <v>43</v>
      </c>
      <c r="S22" s="32" t="s">
        <v>44</v>
      </c>
      <c r="T22" s="32" t="s">
        <v>45</v>
      </c>
      <c r="U22" s="32" t="s">
        <v>46</v>
      </c>
    </row>
    <row r="23" spans="2:21" x14ac:dyDescent="0.35">
      <c r="M23" t="s">
        <v>47</v>
      </c>
      <c r="O23" t="s">
        <v>48</v>
      </c>
      <c r="P23" s="33">
        <v>5.53</v>
      </c>
      <c r="Q23" s="33"/>
      <c r="R23" s="33"/>
      <c r="S23" s="33"/>
      <c r="T23" s="34"/>
      <c r="U23" s="17"/>
    </row>
    <row r="24" spans="2:21" x14ac:dyDescent="0.35">
      <c r="B24" t="s">
        <v>34</v>
      </c>
      <c r="E24" s="20">
        <f>+E18</f>
        <v>911.21688647341773</v>
      </c>
      <c r="G24" t="s">
        <v>77</v>
      </c>
      <c r="H24" s="50">
        <f>(J24+J25)/J26</f>
        <v>2.9655085800580272</v>
      </c>
      <c r="I24" s="25" t="s">
        <v>73</v>
      </c>
      <c r="J24" s="49">
        <f>LN(E24/E25)</f>
        <v>1.9864672067851801</v>
      </c>
      <c r="M24" t="s">
        <v>47</v>
      </c>
      <c r="O24" t="s">
        <v>49</v>
      </c>
      <c r="P24" s="33">
        <v>4.8600000000000003</v>
      </c>
      <c r="Q24" s="33"/>
      <c r="R24" s="33"/>
      <c r="S24" s="33"/>
      <c r="T24" s="34"/>
      <c r="U24" s="17"/>
    </row>
    <row r="25" spans="2:21" x14ac:dyDescent="0.35">
      <c r="B25" t="s">
        <v>35</v>
      </c>
      <c r="E25" s="20">
        <f>-SUM(G10:K10)</f>
        <v>125</v>
      </c>
      <c r="G25" t="s">
        <v>78</v>
      </c>
      <c r="H25" s="50">
        <f>NORMSDIST(H24)</f>
        <v>0.99848908541959613</v>
      </c>
      <c r="I25" s="25" t="s">
        <v>74</v>
      </c>
      <c r="J25" s="49">
        <f>(E28+(E26/2))*E29</f>
        <v>1.0488000000000002</v>
      </c>
      <c r="M25" t="s">
        <v>47</v>
      </c>
      <c r="O25" t="s">
        <v>50</v>
      </c>
      <c r="P25" s="33">
        <v>4.7300000000000004</v>
      </c>
      <c r="Q25" s="33"/>
      <c r="R25" s="33"/>
      <c r="S25" s="33"/>
      <c r="T25" s="34"/>
      <c r="U25" s="17"/>
    </row>
    <row r="26" spans="2:21" x14ac:dyDescent="0.35">
      <c r="B26" t="s">
        <v>36</v>
      </c>
      <c r="E26" s="17">
        <f>+U38</f>
        <v>4.988571428571429E-2</v>
      </c>
      <c r="G26" t="s">
        <v>79</v>
      </c>
      <c r="H26" s="50">
        <f>H24-J26</f>
        <v>1.9419852535041084</v>
      </c>
      <c r="I26" s="25" t="s">
        <v>75</v>
      </c>
      <c r="J26" s="49">
        <f>E27*SQRT(E29)</f>
        <v>1.0235233265539188</v>
      </c>
      <c r="M26" t="s">
        <v>47</v>
      </c>
      <c r="O26" t="s">
        <v>51</v>
      </c>
      <c r="P26" s="33">
        <v>3.98</v>
      </c>
      <c r="Q26" s="33"/>
      <c r="R26" s="33"/>
      <c r="S26" s="33"/>
      <c r="T26" s="34"/>
      <c r="U26" s="17"/>
    </row>
    <row r="27" spans="2:21" x14ac:dyDescent="0.35">
      <c r="B27" t="s">
        <v>37</v>
      </c>
      <c r="E27" s="48">
        <f>SQRT(E26)</f>
        <v>0.22335110092792085</v>
      </c>
      <c r="G27" t="s">
        <v>80</v>
      </c>
      <c r="H27" s="50">
        <f>NORMSDIST(H26)</f>
        <v>0.97393055723816635</v>
      </c>
      <c r="I27" s="25" t="s">
        <v>82</v>
      </c>
      <c r="J27">
        <f>EXP(-E29*E28)</f>
        <v>0.59155536436681511</v>
      </c>
      <c r="M27" t="s">
        <v>47</v>
      </c>
      <c r="O27" t="s">
        <v>52</v>
      </c>
      <c r="P27" s="33">
        <v>3.43</v>
      </c>
      <c r="Q27" s="33"/>
      <c r="R27" s="33"/>
      <c r="S27" s="33"/>
      <c r="T27" s="34"/>
      <c r="U27" s="17"/>
    </row>
    <row r="28" spans="2:21" x14ac:dyDescent="0.35">
      <c r="B28" t="s">
        <v>38</v>
      </c>
      <c r="E28" s="18">
        <v>2.5000000000000001E-2</v>
      </c>
      <c r="G28" t="s">
        <v>81</v>
      </c>
      <c r="H28" s="20">
        <f>(E24*H25)-(E25*J27*H27)</f>
        <v>837.82338488686003</v>
      </c>
      <c r="M28" s="35" t="s">
        <v>47</v>
      </c>
      <c r="N28" s="35"/>
      <c r="O28" s="35" t="s">
        <v>53</v>
      </c>
      <c r="P28" s="36">
        <v>2.89</v>
      </c>
      <c r="Q28" s="36">
        <f>SUM(P24:P28)</f>
        <v>19.89</v>
      </c>
      <c r="R28" s="36">
        <v>328.68</v>
      </c>
      <c r="S28" s="36">
        <v>24.27</v>
      </c>
      <c r="T28" s="37">
        <f>+R28/S28</f>
        <v>13.54264524103832</v>
      </c>
      <c r="U28" s="38">
        <v>2.7599999999999993E-2</v>
      </c>
    </row>
    <row r="29" spans="2:21" x14ac:dyDescent="0.35">
      <c r="B29" t="s">
        <v>76</v>
      </c>
      <c r="E29">
        <v>21</v>
      </c>
      <c r="M29" s="35" t="s">
        <v>54</v>
      </c>
      <c r="N29" s="35"/>
      <c r="O29" s="35" t="s">
        <v>55</v>
      </c>
      <c r="P29" s="36">
        <v>13.44</v>
      </c>
      <c r="Q29" s="36">
        <v>13.44</v>
      </c>
      <c r="R29" s="36"/>
      <c r="S29" s="36"/>
      <c r="T29" s="39"/>
      <c r="U29" s="38"/>
    </row>
    <row r="30" spans="2:21" ht="15" thickBot="1" x14ac:dyDescent="0.4">
      <c r="M30" s="40" t="s">
        <v>56</v>
      </c>
      <c r="N30" s="40"/>
      <c r="O30" s="40" t="s">
        <v>57</v>
      </c>
      <c r="P30" s="41">
        <v>12.62</v>
      </c>
      <c r="Q30" s="41">
        <v>12.62</v>
      </c>
      <c r="R30" s="41">
        <v>174</v>
      </c>
      <c r="S30" s="41">
        <v>20.58</v>
      </c>
      <c r="T30" s="42">
        <f>+R30/S30</f>
        <v>8.4548104956268233</v>
      </c>
      <c r="U30" s="43">
        <v>4.6799999999999994E-2</v>
      </c>
    </row>
    <row r="31" spans="2:21" ht="15" thickBot="1" x14ac:dyDescent="0.4">
      <c r="B31" t="s">
        <v>83</v>
      </c>
      <c r="E31" s="26">
        <f>+H28</f>
        <v>837.82338488686003</v>
      </c>
      <c r="M31" t="s">
        <v>58</v>
      </c>
      <c r="O31" t="s">
        <v>59</v>
      </c>
      <c r="P31" s="33">
        <v>8.2899999999999991</v>
      </c>
      <c r="Q31" s="33"/>
      <c r="R31" s="33"/>
      <c r="S31" s="33"/>
      <c r="T31" s="34"/>
      <c r="U31" s="34"/>
    </row>
    <row r="32" spans="2:21" x14ac:dyDescent="0.35">
      <c r="M32" s="35"/>
      <c r="N32" s="35"/>
      <c r="O32" s="35" t="s">
        <v>60</v>
      </c>
      <c r="P32" s="36">
        <v>2.91</v>
      </c>
      <c r="Q32" s="36">
        <f>+P32+P31</f>
        <v>11.2</v>
      </c>
      <c r="R32" s="36">
        <v>323.10000000000002</v>
      </c>
      <c r="S32" s="36">
        <v>28.05</v>
      </c>
      <c r="T32" s="37">
        <f t="shared" ref="T32:T37" si="16">+R32/S32</f>
        <v>11.518716577540108</v>
      </c>
      <c r="U32" s="17">
        <v>8.4000000000000005E-2</v>
      </c>
    </row>
    <row r="33" spans="13:21" x14ac:dyDescent="0.35">
      <c r="M33" s="40" t="s">
        <v>61</v>
      </c>
      <c r="N33" s="40"/>
      <c r="O33" s="40" t="s">
        <v>62</v>
      </c>
      <c r="P33" s="41">
        <v>6.56</v>
      </c>
      <c r="Q33" s="41">
        <v>6.56</v>
      </c>
      <c r="R33" s="41">
        <v>209.33</v>
      </c>
      <c r="S33" s="41">
        <v>21</v>
      </c>
      <c r="T33" s="42">
        <f t="shared" si="16"/>
        <v>9.9680952380952395</v>
      </c>
      <c r="U33" s="43">
        <v>3.9600000000000003E-2</v>
      </c>
    </row>
    <row r="34" spans="13:21" x14ac:dyDescent="0.35">
      <c r="M34" s="40" t="s">
        <v>63</v>
      </c>
      <c r="N34" s="40"/>
      <c r="O34" s="40" t="s">
        <v>64</v>
      </c>
      <c r="P34" s="41">
        <v>6.01</v>
      </c>
      <c r="Q34" s="41">
        <v>6.01</v>
      </c>
      <c r="R34" s="41">
        <v>281.10000000000002</v>
      </c>
      <c r="S34" s="41">
        <v>31.95</v>
      </c>
      <c r="T34" s="42">
        <f t="shared" si="16"/>
        <v>8.7981220657276999</v>
      </c>
      <c r="U34" s="43">
        <v>0.06</v>
      </c>
    </row>
    <row r="35" spans="13:21" x14ac:dyDescent="0.35">
      <c r="M35" s="40" t="s">
        <v>65</v>
      </c>
      <c r="N35" s="40"/>
      <c r="O35" s="40" t="s">
        <v>66</v>
      </c>
      <c r="P35" s="41">
        <v>4.91</v>
      </c>
      <c r="Q35" s="41">
        <v>4.91</v>
      </c>
      <c r="R35" s="41">
        <v>432.44</v>
      </c>
      <c r="S35" s="41">
        <v>32.64</v>
      </c>
      <c r="T35" s="42">
        <f t="shared" si="16"/>
        <v>13.248774509803921</v>
      </c>
      <c r="U35" s="43">
        <v>3.0000000000000006E-2</v>
      </c>
    </row>
    <row r="36" spans="13:21" x14ac:dyDescent="0.35">
      <c r="M36" s="40" t="s">
        <v>67</v>
      </c>
      <c r="N36" s="40"/>
      <c r="O36" s="40" t="s">
        <v>68</v>
      </c>
      <c r="P36" s="41">
        <v>4.71</v>
      </c>
      <c r="Q36" s="41">
        <v>4.71</v>
      </c>
      <c r="R36" s="41">
        <f>33200/115</f>
        <v>288.69565217391306</v>
      </c>
      <c r="S36" s="41">
        <f>3115.7/115</f>
        <v>27.093043478260867</v>
      </c>
      <c r="T36" s="42">
        <f t="shared" si="16"/>
        <v>10.655711397117825</v>
      </c>
      <c r="U36" s="43">
        <v>5.7600000000000005E-2</v>
      </c>
    </row>
    <row r="37" spans="13:21" x14ac:dyDescent="0.35">
      <c r="M37" t="s">
        <v>69</v>
      </c>
      <c r="O37" t="s">
        <v>70</v>
      </c>
      <c r="P37" s="33">
        <v>3.1</v>
      </c>
      <c r="Q37" s="33">
        <v>3.1</v>
      </c>
      <c r="R37" s="33">
        <v>196.83</v>
      </c>
      <c r="S37" s="33">
        <v>17.149999999999999</v>
      </c>
      <c r="T37" s="42">
        <f t="shared" si="16"/>
        <v>11.476967930029156</v>
      </c>
      <c r="U37" s="43">
        <v>3.1199999999999999E-2</v>
      </c>
    </row>
    <row r="38" spans="13:21" ht="15" thickBot="1" x14ac:dyDescent="0.4">
      <c r="M38" s="44" t="s">
        <v>71</v>
      </c>
      <c r="N38" s="44"/>
      <c r="O38" s="44"/>
      <c r="P38" s="45">
        <f>AVERAGE(P23:P37)</f>
        <v>5.8646666666666656</v>
      </c>
      <c r="Q38" s="45">
        <f t="shared" ref="Q38:T38" si="17">AVERAGE(Q23:Q37)</f>
        <v>9.1599999999999984</v>
      </c>
      <c r="R38" s="45">
        <f t="shared" si="17"/>
        <v>279.27195652173913</v>
      </c>
      <c r="S38" s="45">
        <f t="shared" si="17"/>
        <v>25.341630434782612</v>
      </c>
      <c r="T38" s="46">
        <f t="shared" si="17"/>
        <v>10.957980431872388</v>
      </c>
      <c r="U38" s="47">
        <f>AVERAGE(U30:U37)</f>
        <v>4.988571428571429E-2</v>
      </c>
    </row>
    <row r="39" spans="13:21" ht="15" thickTop="1" x14ac:dyDescent="0.35"/>
  </sheetData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2022-05-04T01:52:36Z</cp:lastPrinted>
  <dcterms:created xsi:type="dcterms:W3CDTF">2022-05-03T23:48:52Z</dcterms:created>
  <dcterms:modified xsi:type="dcterms:W3CDTF">2022-05-15T08:03:03Z</dcterms:modified>
</cp:coreProperties>
</file>