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'Sheet1'!$B$1:$X$138</definedName>
  </definedNames>
  <calcPr fullCalcOnLoad="1"/>
</workbook>
</file>

<file path=xl/sharedStrings.xml><?xml version="1.0" encoding="utf-8"?>
<sst xmlns="http://schemas.openxmlformats.org/spreadsheetml/2006/main" count="204" uniqueCount="137">
  <si>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</si>
  <si>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</si>
  <si>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</si>
  <si>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</si>
  <si>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</si>
  <si>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</si>
  <si>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</si>
  <si>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</si>
  <si>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</si>
  <si>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</si>
  <si>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</si>
  <si>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</si>
  <si>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P</t>
  </si>
  <si>
    <t>BOND PRICING</t>
  </si>
  <si>
    <t>VALUING BONDS</t>
  </si>
  <si>
    <t>Par/Face Value</t>
  </si>
  <si>
    <t>Semi-Annual Coupon =</t>
  </si>
  <si>
    <t>Settlement Date=</t>
  </si>
  <si>
    <t>Coupon % =</t>
  </si>
  <si>
    <t>Semi-Annual Payment =</t>
  </si>
  <si>
    <t>every 6 mnts</t>
  </si>
  <si>
    <t>Maturity Date=</t>
  </si>
  <si>
    <t>Maturity/Term =</t>
  </si>
  <si>
    <t>yrs</t>
  </si>
  <si>
    <t>Semi-Annual # Paymants =</t>
  </si>
  <si>
    <t>pmts</t>
  </si>
  <si>
    <t>Coupon Rate=</t>
  </si>
  <si>
    <t>Yield to Maturity=</t>
  </si>
  <si>
    <t>Present Value of Coupon Pmts=</t>
  </si>
  <si>
    <t>=PV(B4/2,G5,-G4)</t>
  </si>
  <si>
    <t>Redemption value %=</t>
  </si>
  <si>
    <t>Present Value of Principal Pmt=</t>
  </si>
  <si>
    <t>=PV(B4/2,G5,0,-B3,0)</t>
  </si>
  <si>
    <t>Coupon Pmts per year=</t>
  </si>
  <si>
    <t xml:space="preserve"> Total</t>
  </si>
  <si>
    <t>Flat Price (% Par)</t>
  </si>
  <si>
    <t>=PRICE(M4,M5,M6,M7,M8,M9)</t>
  </si>
  <si>
    <t>Net Present Value</t>
  </si>
  <si>
    <t>Day since last coupon=</t>
  </si>
  <si>
    <t>=COUPDAYBS(M4,M5,2,1)</t>
  </si>
  <si>
    <t>=NPV($B$4/2,C16:C75)</t>
  </si>
  <si>
    <t>Days in coupon period=</t>
  </si>
  <si>
    <t>=COUPDAYS(M4,M5,2,1)</t>
  </si>
  <si>
    <t>Long-Form</t>
  </si>
  <si>
    <t>Accrued Interest=</t>
  </si>
  <si>
    <t>=(M12/M13)*M6*100/2</t>
  </si>
  <si>
    <t>Period</t>
  </si>
  <si>
    <t>Coupon
Payment</t>
  </si>
  <si>
    <t>Principal
Payment</t>
  </si>
  <si>
    <t>Total Payment</t>
  </si>
  <si>
    <t>Invoice Price=</t>
  </si>
  <si>
    <t>=+M11+M14</t>
  </si>
  <si>
    <t>IRR =</t>
  </si>
  <si>
    <t>Q</t>
  </si>
  <si>
    <t>YIELD TO MATURITY</t>
  </si>
  <si>
    <t>YIELD TO CALL Vs YIELD TO MATURITY</t>
  </si>
  <si>
    <t>YTC</t>
  </si>
  <si>
    <t>YTM</t>
  </si>
  <si>
    <t>Maturity Date / Call Date=</t>
  </si>
  <si>
    <t>Bond Pricing=</t>
  </si>
  <si>
    <t>Redemption Value=</t>
  </si>
  <si>
    <t>Coupon Pmt =</t>
  </si>
  <si>
    <t>Coupon pmts per yr=</t>
  </si>
  <si>
    <t>Number of semiannual</t>
  </si>
  <si>
    <t>periods</t>
  </si>
  <si>
    <t>Call Provision</t>
  </si>
  <si>
    <t>=YIELD(D84,D85,D86,D87,D88,D89)</t>
  </si>
  <si>
    <t>Final Payment</t>
  </si>
  <si>
    <t>Price</t>
  </si>
  <si>
    <t>YIELD =</t>
  </si>
  <si>
    <t>=YIELD(M85,M86,M87,M92/10,M91/10,2)</t>
  </si>
  <si>
    <t>SIMPLE DURATION</t>
  </si>
  <si>
    <t>Int.Rate =</t>
  </si>
  <si>
    <t xml:space="preserve"> P x 0</t>
  </si>
  <si>
    <t>Time  until</t>
  </si>
  <si>
    <t>Payment</t>
  </si>
  <si>
    <t>PV of Pmt</t>
  </si>
  <si>
    <t>%</t>
  </si>
  <si>
    <t>Duration</t>
  </si>
  <si>
    <t>Payments</t>
  </si>
  <si>
    <t>DR = 10%</t>
  </si>
  <si>
    <t>Weight</t>
  </si>
  <si>
    <t>8% coupon bond</t>
  </si>
  <si>
    <t>Zero Bond</t>
  </si>
  <si>
    <t>will be 3 years</t>
  </si>
  <si>
    <t>R</t>
  </si>
  <si>
    <t>MACAULAY DURATION AND CONVEXITY</t>
  </si>
  <si>
    <t>Sensitivity to interest rate movements</t>
  </si>
  <si>
    <t>=-PV(M108/M109,M107*M109,M106*M105/M109,M105)</t>
  </si>
  <si>
    <t>DURATION AND CONVEXITY FORMULAS</t>
  </si>
  <si>
    <t>Bond Price</t>
  </si>
  <si>
    <t>If Yield Changes By</t>
  </si>
  <si>
    <t>Face Value</t>
  </si>
  <si>
    <t>Bond Price Will Change By</t>
  </si>
  <si>
    <t>Coupon Rate</t>
  </si>
  <si>
    <t>Life in Years</t>
  </si>
  <si>
    <t>Modified Duration Predicts</t>
  </si>
  <si>
    <t>Yield</t>
  </si>
  <si>
    <t>Convexity Adjustment</t>
  </si>
  <si>
    <t>Frequency</t>
  </si>
  <si>
    <t>Total Predicted Change</t>
  </si>
  <si>
    <t>Macaulay Duration</t>
  </si>
  <si>
    <t>Actual New Price</t>
  </si>
  <si>
    <t>=-PV((M108+Q104)/M109,M107*M109,M106*M105/M109,M105)</t>
  </si>
  <si>
    <t>Modified Duration</t>
  </si>
  <si>
    <t>=+M111/(1+M108/M109)</t>
  </si>
  <si>
    <t>Predicted New Price</t>
  </si>
  <si>
    <t>Convexity</t>
  </si>
  <si>
    <t>Difference</t>
  </si>
  <si>
    <t>Cash Flow</t>
  </si>
  <si>
    <t>PV Cash Flow</t>
  </si>
  <si>
    <t>Convexity
 Calc</t>
  </si>
  <si>
    <t>Total</t>
  </si>
  <si>
    <t>Weighted</t>
  </si>
  <si>
    <t>Duration Calc
Method 1</t>
  </si>
  <si>
    <t>Duration Calc
Method 2</t>
  </si>
  <si>
    <t>PV of pv(CF)</t>
  </si>
  <si>
    <t>Factor years</t>
  </si>
  <si>
    <t>S</t>
  </si>
  <si>
    <t>=-(M104+PV((M108+R104)/M109,M107*M109,M106*M105/M109,M105))</t>
  </si>
  <si>
    <t>=(-M112*R104*M104)</t>
  </si>
  <si>
    <t>=0.5*M113*R104^2*M104</t>
  </si>
  <si>
    <t>=+R107+R108</t>
  </si>
  <si>
    <t>=+M104+R109</t>
  </si>
  <si>
    <t>=+R112-R111</t>
  </si>
  <si>
    <t>=+P137/M104/M109</t>
  </si>
  <si>
    <t>=+R105/M104</t>
  </si>
  <si>
    <t>IRR=</t>
  </si>
  <si>
    <t>=+S137/M104/M109^M109</t>
  </si>
  <si>
    <t>PRICE</t>
  </si>
  <si>
    <t xml:space="preserve"> DURATION</t>
  </si>
  <si>
    <t>CONVEXITY</t>
  </si>
  <si>
    <t>T</t>
  </si>
  <si>
    <t>U</t>
  </si>
  <si>
    <t>V</t>
  </si>
  <si>
    <t>W</t>
  </si>
  <si>
    <t>X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</si>
</sst>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000%"/>
    <numFmt numFmtId="167" formatCode="0.0000"/>
    <numFmt numFmtId="168" formatCode="_(* #,##0_);_(* \(#,##0\);_(* &quot;-&quot;??_);_(@_)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%"/>
  </numFmts>
  <fonts count="16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i/>
      <sz val="10"/>
      <color indexed="9"/>
      <name val="Times New Roman"/>
      <family val="1"/>
    </font>
    <font>
      <sz val="10"/>
      <name val="Times New Roman"/>
      <family val="1"/>
    </font>
    <font>
      <i/>
      <sz val="10"/>
      <color indexed="9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/>
    </xf>
    <xf numFmtId="44" fontId="0" fillId="0" borderId="0" xfId="17" applyAlignment="1">
      <alignment/>
    </xf>
    <xf numFmtId="10" fontId="0" fillId="0" borderId="0" xfId="22" applyNumberForma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  <xf numFmtId="44" fontId="0" fillId="0" borderId="0" xfId="0" applyNumberFormat="1" applyAlignment="1">
      <alignment/>
    </xf>
    <xf numFmtId="164" fontId="0" fillId="0" borderId="0" xfId="22" applyNumberFormat="1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 quotePrefix="1">
      <alignment/>
    </xf>
    <xf numFmtId="8" fontId="2" fillId="0" borderId="0" xfId="0" applyNumberFormat="1" applyFont="1" applyAlignment="1" quotePrefix="1">
      <alignment/>
    </xf>
    <xf numFmtId="8" fontId="0" fillId="0" borderId="1" xfId="0" applyNumberFormat="1" applyBorder="1" applyAlignment="1" quotePrefix="1">
      <alignment/>
    </xf>
    <xf numFmtId="165" fontId="0" fillId="0" borderId="0" xfId="0" applyNumberFormat="1" applyAlignment="1" quotePrefix="1">
      <alignment/>
    </xf>
    <xf numFmtId="0" fontId="0" fillId="0" borderId="2" xfId="0" applyBorder="1" applyAlignment="1">
      <alignment/>
    </xf>
    <xf numFmtId="8" fontId="0" fillId="0" borderId="2" xfId="0" applyNumberFormat="1" applyBorder="1" applyAlignment="1" quotePrefix="1">
      <alignment/>
    </xf>
    <xf numFmtId="0" fontId="0" fillId="0" borderId="0" xfId="0" applyAlignment="1" quotePrefix="1">
      <alignment/>
    </xf>
    <xf numFmtId="8" fontId="0" fillId="0" borderId="0" xfId="0" applyNumberFormat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44" fontId="3" fillId="0" borderId="11" xfId="17" applyFont="1" applyBorder="1" applyAlignment="1">
      <alignment/>
    </xf>
    <xf numFmtId="0" fontId="0" fillId="0" borderId="12" xfId="0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17" applyBorder="1" applyAlignment="1">
      <alignment/>
    </xf>
    <xf numFmtId="44" fontId="0" fillId="0" borderId="13" xfId="0" applyNumberFormat="1" applyBorder="1" applyAlignment="1">
      <alignment/>
    </xf>
    <xf numFmtId="14" fontId="3" fillId="3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0" fontId="3" fillId="3" borderId="0" xfId="0" applyFont="1" applyFill="1" applyAlignment="1" quotePrefix="1">
      <alignment/>
    </xf>
    <xf numFmtId="0" fontId="0" fillId="0" borderId="0" xfId="0" applyFill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10" fontId="3" fillId="3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44" fontId="0" fillId="0" borderId="0" xfId="17" applyAlignment="1">
      <alignment horizontal="center"/>
    </xf>
    <xf numFmtId="43" fontId="0" fillId="0" borderId="0" xfId="15" applyAlignment="1">
      <alignment/>
    </xf>
    <xf numFmtId="164" fontId="0" fillId="0" borderId="0" xfId="22" applyNumberFormat="1" applyFont="1" applyAlignment="1" quotePrefix="1">
      <alignment/>
    </xf>
    <xf numFmtId="166" fontId="0" fillId="0" borderId="1" xfId="22" applyNumberFormat="1" applyFont="1" applyBorder="1" applyAlignment="1" quotePrefix="1">
      <alignment/>
    </xf>
    <xf numFmtId="166" fontId="0" fillId="0" borderId="1" xfId="22" applyNumberForma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14" fontId="0" fillId="3" borderId="7" xfId="0" applyNumberFormat="1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43" fontId="0" fillId="0" borderId="0" xfId="15" applyFill="1" applyBorder="1" applyAlignment="1">
      <alignment/>
    </xf>
    <xf numFmtId="166" fontId="0" fillId="0" borderId="0" xfId="22" applyNumberFormat="1" applyFont="1" applyFill="1" applyBorder="1" applyAlignment="1" quotePrefix="1">
      <alignment/>
    </xf>
    <xf numFmtId="166" fontId="0" fillId="0" borderId="0" xfId="22" applyNumberFormat="1" applyFill="1" applyBorder="1" applyAlignment="1">
      <alignment/>
    </xf>
    <xf numFmtId="166" fontId="2" fillId="0" borderId="0" xfId="22" applyNumberFormat="1" applyFont="1" applyFill="1" applyBorder="1" applyAlignment="1" quotePrefix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66" fontId="4" fillId="0" borderId="14" xfId="22" applyNumberFormat="1" applyFont="1" applyBorder="1" applyAlignment="1">
      <alignment/>
    </xf>
    <xf numFmtId="164" fontId="0" fillId="0" borderId="5" xfId="22" applyNumberFormat="1" applyBorder="1" applyAlignment="1">
      <alignment/>
    </xf>
    <xf numFmtId="0" fontId="5" fillId="0" borderId="0" xfId="0" applyFont="1" applyAlignment="1">
      <alignment/>
    </xf>
    <xf numFmtId="8" fontId="6" fillId="0" borderId="0" xfId="21" applyNumberFormat="1" applyFont="1" applyAlignment="1" quotePrefix="1">
      <alignment/>
      <protection/>
    </xf>
    <xf numFmtId="0" fontId="7" fillId="0" borderId="0" xfId="21">
      <alignment/>
      <protection/>
    </xf>
    <xf numFmtId="8" fontId="7" fillId="0" borderId="0" xfId="21" applyNumberFormat="1" applyFont="1" quotePrefix="1">
      <alignment/>
      <protection/>
    </xf>
    <xf numFmtId="0" fontId="8" fillId="0" borderId="2" xfId="21" applyFont="1" applyBorder="1">
      <alignment/>
      <protection/>
    </xf>
    <xf numFmtId="10" fontId="9" fillId="0" borderId="2" xfId="21" applyNumberFormat="1" applyFont="1" applyBorder="1" applyProtection="1">
      <alignment/>
      <protection locked="0"/>
    </xf>
    <xf numFmtId="168" fontId="9" fillId="0" borderId="0" xfId="15" applyNumberFormat="1" applyFont="1" applyAlignment="1" applyProtection="1">
      <alignment/>
      <protection locked="0"/>
    </xf>
    <xf numFmtId="0" fontId="10" fillId="0" borderId="0" xfId="21" applyFont="1" applyAlignment="1" applyProtection="1">
      <alignment/>
      <protection locked="0"/>
    </xf>
    <xf numFmtId="4" fontId="7" fillId="0" borderId="0" xfId="15" applyNumberFormat="1" applyFont="1" applyAlignment="1" quotePrefix="1">
      <alignment/>
    </xf>
    <xf numFmtId="4" fontId="6" fillId="0" borderId="0" xfId="15" applyNumberFormat="1" applyFont="1" applyAlignment="1" quotePrefix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0" fontId="9" fillId="0" borderId="0" xfId="21" applyNumberFormat="1" applyFont="1" applyProtection="1">
      <alignment/>
      <protection locked="0"/>
    </xf>
    <xf numFmtId="9" fontId="10" fillId="0" borderId="0" xfId="21" applyNumberFormat="1" applyFont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21" applyFont="1" applyProtection="1">
      <alignment/>
      <protection locked="0"/>
    </xf>
    <xf numFmtId="4" fontId="7" fillId="0" borderId="2" xfId="15" applyNumberFormat="1" applyFont="1" applyBorder="1" applyAlignment="1" quotePrefix="1">
      <alignment/>
    </xf>
    <xf numFmtId="4" fontId="6" fillId="0" borderId="2" xfId="15" applyNumberFormat="1" applyFont="1" applyBorder="1" applyAlignment="1" quotePrefix="1">
      <alignment/>
    </xf>
    <xf numFmtId="4" fontId="7" fillId="0" borderId="0" xfId="21" applyNumberFormat="1" applyFont="1" quotePrefix="1">
      <alignment/>
      <protection/>
    </xf>
    <xf numFmtId="4" fontId="6" fillId="0" borderId="0" xfId="21" applyNumberFormat="1" applyFont="1" quotePrefix="1">
      <alignment/>
      <protection/>
    </xf>
    <xf numFmtId="0" fontId="6" fillId="0" borderId="0" xfId="21" applyFont="1" applyAlignment="1">
      <alignment/>
      <protection/>
    </xf>
    <xf numFmtId="0" fontId="6" fillId="0" borderId="0" xfId="21" applyFont="1">
      <alignment/>
      <protection/>
    </xf>
    <xf numFmtId="43" fontId="7" fillId="0" borderId="0" xfId="15" applyFont="1" applyAlignment="1" quotePrefix="1">
      <alignment/>
    </xf>
    <xf numFmtId="8" fontId="7" fillId="0" borderId="2" xfId="21" applyNumberFormat="1" applyFont="1" applyBorder="1" quotePrefix="1">
      <alignment/>
      <protection/>
    </xf>
    <xf numFmtId="0" fontId="8" fillId="3" borderId="4" xfId="21" applyFont="1" applyFill="1" applyBorder="1" applyAlignment="1">
      <alignment horizontal="center" wrapText="1"/>
      <protection/>
    </xf>
    <xf numFmtId="0" fontId="8" fillId="3" borderId="5" xfId="21" applyFont="1" applyFill="1" applyBorder="1" applyAlignment="1">
      <alignment horizontal="center" wrapText="1"/>
      <protection/>
    </xf>
    <xf numFmtId="0" fontId="7" fillId="0" borderId="0" xfId="21" applyAlignment="1">
      <alignment horizontal="center"/>
      <protection/>
    </xf>
    <xf numFmtId="8" fontId="7" fillId="0" borderId="13" xfId="15" applyNumberFormat="1" applyBorder="1" applyAlignment="1">
      <alignment/>
    </xf>
    <xf numFmtId="43" fontId="7" fillId="0" borderId="0" xfId="15" applyAlignment="1">
      <alignment/>
    </xf>
    <xf numFmtId="43" fontId="7" fillId="0" borderId="13" xfId="15" applyBorder="1" applyAlignment="1">
      <alignment/>
    </xf>
    <xf numFmtId="43" fontId="6" fillId="0" borderId="0" xfId="15" applyFont="1" applyAlignment="1" quotePrefix="1">
      <alignment/>
    </xf>
    <xf numFmtId="43" fontId="7" fillId="0" borderId="0" xfId="21" applyNumberFormat="1">
      <alignment/>
      <protection/>
    </xf>
    <xf numFmtId="43" fontId="6" fillId="0" borderId="0" xfId="21" applyNumberFormat="1" applyFont="1" quotePrefix="1">
      <alignment/>
      <protection/>
    </xf>
    <xf numFmtId="0" fontId="11" fillId="0" borderId="0" xfId="21" applyFont="1">
      <alignment/>
      <protection/>
    </xf>
    <xf numFmtId="0" fontId="7" fillId="0" borderId="2" xfId="21" applyBorder="1" applyAlignment="1">
      <alignment horizontal="center"/>
      <protection/>
    </xf>
    <xf numFmtId="43" fontId="7" fillId="0" borderId="18" xfId="15" applyBorder="1" applyAlignment="1">
      <alignment/>
    </xf>
    <xf numFmtId="0" fontId="7" fillId="0" borderId="0" xfId="21" applyFont="1" applyAlignment="1">
      <alignment horizontal="center"/>
      <protection/>
    </xf>
    <xf numFmtId="43" fontId="8" fillId="0" borderId="0" xfId="15" applyFont="1" applyAlignment="1">
      <alignment horizontal="right"/>
    </xf>
    <xf numFmtId="8" fontId="12" fillId="4" borderId="0" xfId="0" applyNumberFormat="1" applyFont="1" applyFill="1" applyAlignment="1" quotePrefix="1">
      <alignment/>
    </xf>
    <xf numFmtId="165" fontId="12" fillId="0" borderId="0" xfId="0" applyNumberFormat="1" applyFont="1" applyAlignment="1" quotePrefix="1">
      <alignment/>
    </xf>
    <xf numFmtId="0" fontId="12" fillId="0" borderId="0" xfId="0" applyFont="1" applyAlignment="1" quotePrefix="1">
      <alignment/>
    </xf>
    <xf numFmtId="164" fontId="12" fillId="0" borderId="0" xfId="22" applyNumberFormat="1" applyFont="1" applyAlignment="1" quotePrefix="1">
      <alignment/>
    </xf>
    <xf numFmtId="0" fontId="13" fillId="0" borderId="0" xfId="0" applyFont="1" applyAlignment="1">
      <alignment/>
    </xf>
    <xf numFmtId="166" fontId="12" fillId="0" borderId="0" xfId="22" applyNumberFormat="1" applyFont="1" applyBorder="1" applyAlignment="1" quotePrefix="1">
      <alignment/>
    </xf>
    <xf numFmtId="43" fontId="6" fillId="4" borderId="0" xfId="15" applyFont="1" applyFill="1" applyAlignment="1" quotePrefix="1">
      <alignment/>
    </xf>
    <xf numFmtId="0" fontId="7" fillId="0" borderId="0" xfId="21" applyFont="1">
      <alignment/>
      <protection/>
    </xf>
    <xf numFmtId="43" fontId="0" fillId="0" borderId="0" xfId="0" applyNumberFormat="1" applyAlignment="1">
      <alignment/>
    </xf>
    <xf numFmtId="9" fontId="0" fillId="0" borderId="0" xfId="22" applyAlignment="1">
      <alignment horizontal="center"/>
    </xf>
    <xf numFmtId="43" fontId="7" fillId="0" borderId="0" xfId="21" applyNumberFormat="1" applyFont="1">
      <alignment/>
      <protection/>
    </xf>
    <xf numFmtId="0" fontId="8" fillId="3" borderId="14" xfId="21" applyFont="1" applyFill="1" applyBorder="1" applyAlignment="1">
      <alignment horizontal="center" wrapText="1"/>
      <protection/>
    </xf>
    <xf numFmtId="0" fontId="7" fillId="0" borderId="19" xfId="21" applyBorder="1">
      <alignment/>
      <protection/>
    </xf>
    <xf numFmtId="43" fontId="7" fillId="0" borderId="19" xfId="21" applyNumberFormat="1" applyBorder="1">
      <alignment/>
      <protection/>
    </xf>
    <xf numFmtId="0" fontId="0" fillId="0" borderId="20" xfId="0" applyBorder="1" applyAlignment="1">
      <alignment/>
    </xf>
    <xf numFmtId="17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2" xfId="0" applyNumberFormat="1" applyBorder="1" applyAlignment="1">
      <alignment/>
    </xf>
    <xf numFmtId="43" fontId="7" fillId="0" borderId="2" xfId="21" applyNumberFormat="1" applyFont="1" applyBorder="1">
      <alignment/>
      <protection/>
    </xf>
    <xf numFmtId="0" fontId="0" fillId="0" borderId="0" xfId="0" applyFont="1" applyAlignment="1">
      <alignment/>
    </xf>
    <xf numFmtId="8" fontId="6" fillId="0" borderId="0" xfId="21" applyNumberFormat="1" applyFont="1" quotePrefix="1">
      <alignment/>
      <protection/>
    </xf>
    <xf numFmtId="8" fontId="6" fillId="0" borderId="2" xfId="21" applyNumberFormat="1" applyFont="1" applyBorder="1" quotePrefix="1">
      <alignment/>
      <protection/>
    </xf>
    <xf numFmtId="4" fontId="11" fillId="0" borderId="0" xfId="15" applyNumberFormat="1" applyFont="1" applyAlignment="1" quotePrefix="1">
      <alignment/>
    </xf>
    <xf numFmtId="10" fontId="7" fillId="0" borderId="0" xfId="22" applyNumberFormat="1" applyFont="1" applyAlignment="1" quotePrefix="1">
      <alignment/>
    </xf>
    <xf numFmtId="0" fontId="3" fillId="3" borderId="0" xfId="0" applyFont="1" applyFill="1" applyAlignment="1" quotePrefix="1">
      <alignment horizontal="right"/>
    </xf>
    <xf numFmtId="166" fontId="3" fillId="3" borderId="0" xfId="0" applyNumberFormat="1" applyFont="1" applyFill="1" applyAlignment="1">
      <alignment/>
    </xf>
    <xf numFmtId="164" fontId="0" fillId="0" borderId="0" xfId="22" applyNumberFormat="1" applyAlignment="1">
      <alignment horizontal="center"/>
    </xf>
    <xf numFmtId="164" fontId="0" fillId="0" borderId="2" xfId="22" applyNumberFormat="1" applyBorder="1" applyAlignment="1">
      <alignment horizontal="center"/>
    </xf>
    <xf numFmtId="43" fontId="7" fillId="5" borderId="19" xfId="21" applyNumberFormat="1" applyFont="1" applyFill="1" applyBorder="1" quotePrefix="1">
      <alignment/>
      <protection/>
    </xf>
    <xf numFmtId="43" fontId="7" fillId="5" borderId="19" xfId="21" applyNumberFormat="1" applyFill="1" applyBorder="1">
      <alignment/>
      <protection/>
    </xf>
    <xf numFmtId="43" fontId="7" fillId="5" borderId="21" xfId="21" applyNumberFormat="1" applyFill="1" applyBorder="1">
      <alignment/>
      <protection/>
    </xf>
    <xf numFmtId="168" fontId="6" fillId="0" borderId="0" xfId="15" applyNumberFormat="1" applyFont="1" applyAlignment="1" applyProtection="1">
      <alignment/>
      <protection locked="0"/>
    </xf>
    <xf numFmtId="8" fontId="6" fillId="0" borderId="0" xfId="15" applyNumberFormat="1" applyFont="1" applyAlignment="1" applyProtection="1">
      <alignment/>
      <protection locked="0"/>
    </xf>
    <xf numFmtId="8" fontId="0" fillId="0" borderId="0" xfId="0" applyNumberFormat="1" applyFont="1" applyAlignment="1">
      <alignment/>
    </xf>
    <xf numFmtId="0" fontId="8" fillId="0" borderId="3" xfId="21" applyFont="1" applyBorder="1">
      <alignment/>
      <protection/>
    </xf>
    <xf numFmtId="0" fontId="3" fillId="0" borderId="4" xfId="0" applyFont="1" applyBorder="1" applyAlignment="1">
      <alignment/>
    </xf>
    <xf numFmtId="43" fontId="8" fillId="0" borderId="5" xfId="15" applyFont="1" applyBorder="1" applyAlignment="1" quotePrefix="1">
      <alignment/>
    </xf>
    <xf numFmtId="0" fontId="3" fillId="5" borderId="14" xfId="0" applyFont="1" applyFill="1" applyBorder="1" applyAlignment="1">
      <alignment horizontal="right"/>
    </xf>
    <xf numFmtId="0" fontId="3" fillId="5" borderId="14" xfId="0" applyFont="1" applyFill="1" applyBorder="1" applyAlignment="1">
      <alignment/>
    </xf>
    <xf numFmtId="43" fontId="7" fillId="0" borderId="0" xfId="15" applyBorder="1" applyAlignment="1">
      <alignment/>
    </xf>
    <xf numFmtId="43" fontId="8" fillId="0" borderId="14" xfId="21" applyNumberFormat="1" applyFont="1" applyBorder="1">
      <alignment/>
      <protection/>
    </xf>
    <xf numFmtId="173" fontId="3" fillId="0" borderId="14" xfId="0" applyNumberFormat="1" applyFont="1" applyBorder="1" applyAlignment="1">
      <alignment/>
    </xf>
    <xf numFmtId="43" fontId="8" fillId="0" borderId="14" xfId="15" applyFont="1" applyBorder="1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12</xdr:row>
      <xdr:rowOff>85725</xdr:rowOff>
    </xdr:from>
    <xdr:to>
      <xdr:col>1</xdr:col>
      <xdr:colOff>561975</xdr:colOff>
      <xdr:row>23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828675" y="2257425"/>
          <a:ext cx="1905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75</xdr:row>
      <xdr:rowOff>0</xdr:rowOff>
    </xdr:from>
    <xdr:to>
      <xdr:col>11</xdr:col>
      <xdr:colOff>714375</xdr:colOff>
      <xdr:row>76</xdr:row>
      <xdr:rowOff>47625</xdr:rowOff>
    </xdr:to>
    <xdr:sp>
      <xdr:nvSpPr>
        <xdr:cNvPr id="2" name="Line 2"/>
        <xdr:cNvSpPr>
          <a:spLocks/>
        </xdr:cNvSpPr>
      </xdr:nvSpPr>
      <xdr:spPr>
        <a:xfrm>
          <a:off x="7219950" y="12849225"/>
          <a:ext cx="895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5</xdr:col>
      <xdr:colOff>581025</xdr:colOff>
      <xdr:row>118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421350"/>
          <a:ext cx="38576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103</xdr:row>
      <xdr:rowOff>19050</xdr:rowOff>
    </xdr:from>
    <xdr:to>
      <xdr:col>13</xdr:col>
      <xdr:colOff>781050</xdr:colOff>
      <xdr:row>103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9039225" y="17668875"/>
          <a:ext cx="7524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533400</xdr:colOff>
      <xdr:row>104</xdr:row>
      <xdr:rowOff>190500</xdr:rowOff>
    </xdr:from>
    <xdr:to>
      <xdr:col>18</xdr:col>
      <xdr:colOff>28575</xdr:colOff>
      <xdr:row>105</xdr:row>
      <xdr:rowOff>85725</xdr:rowOff>
    </xdr:to>
    <xdr:sp>
      <xdr:nvSpPr>
        <xdr:cNvPr id="5" name="Line 5"/>
        <xdr:cNvSpPr>
          <a:spLocks/>
        </xdr:cNvSpPr>
      </xdr:nvSpPr>
      <xdr:spPr>
        <a:xfrm flipH="1" flipV="1">
          <a:off x="12868275" y="18030825"/>
          <a:ext cx="2952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137</xdr:row>
      <xdr:rowOff>28575</xdr:rowOff>
    </xdr:from>
    <xdr:to>
      <xdr:col>12</xdr:col>
      <xdr:colOff>295275</xdr:colOff>
      <xdr:row>137</xdr:row>
      <xdr:rowOff>104775</xdr:rowOff>
    </xdr:to>
    <xdr:sp>
      <xdr:nvSpPr>
        <xdr:cNvPr id="6" name="Line 9"/>
        <xdr:cNvSpPr>
          <a:spLocks/>
        </xdr:cNvSpPr>
      </xdr:nvSpPr>
      <xdr:spPr>
        <a:xfrm flipV="1">
          <a:off x="8296275" y="24584025"/>
          <a:ext cx="257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137</xdr:row>
      <xdr:rowOff>104775</xdr:rowOff>
    </xdr:from>
    <xdr:to>
      <xdr:col>14</xdr:col>
      <xdr:colOff>295275</xdr:colOff>
      <xdr:row>137</xdr:row>
      <xdr:rowOff>104775</xdr:rowOff>
    </xdr:to>
    <xdr:sp>
      <xdr:nvSpPr>
        <xdr:cNvPr id="7" name="Line 10"/>
        <xdr:cNvSpPr>
          <a:spLocks/>
        </xdr:cNvSpPr>
      </xdr:nvSpPr>
      <xdr:spPr>
        <a:xfrm>
          <a:off x="9820275" y="24660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137</xdr:row>
      <xdr:rowOff>114300</xdr:rowOff>
    </xdr:from>
    <xdr:to>
      <xdr:col>18</xdr:col>
      <xdr:colOff>190500</xdr:colOff>
      <xdr:row>137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13134975" y="24669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40"/>
  <sheetViews>
    <sheetView tabSelected="1" workbookViewId="0" topLeftCell="H100">
      <selection activeCell="T115" sqref="T115"/>
    </sheetView>
  </sheetViews>
  <sheetFormatPr defaultColWidth="9.140625" defaultRowHeight="12.75"/>
  <cols>
    <col min="1" max="1" width="4.28125" style="0" customWidth="1"/>
    <col min="2" max="2" width="18.28125" style="0" customWidth="1"/>
    <col min="3" max="5" width="10.28125" style="0" bestFit="1" customWidth="1"/>
    <col min="6" max="6" width="13.8515625" style="0" customWidth="1"/>
    <col min="8" max="8" width="11.28125" style="0" bestFit="1" customWidth="1"/>
    <col min="10" max="10" width="5.00390625" style="0" customWidth="1"/>
    <col min="12" max="12" width="12.8515625" style="0" customWidth="1"/>
    <col min="13" max="13" width="11.28125" style="0" customWidth="1"/>
    <col min="14" max="14" width="12.00390625" style="0" customWidth="1"/>
    <col min="15" max="15" width="12.28125" style="0" customWidth="1"/>
    <col min="16" max="16" width="13.00390625" style="0" customWidth="1"/>
    <col min="17" max="17" width="12.57421875" style="0" customWidth="1"/>
    <col min="18" max="18" width="12.00390625" style="0" customWidth="1"/>
    <col min="19" max="19" width="11.8515625" style="0" customWidth="1"/>
    <col min="20" max="20" width="8.140625" style="0" customWidth="1"/>
  </cols>
  <sheetData>
    <row r="1" ht="24" customHeight="1"/>
    <row r="2" spans="1:16" ht="12.75">
      <c r="A2" s="1">
        <f>ROW()</f>
        <v>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J2" s="1">
        <f>ROW()</f>
        <v>2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</row>
    <row r="3" spans="1:11" ht="18">
      <c r="A3" s="1">
        <f>ROW()</f>
        <v>3</v>
      </c>
      <c r="B3" s="2" t="s">
        <v>13</v>
      </c>
      <c r="J3" s="1">
        <f>ROW()</f>
        <v>3</v>
      </c>
      <c r="K3" s="2" t="s">
        <v>14</v>
      </c>
    </row>
    <row r="4" spans="1:13" ht="12.75">
      <c r="A4" s="1">
        <f>ROW()</f>
        <v>4</v>
      </c>
      <c r="B4" t="s">
        <v>15</v>
      </c>
      <c r="C4" s="3">
        <v>1000</v>
      </c>
      <c r="E4" t="s">
        <v>16</v>
      </c>
      <c r="G4" s="4">
        <f>+C5/2</f>
        <v>0.04</v>
      </c>
      <c r="J4" s="1">
        <f>ROW()</f>
        <v>4</v>
      </c>
      <c r="K4" t="s">
        <v>17</v>
      </c>
      <c r="M4" s="5">
        <f>DATE(2007,1,15)</f>
        <v>39097</v>
      </c>
    </row>
    <row r="5" spans="1:13" ht="12.75">
      <c r="A5" s="1">
        <f>ROW()</f>
        <v>5</v>
      </c>
      <c r="B5" t="s">
        <v>18</v>
      </c>
      <c r="C5" s="6">
        <v>0.08</v>
      </c>
      <c r="E5" t="s">
        <v>19</v>
      </c>
      <c r="G5" s="7">
        <f>+C5*$C$4/2</f>
        <v>40</v>
      </c>
      <c r="H5" t="s">
        <v>20</v>
      </c>
      <c r="J5" s="1">
        <f>ROW()</f>
        <v>5</v>
      </c>
      <c r="K5" t="s">
        <v>21</v>
      </c>
      <c r="M5" s="5">
        <f>DATE(2011,1,15)</f>
        <v>40558</v>
      </c>
    </row>
    <row r="6" spans="1:13" ht="12.75">
      <c r="A6" s="1">
        <f>ROW()</f>
        <v>6</v>
      </c>
      <c r="B6" t="s">
        <v>22</v>
      </c>
      <c r="C6">
        <v>20</v>
      </c>
      <c r="D6" t="s">
        <v>23</v>
      </c>
      <c r="E6" t="s">
        <v>24</v>
      </c>
      <c r="G6">
        <f>+C6*2</f>
        <v>40</v>
      </c>
      <c r="H6" t="s">
        <v>25</v>
      </c>
      <c r="J6" s="1">
        <f>ROW()</f>
        <v>6</v>
      </c>
      <c r="K6" t="s">
        <v>26</v>
      </c>
      <c r="M6" s="8">
        <v>0.0425</v>
      </c>
    </row>
    <row r="7" spans="1:13" ht="12.75">
      <c r="A7" s="1">
        <f>ROW()</f>
        <v>7</v>
      </c>
      <c r="J7" s="1">
        <f>ROW()</f>
        <v>7</v>
      </c>
      <c r="K7" t="s">
        <v>27</v>
      </c>
      <c r="M7" s="9">
        <v>0.0474</v>
      </c>
    </row>
    <row r="8" spans="1:13" ht="12.75">
      <c r="A8" s="1">
        <f>ROW()</f>
        <v>8</v>
      </c>
      <c r="B8" t="s">
        <v>28</v>
      </c>
      <c r="E8" s="10">
        <f>PV(C5/2,G6,-G5)</f>
        <v>791.710955337059</v>
      </c>
      <c r="F8" s="113" t="s">
        <v>29</v>
      </c>
      <c r="J8" s="1">
        <f>ROW()</f>
        <v>8</v>
      </c>
      <c r="K8" t="s">
        <v>30</v>
      </c>
      <c r="M8">
        <v>100</v>
      </c>
    </row>
    <row r="9" spans="1:13" ht="12.75">
      <c r="A9" s="1">
        <f>ROW()</f>
        <v>9</v>
      </c>
      <c r="B9" t="s">
        <v>31</v>
      </c>
      <c r="E9" s="10">
        <f>PV(C5/2,G6,0,-C4,0)</f>
        <v>208.28904466294102</v>
      </c>
      <c r="F9" s="113" t="s">
        <v>32</v>
      </c>
      <c r="J9" s="1">
        <f>ROW()</f>
        <v>9</v>
      </c>
      <c r="K9" t="s">
        <v>33</v>
      </c>
      <c r="M9">
        <v>2</v>
      </c>
    </row>
    <row r="10" spans="1:10" ht="13.5" thickBot="1">
      <c r="A10" s="1">
        <f>ROW()</f>
        <v>10</v>
      </c>
      <c r="B10" t="s">
        <v>34</v>
      </c>
      <c r="E10" s="12">
        <f>SUM(E8:E9)</f>
        <v>1000</v>
      </c>
      <c r="F10" s="10"/>
      <c r="J10" s="1">
        <f>ROW()</f>
        <v>10</v>
      </c>
    </row>
    <row r="11" spans="1:14" ht="13.5" thickTop="1">
      <c r="A11" s="1">
        <f>ROW()</f>
        <v>11</v>
      </c>
      <c r="J11" s="1">
        <f>ROW()</f>
        <v>11</v>
      </c>
      <c r="K11" t="s">
        <v>35</v>
      </c>
      <c r="M11" s="13">
        <f>PRICE(M4,M5,M6,M7,M8,M9)</f>
        <v>98.2335383756395</v>
      </c>
      <c r="N11" s="114" t="s">
        <v>36</v>
      </c>
    </row>
    <row r="12" spans="1:14" ht="12.75">
      <c r="A12" s="1">
        <f>ROW()</f>
        <v>12</v>
      </c>
      <c r="B12" t="s">
        <v>37</v>
      </c>
      <c r="C12" s="14"/>
      <c r="D12" s="15">
        <f>NPV($C$5/2,D17:D56)</f>
        <v>999.9999999999991</v>
      </c>
      <c r="E12" s="15">
        <f>NPV($C$5/2,E17:E56)</f>
        <v>0</v>
      </c>
      <c r="F12" s="15">
        <f>NPV($C$5/2,F17:F56)</f>
        <v>999.9999999999991</v>
      </c>
      <c r="J12" s="1">
        <f>ROW()</f>
        <v>12</v>
      </c>
      <c r="K12" t="s">
        <v>38</v>
      </c>
      <c r="M12" s="16">
        <f>COUPDAYBS(M4,M5,2,1)</f>
        <v>0</v>
      </c>
      <c r="N12" s="115" t="s">
        <v>39</v>
      </c>
    </row>
    <row r="13" spans="1:14" ht="13.5" thickBot="1">
      <c r="A13" s="1">
        <f>ROW()</f>
        <v>13</v>
      </c>
      <c r="D13" s="11" t="s">
        <v>40</v>
      </c>
      <c r="E13" s="17"/>
      <c r="F13" s="17"/>
      <c r="J13" s="1">
        <f>ROW()</f>
        <v>13</v>
      </c>
      <c r="K13" t="s">
        <v>41</v>
      </c>
      <c r="M13" s="16">
        <f>COUPDAYS(M4,M5,2,1)</f>
        <v>181</v>
      </c>
      <c r="N13" s="115" t="s">
        <v>42</v>
      </c>
    </row>
    <row r="14" spans="1:14" ht="13.5" thickBot="1">
      <c r="A14" s="1">
        <f>ROW()</f>
        <v>14</v>
      </c>
      <c r="C14" s="18" t="s">
        <v>43</v>
      </c>
      <c r="D14" s="19"/>
      <c r="E14" s="19"/>
      <c r="F14" s="20"/>
      <c r="J14" s="1">
        <f>ROW()</f>
        <v>14</v>
      </c>
      <c r="K14" t="s">
        <v>44</v>
      </c>
      <c r="M14" s="16">
        <f>(M12/M13)*M6*100/2</f>
        <v>0</v>
      </c>
      <c r="N14" s="115" t="s">
        <v>45</v>
      </c>
    </row>
    <row r="15" spans="1:14" ht="26.25" thickBot="1">
      <c r="A15" s="1">
        <f>ROW()</f>
        <v>15</v>
      </c>
      <c r="C15" s="21" t="s">
        <v>46</v>
      </c>
      <c r="D15" s="22" t="s">
        <v>47</v>
      </c>
      <c r="E15" s="22" t="s">
        <v>48</v>
      </c>
      <c r="F15" s="23" t="s">
        <v>49</v>
      </c>
      <c r="J15" s="1">
        <f>ROW()</f>
        <v>15</v>
      </c>
      <c r="K15" t="s">
        <v>50</v>
      </c>
      <c r="M15" s="13">
        <f>+M11+M14</f>
        <v>98.2335383756395</v>
      </c>
      <c r="N15" s="114" t="s">
        <v>51</v>
      </c>
    </row>
    <row r="16" spans="1:10" ht="12.75">
      <c r="A16" s="1">
        <f>ROW()</f>
        <v>16</v>
      </c>
      <c r="C16" s="24">
        <v>0</v>
      </c>
      <c r="D16" s="25"/>
      <c r="E16" s="25"/>
      <c r="F16" s="26">
        <f>-C4</f>
        <v>-1000</v>
      </c>
      <c r="J16" s="1">
        <f>ROW()</f>
        <v>16</v>
      </c>
    </row>
    <row r="17" spans="1:10" ht="12.75">
      <c r="A17" s="1">
        <f>ROW()</f>
        <v>17</v>
      </c>
      <c r="C17" s="27">
        <v>1</v>
      </c>
      <c r="D17" s="28">
        <f aca="true" t="shared" si="0" ref="D17:D55">+$G$5</f>
        <v>40</v>
      </c>
      <c r="E17" s="29">
        <v>0</v>
      </c>
      <c r="F17" s="30">
        <f>+E17+D17</f>
        <v>40</v>
      </c>
      <c r="J17" s="1">
        <f>ROW()</f>
        <v>17</v>
      </c>
    </row>
    <row r="18" spans="1:13" ht="12.75">
      <c r="A18" s="1">
        <f>ROW()</f>
        <v>18</v>
      </c>
      <c r="C18" s="27">
        <f>+C17+1</f>
        <v>2</v>
      </c>
      <c r="D18" s="28">
        <f t="shared" si="0"/>
        <v>40</v>
      </c>
      <c r="E18" s="29">
        <v>0</v>
      </c>
      <c r="F18" s="30">
        <f aca="true" t="shared" si="1" ref="F18:F56">+E18+D18</f>
        <v>40</v>
      </c>
      <c r="J18" s="1">
        <f>ROW()</f>
        <v>18</v>
      </c>
      <c r="K18" t="s">
        <v>17</v>
      </c>
      <c r="M18" s="31">
        <f>DATE(2007,2,15)</f>
        <v>39128</v>
      </c>
    </row>
    <row r="19" spans="1:13" ht="12.75">
      <c r="A19" s="1">
        <f>ROW()</f>
        <v>19</v>
      </c>
      <c r="C19" s="27">
        <f aca="true" t="shared" si="2" ref="C19:C56">+C18+1</f>
        <v>3</v>
      </c>
      <c r="D19" s="28">
        <f t="shared" si="0"/>
        <v>40</v>
      </c>
      <c r="E19" s="29">
        <v>0</v>
      </c>
      <c r="F19" s="30">
        <f t="shared" si="1"/>
        <v>40</v>
      </c>
      <c r="J19" s="1">
        <f>ROW()</f>
        <v>19</v>
      </c>
      <c r="K19" t="s">
        <v>21</v>
      </c>
      <c r="M19" s="32">
        <f>DATE(2011,1,15)</f>
        <v>40558</v>
      </c>
    </row>
    <row r="20" spans="1:13" ht="12.75">
      <c r="A20" s="1">
        <f>ROW()</f>
        <v>20</v>
      </c>
      <c r="C20" s="27">
        <f t="shared" si="2"/>
        <v>4</v>
      </c>
      <c r="D20" s="28">
        <f t="shared" si="0"/>
        <v>40</v>
      </c>
      <c r="E20" s="29">
        <v>0</v>
      </c>
      <c r="F20" s="30">
        <f t="shared" si="1"/>
        <v>40</v>
      </c>
      <c r="J20" s="1">
        <f>ROW()</f>
        <v>20</v>
      </c>
      <c r="K20" t="s">
        <v>26</v>
      </c>
      <c r="M20" s="8">
        <v>0.0425</v>
      </c>
    </row>
    <row r="21" spans="1:13" ht="12.75">
      <c r="A21" s="1">
        <f>ROW()</f>
        <v>21</v>
      </c>
      <c r="C21" s="27">
        <f t="shared" si="2"/>
        <v>5</v>
      </c>
      <c r="D21" s="28">
        <f t="shared" si="0"/>
        <v>40</v>
      </c>
      <c r="E21" s="29">
        <v>0</v>
      </c>
      <c r="F21" s="30">
        <f t="shared" si="1"/>
        <v>40</v>
      </c>
      <c r="J21" s="1">
        <f>ROW()</f>
        <v>21</v>
      </c>
      <c r="K21" t="s">
        <v>27</v>
      </c>
      <c r="M21" s="9">
        <v>0.0474</v>
      </c>
    </row>
    <row r="22" spans="1:13" ht="12.75">
      <c r="A22" s="1">
        <f>ROW()</f>
        <v>22</v>
      </c>
      <c r="C22" s="27">
        <f t="shared" si="2"/>
        <v>6</v>
      </c>
      <c r="D22" s="28">
        <f t="shared" si="0"/>
        <v>40</v>
      </c>
      <c r="E22" s="29">
        <v>0</v>
      </c>
      <c r="F22" s="30">
        <f t="shared" si="1"/>
        <v>40</v>
      </c>
      <c r="J22" s="1">
        <f>ROW()</f>
        <v>22</v>
      </c>
      <c r="K22" t="s">
        <v>30</v>
      </c>
      <c r="M22">
        <v>100</v>
      </c>
    </row>
    <row r="23" spans="1:13" ht="12.75">
      <c r="A23" s="1">
        <f>ROW()</f>
        <v>23</v>
      </c>
      <c r="C23" s="27">
        <f t="shared" si="2"/>
        <v>7</v>
      </c>
      <c r="D23" s="28">
        <f t="shared" si="0"/>
        <v>40</v>
      </c>
      <c r="E23" s="29">
        <v>0</v>
      </c>
      <c r="F23" s="30">
        <f t="shared" si="1"/>
        <v>40</v>
      </c>
      <c r="J23" s="1">
        <f>ROW()</f>
        <v>23</v>
      </c>
      <c r="K23" t="s">
        <v>33</v>
      </c>
      <c r="M23">
        <v>2</v>
      </c>
    </row>
    <row r="24" spans="1:10" ht="12.75">
      <c r="A24" s="1">
        <f>ROW()</f>
        <v>24</v>
      </c>
      <c r="C24" s="27">
        <f t="shared" si="2"/>
        <v>8</v>
      </c>
      <c r="D24" s="28">
        <f t="shared" si="0"/>
        <v>40</v>
      </c>
      <c r="E24" s="29">
        <v>0</v>
      </c>
      <c r="F24" s="30">
        <f t="shared" si="1"/>
        <v>40</v>
      </c>
      <c r="J24" s="1">
        <f>ROW()</f>
        <v>24</v>
      </c>
    </row>
    <row r="25" spans="1:13" ht="12.75">
      <c r="A25" s="1">
        <f>ROW()</f>
        <v>25</v>
      </c>
      <c r="C25" s="27">
        <f t="shared" si="2"/>
        <v>9</v>
      </c>
      <c r="D25" s="28">
        <f t="shared" si="0"/>
        <v>40</v>
      </c>
      <c r="E25" s="29">
        <v>0</v>
      </c>
      <c r="F25" s="30">
        <f t="shared" si="1"/>
        <v>40</v>
      </c>
      <c r="J25" s="1">
        <f>ROW()</f>
        <v>25</v>
      </c>
      <c r="K25" t="s">
        <v>35</v>
      </c>
      <c r="M25" s="13">
        <f>PRICE(M18,M19,M20,M21,M22,M23)</f>
        <v>98.26361704467679</v>
      </c>
    </row>
    <row r="26" spans="1:13" ht="12.75">
      <c r="A26" s="1">
        <f>ROW()</f>
        <v>26</v>
      </c>
      <c r="C26" s="27">
        <f t="shared" si="2"/>
        <v>10</v>
      </c>
      <c r="D26" s="28">
        <f t="shared" si="0"/>
        <v>40</v>
      </c>
      <c r="E26" s="29">
        <v>0</v>
      </c>
      <c r="F26" s="30">
        <f t="shared" si="1"/>
        <v>40</v>
      </c>
      <c r="J26" s="1">
        <f>ROW()</f>
        <v>26</v>
      </c>
      <c r="K26" t="s">
        <v>38</v>
      </c>
      <c r="M26" s="33">
        <f>COUPDAYBS(M18,M19,2,1)</f>
        <v>31</v>
      </c>
    </row>
    <row r="27" spans="1:13" ht="12.75">
      <c r="A27" s="1">
        <f>ROW()</f>
        <v>27</v>
      </c>
      <c r="C27" s="27">
        <f t="shared" si="2"/>
        <v>11</v>
      </c>
      <c r="D27" s="28">
        <f t="shared" si="0"/>
        <v>40</v>
      </c>
      <c r="E27" s="29">
        <v>0</v>
      </c>
      <c r="F27" s="30">
        <f t="shared" si="1"/>
        <v>40</v>
      </c>
      <c r="J27" s="1">
        <f>ROW()</f>
        <v>27</v>
      </c>
      <c r="K27" t="s">
        <v>41</v>
      </c>
      <c r="M27" s="16">
        <f>COUPDAYS(M18,M19,2,1)</f>
        <v>181</v>
      </c>
    </row>
    <row r="28" spans="1:13" ht="12.75">
      <c r="A28" s="1">
        <f>ROW()</f>
        <v>28</v>
      </c>
      <c r="C28" s="27">
        <f t="shared" si="2"/>
        <v>12</v>
      </c>
      <c r="D28" s="28">
        <f t="shared" si="0"/>
        <v>40</v>
      </c>
      <c r="E28" s="29">
        <v>0</v>
      </c>
      <c r="F28" s="30">
        <f t="shared" si="1"/>
        <v>40</v>
      </c>
      <c r="J28" s="1">
        <f>ROW()</f>
        <v>28</v>
      </c>
      <c r="K28" t="s">
        <v>44</v>
      </c>
      <c r="M28" s="16">
        <f>(M26/M27)*M20*100/2</f>
        <v>0.36395027624309395</v>
      </c>
    </row>
    <row r="29" spans="1:13" ht="12.75">
      <c r="A29" s="1">
        <f>ROW()</f>
        <v>29</v>
      </c>
      <c r="C29" s="27">
        <f t="shared" si="2"/>
        <v>13</v>
      </c>
      <c r="D29" s="28">
        <f t="shared" si="0"/>
        <v>40</v>
      </c>
      <c r="E29" s="29">
        <v>0</v>
      </c>
      <c r="F29" s="30">
        <f t="shared" si="1"/>
        <v>40</v>
      </c>
      <c r="J29" s="1">
        <f>ROW()</f>
        <v>29</v>
      </c>
      <c r="K29" t="s">
        <v>50</v>
      </c>
      <c r="M29" s="13">
        <f>+M25+M28</f>
        <v>98.62756732091988</v>
      </c>
    </row>
    <row r="30" spans="1:10" ht="12.75">
      <c r="A30" s="1">
        <f>ROW()</f>
        <v>30</v>
      </c>
      <c r="C30" s="27">
        <f t="shared" si="2"/>
        <v>14</v>
      </c>
      <c r="D30" s="28">
        <f t="shared" si="0"/>
        <v>40</v>
      </c>
      <c r="E30" s="29">
        <v>0</v>
      </c>
      <c r="F30" s="30">
        <f t="shared" si="1"/>
        <v>40</v>
      </c>
      <c r="J30" s="1">
        <f>ROW()</f>
        <v>30</v>
      </c>
    </row>
    <row r="31" spans="1:10" ht="12.75">
      <c r="A31" s="1">
        <f>ROW()</f>
        <v>31</v>
      </c>
      <c r="C31" s="27">
        <f t="shared" si="2"/>
        <v>15</v>
      </c>
      <c r="D31" s="28">
        <f t="shared" si="0"/>
        <v>40</v>
      </c>
      <c r="E31" s="29">
        <v>0</v>
      </c>
      <c r="F31" s="30">
        <f t="shared" si="1"/>
        <v>40</v>
      </c>
      <c r="J31" s="1">
        <f>ROW()</f>
        <v>31</v>
      </c>
    </row>
    <row r="32" spans="1:10" ht="12.75">
      <c r="A32" s="1">
        <f>ROW()</f>
        <v>32</v>
      </c>
      <c r="C32" s="27">
        <f t="shared" si="2"/>
        <v>16</v>
      </c>
      <c r="D32" s="28">
        <f t="shared" si="0"/>
        <v>40</v>
      </c>
      <c r="E32" s="29">
        <v>0</v>
      </c>
      <c r="F32" s="30">
        <f t="shared" si="1"/>
        <v>40</v>
      </c>
      <c r="J32" s="34"/>
    </row>
    <row r="33" spans="1:10" ht="12.75">
      <c r="A33" s="1">
        <f>ROW()</f>
        <v>33</v>
      </c>
      <c r="C33" s="27">
        <f t="shared" si="2"/>
        <v>17</v>
      </c>
      <c r="D33" s="28">
        <f t="shared" si="0"/>
        <v>40</v>
      </c>
      <c r="E33" s="29">
        <v>0</v>
      </c>
      <c r="F33" s="30">
        <f t="shared" si="1"/>
        <v>40</v>
      </c>
      <c r="J33" s="34"/>
    </row>
    <row r="34" spans="1:10" ht="12.75">
      <c r="A34" s="1">
        <f>ROW()</f>
        <v>34</v>
      </c>
      <c r="C34" s="27">
        <f t="shared" si="2"/>
        <v>18</v>
      </c>
      <c r="D34" s="28">
        <f t="shared" si="0"/>
        <v>40</v>
      </c>
      <c r="E34" s="29">
        <v>0</v>
      </c>
      <c r="F34" s="30">
        <f t="shared" si="1"/>
        <v>40</v>
      </c>
      <c r="J34" s="34"/>
    </row>
    <row r="35" spans="1:10" ht="12.75">
      <c r="A35" s="1">
        <f>ROW()</f>
        <v>35</v>
      </c>
      <c r="C35" s="27">
        <f t="shared" si="2"/>
        <v>19</v>
      </c>
      <c r="D35" s="28">
        <f t="shared" si="0"/>
        <v>40</v>
      </c>
      <c r="E35" s="29">
        <v>0</v>
      </c>
      <c r="F35" s="30">
        <f t="shared" si="1"/>
        <v>40</v>
      </c>
      <c r="J35" s="34"/>
    </row>
    <row r="36" spans="1:10" ht="12.75">
      <c r="A36" s="1">
        <f>ROW()</f>
        <v>36</v>
      </c>
      <c r="C36" s="27">
        <f t="shared" si="2"/>
        <v>20</v>
      </c>
      <c r="D36" s="28">
        <f t="shared" si="0"/>
        <v>40</v>
      </c>
      <c r="E36" s="29">
        <v>0</v>
      </c>
      <c r="F36" s="30">
        <f t="shared" si="1"/>
        <v>40</v>
      </c>
      <c r="J36" s="34"/>
    </row>
    <row r="37" spans="1:10" ht="12.75">
      <c r="A37" s="1">
        <f>ROW()</f>
        <v>37</v>
      </c>
      <c r="C37" s="27">
        <f t="shared" si="2"/>
        <v>21</v>
      </c>
      <c r="D37" s="28">
        <f t="shared" si="0"/>
        <v>40</v>
      </c>
      <c r="E37" s="29">
        <v>0</v>
      </c>
      <c r="F37" s="30">
        <f t="shared" si="1"/>
        <v>40</v>
      </c>
      <c r="J37" s="34"/>
    </row>
    <row r="38" spans="1:10" ht="12.75">
      <c r="A38" s="1">
        <f>ROW()</f>
        <v>38</v>
      </c>
      <c r="C38" s="27">
        <f t="shared" si="2"/>
        <v>22</v>
      </c>
      <c r="D38" s="28">
        <f t="shared" si="0"/>
        <v>40</v>
      </c>
      <c r="E38" s="29">
        <v>0</v>
      </c>
      <c r="F38" s="30">
        <f t="shared" si="1"/>
        <v>40</v>
      </c>
      <c r="J38" s="34"/>
    </row>
    <row r="39" spans="1:10" ht="12.75">
      <c r="A39" s="1">
        <f>ROW()</f>
        <v>39</v>
      </c>
      <c r="C39" s="27">
        <f t="shared" si="2"/>
        <v>23</v>
      </c>
      <c r="D39" s="28">
        <f t="shared" si="0"/>
        <v>40</v>
      </c>
      <c r="E39" s="29">
        <v>0</v>
      </c>
      <c r="F39" s="30">
        <f t="shared" si="1"/>
        <v>40</v>
      </c>
      <c r="J39" s="34"/>
    </row>
    <row r="40" spans="1:10" ht="12.75">
      <c r="A40" s="1">
        <f>ROW()</f>
        <v>40</v>
      </c>
      <c r="C40" s="27">
        <f t="shared" si="2"/>
        <v>24</v>
      </c>
      <c r="D40" s="28">
        <f t="shared" si="0"/>
        <v>40</v>
      </c>
      <c r="E40" s="29">
        <v>0</v>
      </c>
      <c r="F40" s="30">
        <f t="shared" si="1"/>
        <v>40</v>
      </c>
      <c r="J40" s="34"/>
    </row>
    <row r="41" spans="1:10" ht="12.75">
      <c r="A41" s="1">
        <f>ROW()</f>
        <v>41</v>
      </c>
      <c r="C41" s="27">
        <f t="shared" si="2"/>
        <v>25</v>
      </c>
      <c r="D41" s="28">
        <f t="shared" si="0"/>
        <v>40</v>
      </c>
      <c r="E41" s="29">
        <v>0</v>
      </c>
      <c r="F41" s="30">
        <f t="shared" si="1"/>
        <v>40</v>
      </c>
      <c r="J41" s="34"/>
    </row>
    <row r="42" spans="1:10" ht="12.75">
      <c r="A42" s="1">
        <f>ROW()</f>
        <v>42</v>
      </c>
      <c r="C42" s="27">
        <f t="shared" si="2"/>
        <v>26</v>
      </c>
      <c r="D42" s="28">
        <f t="shared" si="0"/>
        <v>40</v>
      </c>
      <c r="E42" s="29">
        <v>0</v>
      </c>
      <c r="F42" s="30">
        <f t="shared" si="1"/>
        <v>40</v>
      </c>
      <c r="J42" s="34"/>
    </row>
    <row r="43" spans="1:10" ht="12.75">
      <c r="A43" s="1">
        <f>ROW()</f>
        <v>43</v>
      </c>
      <c r="C43" s="27">
        <f t="shared" si="2"/>
        <v>27</v>
      </c>
      <c r="D43" s="28">
        <f t="shared" si="0"/>
        <v>40</v>
      </c>
      <c r="E43" s="29">
        <v>0</v>
      </c>
      <c r="F43" s="30">
        <f t="shared" si="1"/>
        <v>40</v>
      </c>
      <c r="J43" s="34"/>
    </row>
    <row r="44" spans="1:10" ht="12.75">
      <c r="A44" s="1">
        <f>ROW()</f>
        <v>44</v>
      </c>
      <c r="C44" s="27">
        <f t="shared" si="2"/>
        <v>28</v>
      </c>
      <c r="D44" s="28">
        <f t="shared" si="0"/>
        <v>40</v>
      </c>
      <c r="E44" s="29">
        <v>0</v>
      </c>
      <c r="F44" s="30">
        <f t="shared" si="1"/>
        <v>40</v>
      </c>
      <c r="J44" s="34"/>
    </row>
    <row r="45" spans="1:10" ht="12.75">
      <c r="A45" s="1">
        <f>ROW()</f>
        <v>45</v>
      </c>
      <c r="C45" s="27">
        <f t="shared" si="2"/>
        <v>29</v>
      </c>
      <c r="D45" s="28">
        <f t="shared" si="0"/>
        <v>40</v>
      </c>
      <c r="E45" s="29">
        <v>0</v>
      </c>
      <c r="F45" s="30">
        <f t="shared" si="1"/>
        <v>40</v>
      </c>
      <c r="J45" s="34"/>
    </row>
    <row r="46" spans="1:10" ht="12.75">
      <c r="A46" s="1">
        <f>ROW()</f>
        <v>46</v>
      </c>
      <c r="C46" s="27">
        <f t="shared" si="2"/>
        <v>30</v>
      </c>
      <c r="D46" s="28">
        <f t="shared" si="0"/>
        <v>40</v>
      </c>
      <c r="E46" s="29">
        <v>0</v>
      </c>
      <c r="F46" s="30">
        <f t="shared" si="1"/>
        <v>40</v>
      </c>
      <c r="J46" s="34"/>
    </row>
    <row r="47" spans="1:10" ht="12.75">
      <c r="A47" s="1">
        <f>ROW()</f>
        <v>47</v>
      </c>
      <c r="C47" s="27">
        <f t="shared" si="2"/>
        <v>31</v>
      </c>
      <c r="D47" s="28">
        <f t="shared" si="0"/>
        <v>40</v>
      </c>
      <c r="E47" s="29">
        <v>0</v>
      </c>
      <c r="F47" s="30">
        <f t="shared" si="1"/>
        <v>40</v>
      </c>
      <c r="J47" s="34"/>
    </row>
    <row r="48" spans="1:10" ht="12.75">
      <c r="A48" s="1">
        <f>ROW()</f>
        <v>48</v>
      </c>
      <c r="C48" s="27">
        <f t="shared" si="2"/>
        <v>32</v>
      </c>
      <c r="D48" s="28">
        <f t="shared" si="0"/>
        <v>40</v>
      </c>
      <c r="E48" s="29">
        <v>0</v>
      </c>
      <c r="F48" s="30">
        <f t="shared" si="1"/>
        <v>40</v>
      </c>
      <c r="J48" s="34"/>
    </row>
    <row r="49" spans="1:10" ht="12.75">
      <c r="A49" s="1">
        <f>ROW()</f>
        <v>49</v>
      </c>
      <c r="C49" s="27">
        <f t="shared" si="2"/>
        <v>33</v>
      </c>
      <c r="D49" s="28">
        <f t="shared" si="0"/>
        <v>40</v>
      </c>
      <c r="E49" s="29">
        <v>0</v>
      </c>
      <c r="F49" s="30">
        <f t="shared" si="1"/>
        <v>40</v>
      </c>
      <c r="J49" s="34"/>
    </row>
    <row r="50" spans="1:10" ht="12.75">
      <c r="A50" s="1">
        <f>ROW()</f>
        <v>50</v>
      </c>
      <c r="C50" s="27">
        <f t="shared" si="2"/>
        <v>34</v>
      </c>
      <c r="D50" s="28">
        <f t="shared" si="0"/>
        <v>40</v>
      </c>
      <c r="E50" s="29">
        <v>0</v>
      </c>
      <c r="F50" s="30">
        <f t="shared" si="1"/>
        <v>40</v>
      </c>
      <c r="J50" s="34"/>
    </row>
    <row r="51" spans="1:10" ht="12.75">
      <c r="A51" s="1">
        <f>ROW()</f>
        <v>51</v>
      </c>
      <c r="C51" s="27">
        <f t="shared" si="2"/>
        <v>35</v>
      </c>
      <c r="D51" s="28">
        <f t="shared" si="0"/>
        <v>40</v>
      </c>
      <c r="E51" s="29">
        <v>0</v>
      </c>
      <c r="F51" s="30">
        <f t="shared" si="1"/>
        <v>40</v>
      </c>
      <c r="J51" s="34"/>
    </row>
    <row r="52" spans="1:10" ht="12.75">
      <c r="A52" s="1">
        <f>ROW()</f>
        <v>52</v>
      </c>
      <c r="C52" s="27">
        <f t="shared" si="2"/>
        <v>36</v>
      </c>
      <c r="D52" s="28">
        <f t="shared" si="0"/>
        <v>40</v>
      </c>
      <c r="E52" s="29">
        <v>0</v>
      </c>
      <c r="F52" s="30">
        <f t="shared" si="1"/>
        <v>40</v>
      </c>
      <c r="J52" s="34"/>
    </row>
    <row r="53" spans="1:10" ht="12.75">
      <c r="A53" s="1">
        <f>ROW()</f>
        <v>53</v>
      </c>
      <c r="C53" s="27">
        <f t="shared" si="2"/>
        <v>37</v>
      </c>
      <c r="D53" s="28">
        <f t="shared" si="0"/>
        <v>40</v>
      </c>
      <c r="E53" s="29">
        <v>0</v>
      </c>
      <c r="F53" s="30">
        <f t="shared" si="1"/>
        <v>40</v>
      </c>
      <c r="J53" s="34"/>
    </row>
    <row r="54" spans="1:10" ht="12.75">
      <c r="A54" s="1">
        <f>ROW()</f>
        <v>54</v>
      </c>
      <c r="C54" s="27">
        <f t="shared" si="2"/>
        <v>38</v>
      </c>
      <c r="D54" s="28">
        <f t="shared" si="0"/>
        <v>40</v>
      </c>
      <c r="E54" s="29">
        <v>0</v>
      </c>
      <c r="F54" s="30">
        <f t="shared" si="1"/>
        <v>40</v>
      </c>
      <c r="J54" s="34"/>
    </row>
    <row r="55" spans="1:10" ht="12.75">
      <c r="A55" s="1">
        <f>ROW()</f>
        <v>55</v>
      </c>
      <c r="C55" s="27">
        <f t="shared" si="2"/>
        <v>39</v>
      </c>
      <c r="D55" s="28">
        <f t="shared" si="0"/>
        <v>40</v>
      </c>
      <c r="E55" s="29">
        <v>0</v>
      </c>
      <c r="F55" s="30">
        <f t="shared" si="1"/>
        <v>40</v>
      </c>
      <c r="J55" s="34"/>
    </row>
    <row r="56" spans="1:10" ht="13.5" thickBot="1">
      <c r="A56" s="1">
        <f>ROW()</f>
        <v>56</v>
      </c>
      <c r="C56" s="27">
        <f t="shared" si="2"/>
        <v>40</v>
      </c>
      <c r="D56" s="28">
        <f>+$G$5+C4</f>
        <v>1040</v>
      </c>
      <c r="E56" s="29">
        <v>0</v>
      </c>
      <c r="F56" s="30">
        <f t="shared" si="1"/>
        <v>1040</v>
      </c>
      <c r="J56" s="34"/>
    </row>
    <row r="57" spans="1:10" ht="13.5" thickBot="1">
      <c r="A57" s="1">
        <f>ROW()</f>
        <v>57</v>
      </c>
      <c r="C57" s="35" t="s">
        <v>52</v>
      </c>
      <c r="D57" s="36"/>
      <c r="E57" s="36"/>
      <c r="F57" s="37">
        <f>IRR(F16:F56)</f>
        <v>0.04000000000000008</v>
      </c>
      <c r="J57" s="34"/>
    </row>
    <row r="58" spans="1:6" ht="13.5" thickBot="1">
      <c r="A58" s="1">
        <f>ROW()</f>
        <v>58</v>
      </c>
      <c r="C58" s="38"/>
      <c r="D58" s="39"/>
      <c r="E58" s="39"/>
      <c r="F58" s="40"/>
    </row>
    <row r="59" ht="12.75">
      <c r="A59" s="1">
        <f>ROW()</f>
        <v>59</v>
      </c>
    </row>
    <row r="62" spans="1:17" ht="12.75">
      <c r="A62" s="1">
        <f>ROW()</f>
        <v>62</v>
      </c>
      <c r="B62" s="1" t="s">
        <v>0</v>
      </c>
      <c r="C62" s="1" t="s">
        <v>1</v>
      </c>
      <c r="D62" s="1" t="s">
        <v>2</v>
      </c>
      <c r="E62" s="1" t="s">
        <v>3</v>
      </c>
      <c r="F62" s="1" t="s">
        <v>4</v>
      </c>
      <c r="G62" s="1" t="s">
        <v>5</v>
      </c>
      <c r="H62" s="1" t="s">
        <v>6</v>
      </c>
      <c r="J62" s="1">
        <f>ROW()</f>
        <v>62</v>
      </c>
      <c r="K62" s="1" t="s">
        <v>7</v>
      </c>
      <c r="L62" s="1" t="s">
        <v>8</v>
      </c>
      <c r="M62" s="1" t="s">
        <v>9</v>
      </c>
      <c r="N62" s="1" t="s">
        <v>10</v>
      </c>
      <c r="O62" s="1" t="s">
        <v>11</v>
      </c>
      <c r="P62" s="1" t="s">
        <v>12</v>
      </c>
      <c r="Q62" s="1" t="s">
        <v>53</v>
      </c>
    </row>
    <row r="63" spans="1:11" ht="18">
      <c r="A63" s="1">
        <f>ROW()</f>
        <v>63</v>
      </c>
      <c r="B63" s="2" t="s">
        <v>54</v>
      </c>
      <c r="J63" s="1">
        <f>ROW()</f>
        <v>63</v>
      </c>
      <c r="K63" s="2" t="s">
        <v>55</v>
      </c>
    </row>
    <row r="64" spans="1:10" ht="12.75">
      <c r="A64" s="1">
        <f>ROW()</f>
        <v>64</v>
      </c>
      <c r="J64" s="1">
        <f>ROW()</f>
        <v>64</v>
      </c>
    </row>
    <row r="65" spans="1:16" ht="12.75">
      <c r="A65" s="1">
        <f>ROW()</f>
        <v>65</v>
      </c>
      <c r="B65" t="s">
        <v>17</v>
      </c>
      <c r="D65" s="5">
        <f>DATE(2000,1,1)</f>
        <v>36526</v>
      </c>
      <c r="J65" s="1">
        <f>ROW()</f>
        <v>65</v>
      </c>
      <c r="M65" s="41" t="s">
        <v>56</v>
      </c>
      <c r="N65" s="42"/>
      <c r="O65" s="42"/>
      <c r="P65" s="41" t="s">
        <v>57</v>
      </c>
    </row>
    <row r="66" spans="1:16" ht="12.75">
      <c r="A66" s="1">
        <f>ROW()</f>
        <v>66</v>
      </c>
      <c r="B66" t="s">
        <v>21</v>
      </c>
      <c r="D66" s="5">
        <f>DATE(2010,1,1)</f>
        <v>40179</v>
      </c>
      <c r="J66" s="1">
        <f>ROW()</f>
        <v>66</v>
      </c>
      <c r="K66" t="s">
        <v>17</v>
      </c>
      <c r="M66" s="5">
        <f>DATE(2000,1,1)</f>
        <v>36526</v>
      </c>
      <c r="P66" s="5">
        <f>DATE(2000,1,1)</f>
        <v>36526</v>
      </c>
    </row>
    <row r="67" spans="1:16" ht="12.75">
      <c r="A67" s="1">
        <f>ROW()</f>
        <v>67</v>
      </c>
      <c r="B67" t="s">
        <v>26</v>
      </c>
      <c r="D67" s="8">
        <v>0.08</v>
      </c>
      <c r="J67" s="1">
        <f>ROW()</f>
        <v>67</v>
      </c>
      <c r="K67" t="s">
        <v>58</v>
      </c>
      <c r="M67" s="5">
        <f>DATE(2010,1,1)</f>
        <v>40179</v>
      </c>
      <c r="P67" s="5">
        <f>DATE(2030,1,1)</f>
        <v>47484</v>
      </c>
    </row>
    <row r="68" spans="1:16" ht="12.75">
      <c r="A68" s="1">
        <f>ROW()</f>
        <v>68</v>
      </c>
      <c r="B68" t="s">
        <v>59</v>
      </c>
      <c r="D68">
        <v>110</v>
      </c>
      <c r="J68" s="1">
        <f>ROW()</f>
        <v>68</v>
      </c>
      <c r="K68" t="s">
        <v>26</v>
      </c>
      <c r="M68" s="6">
        <v>0.08</v>
      </c>
      <c r="P68" s="6">
        <v>0.08</v>
      </c>
    </row>
    <row r="69" spans="1:16" ht="12.75">
      <c r="A69" s="1">
        <f>ROW()</f>
        <v>69</v>
      </c>
      <c r="B69" t="s">
        <v>60</v>
      </c>
      <c r="D69">
        <v>100</v>
      </c>
      <c r="J69" s="1">
        <f>ROW()</f>
        <v>69</v>
      </c>
      <c r="K69" t="s">
        <v>61</v>
      </c>
      <c r="M69" s="43">
        <f>+M68*500</f>
        <v>40</v>
      </c>
      <c r="N69" s="43"/>
      <c r="O69" s="43"/>
      <c r="P69" s="43">
        <f>+P68*500</f>
        <v>40</v>
      </c>
    </row>
    <row r="70" spans="1:17" ht="12.75">
      <c r="A70" s="1">
        <f>ROW()</f>
        <v>70</v>
      </c>
      <c r="B70" t="s">
        <v>62</v>
      </c>
      <c r="D70">
        <v>2</v>
      </c>
      <c r="J70" s="1">
        <f>ROW()</f>
        <v>70</v>
      </c>
      <c r="K70" t="s">
        <v>63</v>
      </c>
      <c r="M70">
        <v>20</v>
      </c>
      <c r="N70" t="s">
        <v>64</v>
      </c>
      <c r="P70">
        <v>60</v>
      </c>
      <c r="Q70" t="s">
        <v>64</v>
      </c>
    </row>
    <row r="71" spans="1:16" ht="12.75">
      <c r="A71" s="1">
        <f>ROW()</f>
        <v>71</v>
      </c>
      <c r="J71" s="1">
        <f>ROW()</f>
        <v>71</v>
      </c>
      <c r="K71" t="s">
        <v>65</v>
      </c>
      <c r="M71" s="44">
        <v>110</v>
      </c>
      <c r="N71" s="44"/>
      <c r="O71" s="44"/>
      <c r="P71" s="44">
        <v>100</v>
      </c>
    </row>
    <row r="72" spans="1:16" ht="12.75">
      <c r="A72" s="1">
        <f>ROW()</f>
        <v>72</v>
      </c>
      <c r="B72" t="s">
        <v>27</v>
      </c>
      <c r="D72" s="45">
        <f>YIELD(D65,D66,D67,D68,D69,D70)</f>
        <v>0.06617048546134935</v>
      </c>
      <c r="E72" s="116" t="s">
        <v>66</v>
      </c>
      <c r="J72" s="1">
        <f>ROW()</f>
        <v>72</v>
      </c>
      <c r="K72" t="s">
        <v>67</v>
      </c>
      <c r="M72" s="44">
        <f>+M71</f>
        <v>110</v>
      </c>
      <c r="N72" s="44"/>
      <c r="O72" s="44"/>
      <c r="P72" s="44">
        <v>100</v>
      </c>
    </row>
    <row r="73" spans="1:16" ht="13.5" thickBot="1">
      <c r="A73" s="1">
        <f>ROW()</f>
        <v>73</v>
      </c>
      <c r="J73" s="1">
        <f>ROW()</f>
        <v>73</v>
      </c>
      <c r="K73" t="s">
        <v>68</v>
      </c>
      <c r="M73" s="44">
        <v>115</v>
      </c>
      <c r="N73" s="44"/>
      <c r="O73" s="44"/>
      <c r="P73" s="44">
        <v>115</v>
      </c>
    </row>
    <row r="74" spans="1:10" ht="13.5" thickBot="1">
      <c r="A74" s="1">
        <f>ROW()</f>
        <v>74</v>
      </c>
      <c r="C74" s="18" t="s">
        <v>43</v>
      </c>
      <c r="D74" s="19"/>
      <c r="E74" s="19"/>
      <c r="F74" s="20"/>
      <c r="J74" s="1">
        <f>ROW()</f>
        <v>74</v>
      </c>
    </row>
    <row r="75" spans="1:16" ht="26.25" thickBot="1">
      <c r="A75" s="1">
        <f>ROW()</f>
        <v>75</v>
      </c>
      <c r="C75" s="21" t="s">
        <v>46</v>
      </c>
      <c r="D75" s="22" t="s">
        <v>47</v>
      </c>
      <c r="E75" s="22" t="s">
        <v>48</v>
      </c>
      <c r="F75" s="23" t="s">
        <v>49</v>
      </c>
      <c r="J75" s="1">
        <f>ROW()</f>
        <v>75</v>
      </c>
      <c r="K75" t="s">
        <v>69</v>
      </c>
      <c r="M75" s="46">
        <f>YIELD(M66,M67,M68,M73,M72,2)</f>
        <v>0.06643358287131021</v>
      </c>
      <c r="P75" s="47">
        <f>YIELD(P66,P67,P68,P73,P72,2)</f>
        <v>0.06819167128654308</v>
      </c>
    </row>
    <row r="76" spans="1:10" ht="12.75">
      <c r="A76" s="1">
        <f>ROW()</f>
        <v>76</v>
      </c>
      <c r="C76" s="24">
        <v>0</v>
      </c>
      <c r="D76" s="25"/>
      <c r="E76" s="25"/>
      <c r="F76" s="26">
        <f>-D68*10</f>
        <v>-1100</v>
      </c>
      <c r="J76" s="1">
        <f>ROW()</f>
        <v>76</v>
      </c>
    </row>
    <row r="77" spans="1:14" ht="12.75">
      <c r="A77" s="1">
        <f>ROW()</f>
        <v>77</v>
      </c>
      <c r="C77" s="27">
        <v>1</v>
      </c>
      <c r="D77" s="28">
        <f>+$D$67/2*1000</f>
        <v>40</v>
      </c>
      <c r="E77" s="29">
        <v>0</v>
      </c>
      <c r="F77" s="30">
        <f>+E77+D77</f>
        <v>40</v>
      </c>
      <c r="J77" s="1">
        <f>ROW()</f>
        <v>77</v>
      </c>
      <c r="M77" s="118" t="s">
        <v>70</v>
      </c>
      <c r="N77" s="117"/>
    </row>
    <row r="78" spans="1:10" ht="12.75">
      <c r="A78" s="1">
        <f>ROW()</f>
        <v>78</v>
      </c>
      <c r="C78" s="27">
        <f>+C77+1</f>
        <v>2</v>
      </c>
      <c r="D78" s="28">
        <f aca="true" t="shared" si="3" ref="D78:D96">+$D$67/2*1000</f>
        <v>40</v>
      </c>
      <c r="E78" s="29">
        <v>0</v>
      </c>
      <c r="F78" s="30">
        <f aca="true" t="shared" si="4" ref="F78:F96">+E78+D78</f>
        <v>40</v>
      </c>
      <c r="J78" s="1">
        <f>ROW()</f>
        <v>78</v>
      </c>
    </row>
    <row r="79" spans="1:6" ht="12.75">
      <c r="A79" s="1">
        <f>ROW()</f>
        <v>79</v>
      </c>
      <c r="C79" s="27">
        <f aca="true" t="shared" si="5" ref="C79:C96">+C78+1</f>
        <v>3</v>
      </c>
      <c r="D79" s="28">
        <f t="shared" si="3"/>
        <v>40</v>
      </c>
      <c r="E79" s="29">
        <v>0</v>
      </c>
      <c r="F79" s="30">
        <f t="shared" si="4"/>
        <v>40</v>
      </c>
    </row>
    <row r="80" spans="1:6" ht="12.75">
      <c r="A80" s="1">
        <f>ROW()</f>
        <v>80</v>
      </c>
      <c r="C80" s="27">
        <f t="shared" si="5"/>
        <v>4</v>
      </c>
      <c r="D80" s="28">
        <f t="shared" si="3"/>
        <v>40</v>
      </c>
      <c r="E80" s="29">
        <v>0</v>
      </c>
      <c r="F80" s="30">
        <f t="shared" si="4"/>
        <v>40</v>
      </c>
    </row>
    <row r="81" spans="1:17" ht="12.75">
      <c r="A81" s="1">
        <f>ROW()</f>
        <v>81</v>
      </c>
      <c r="C81" s="27">
        <f t="shared" si="5"/>
        <v>5</v>
      </c>
      <c r="D81" s="28">
        <f t="shared" si="3"/>
        <v>40</v>
      </c>
      <c r="E81" s="29">
        <v>0</v>
      </c>
      <c r="F81" s="30">
        <f t="shared" si="4"/>
        <v>40</v>
      </c>
      <c r="J81" s="1">
        <f>ROW()</f>
        <v>81</v>
      </c>
      <c r="K81" s="1" t="s">
        <v>7</v>
      </c>
      <c r="L81" s="1" t="s">
        <v>8</v>
      </c>
      <c r="M81" s="1" t="s">
        <v>9</v>
      </c>
      <c r="N81" s="1" t="s">
        <v>10</v>
      </c>
      <c r="O81" s="1" t="s">
        <v>11</v>
      </c>
      <c r="P81" s="1" t="s">
        <v>12</v>
      </c>
      <c r="Q81" s="1" t="s">
        <v>53</v>
      </c>
    </row>
    <row r="82" spans="1:11" ht="18">
      <c r="A82" s="1">
        <f>ROW()</f>
        <v>82</v>
      </c>
      <c r="C82" s="27">
        <f t="shared" si="5"/>
        <v>6</v>
      </c>
      <c r="D82" s="28">
        <f t="shared" si="3"/>
        <v>40</v>
      </c>
      <c r="E82" s="29">
        <v>0</v>
      </c>
      <c r="F82" s="30">
        <f t="shared" si="4"/>
        <v>40</v>
      </c>
      <c r="J82" s="1">
        <f>ROW()</f>
        <v>82</v>
      </c>
      <c r="K82" s="2" t="s">
        <v>71</v>
      </c>
    </row>
    <row r="83" spans="1:10" ht="12.75">
      <c r="A83" s="1">
        <f>ROW()</f>
        <v>83</v>
      </c>
      <c r="C83" s="27">
        <f t="shared" si="5"/>
        <v>7</v>
      </c>
      <c r="D83" s="28">
        <f t="shared" si="3"/>
        <v>40</v>
      </c>
      <c r="E83" s="29">
        <v>0</v>
      </c>
      <c r="F83" s="30">
        <f t="shared" si="4"/>
        <v>40</v>
      </c>
      <c r="J83" s="1">
        <f>ROW()</f>
        <v>83</v>
      </c>
    </row>
    <row r="84" spans="1:17" ht="12.75">
      <c r="A84" s="1">
        <f>ROW()</f>
        <v>84</v>
      </c>
      <c r="C84" s="27">
        <f t="shared" si="5"/>
        <v>8</v>
      </c>
      <c r="D84" s="28">
        <f t="shared" si="3"/>
        <v>40</v>
      </c>
      <c r="E84" s="29">
        <v>0</v>
      </c>
      <c r="F84" s="30">
        <f t="shared" si="4"/>
        <v>40</v>
      </c>
      <c r="J84" s="1">
        <f>ROW()</f>
        <v>84</v>
      </c>
      <c r="K84" t="s">
        <v>72</v>
      </c>
      <c r="L84" s="48">
        <v>0.1</v>
      </c>
      <c r="P84" s="49"/>
      <c r="Q84" s="50" t="s">
        <v>73</v>
      </c>
    </row>
    <row r="85" spans="1:17" ht="12.75">
      <c r="A85" s="1">
        <f>ROW()</f>
        <v>85</v>
      </c>
      <c r="C85" s="27">
        <f t="shared" si="5"/>
        <v>9</v>
      </c>
      <c r="D85" s="28">
        <f t="shared" si="3"/>
        <v>40</v>
      </c>
      <c r="E85" s="29">
        <v>0</v>
      </c>
      <c r="F85" s="30">
        <f t="shared" si="4"/>
        <v>40</v>
      </c>
      <c r="J85" s="1">
        <f>ROW()</f>
        <v>85</v>
      </c>
      <c r="M85" s="51" t="s">
        <v>74</v>
      </c>
      <c r="N85" s="51" t="s">
        <v>75</v>
      </c>
      <c r="O85" s="51" t="s">
        <v>76</v>
      </c>
      <c r="P85" s="52" t="s">
        <v>77</v>
      </c>
      <c r="Q85" s="53" t="s">
        <v>78</v>
      </c>
    </row>
    <row r="86" spans="1:17" ht="13.5" thickBot="1">
      <c r="A86" s="1">
        <f>ROW()</f>
        <v>86</v>
      </c>
      <c r="C86" s="27">
        <f t="shared" si="5"/>
        <v>10</v>
      </c>
      <c r="D86" s="28">
        <f t="shared" si="3"/>
        <v>40</v>
      </c>
      <c r="E86" s="29">
        <v>0</v>
      </c>
      <c r="F86" s="30">
        <f t="shared" si="4"/>
        <v>40</v>
      </c>
      <c r="J86" s="1">
        <f>ROW()</f>
        <v>86</v>
      </c>
      <c r="M86" s="54" t="s">
        <v>79</v>
      </c>
      <c r="N86" s="54"/>
      <c r="O86" s="54" t="s">
        <v>80</v>
      </c>
      <c r="P86" s="55" t="s">
        <v>81</v>
      </c>
      <c r="Q86" s="54"/>
    </row>
    <row r="87" spans="1:17" ht="12.75">
      <c r="A87" s="1">
        <f>ROW()</f>
        <v>87</v>
      </c>
      <c r="C87" s="27">
        <f t="shared" si="5"/>
        <v>11</v>
      </c>
      <c r="D87" s="28">
        <f t="shared" si="3"/>
        <v>40</v>
      </c>
      <c r="E87" s="29">
        <v>0</v>
      </c>
      <c r="F87" s="30">
        <f t="shared" si="4"/>
        <v>40</v>
      </c>
      <c r="J87" s="1">
        <f>ROW()</f>
        <v>87</v>
      </c>
      <c r="K87" s="56" t="s">
        <v>82</v>
      </c>
      <c r="L87" s="57"/>
      <c r="M87" s="49">
        <v>1</v>
      </c>
      <c r="N87" s="58">
        <f>+M68*(1000)</f>
        <v>80</v>
      </c>
      <c r="O87" s="59">
        <f>+N87/(1+$L$84)^M87</f>
        <v>72.72727272727272</v>
      </c>
      <c r="P87" s="60">
        <f>+O87/$O$90</f>
        <v>0.0765338393421885</v>
      </c>
      <c r="Q87" s="61">
        <f>+P87*M87</f>
        <v>0.0765338393421885</v>
      </c>
    </row>
    <row r="88" spans="1:17" ht="12.75">
      <c r="A88" s="1">
        <f>ROW()</f>
        <v>88</v>
      </c>
      <c r="C88" s="27">
        <f t="shared" si="5"/>
        <v>12</v>
      </c>
      <c r="D88" s="28">
        <f t="shared" si="3"/>
        <v>40</v>
      </c>
      <c r="E88" s="29">
        <v>0</v>
      </c>
      <c r="F88" s="30">
        <f t="shared" si="4"/>
        <v>40</v>
      </c>
      <c r="J88" s="1">
        <f>ROW()</f>
        <v>88</v>
      </c>
      <c r="K88" s="57"/>
      <c r="L88" s="57"/>
      <c r="M88" s="49">
        <v>2</v>
      </c>
      <c r="N88" s="57">
        <f>+N87</f>
        <v>80</v>
      </c>
      <c r="O88" s="59">
        <f>+N88/(1+$L$84)^M88</f>
        <v>66.11570247933884</v>
      </c>
      <c r="P88" s="60">
        <f>+O88/$O$90</f>
        <v>0.06957621758380773</v>
      </c>
      <c r="Q88" s="61">
        <f>+P88*M88</f>
        <v>0.13915243516761547</v>
      </c>
    </row>
    <row r="89" spans="1:17" ht="13.5" thickBot="1">
      <c r="A89" s="1">
        <f>ROW()</f>
        <v>89</v>
      </c>
      <c r="C89" s="27">
        <f t="shared" si="5"/>
        <v>13</v>
      </c>
      <c r="D89" s="28">
        <f t="shared" si="3"/>
        <v>40</v>
      </c>
      <c r="E89" s="29">
        <v>0</v>
      </c>
      <c r="F89" s="30">
        <f t="shared" si="4"/>
        <v>40</v>
      </c>
      <c r="J89" s="1">
        <f>ROW()</f>
        <v>89</v>
      </c>
      <c r="K89" s="57"/>
      <c r="L89" s="57"/>
      <c r="M89" s="49">
        <v>3</v>
      </c>
      <c r="N89" s="57">
        <f>+N88+1000</f>
        <v>1080</v>
      </c>
      <c r="O89" s="59">
        <f>+N89/(1+$L$84)^M89</f>
        <v>811.4199849737038</v>
      </c>
      <c r="P89" s="60">
        <f>+O89/$O$90</f>
        <v>0.8538899430740038</v>
      </c>
      <c r="Q89" s="61">
        <f>+P89*M89</f>
        <v>2.5616698292220113</v>
      </c>
    </row>
    <row r="90" spans="1:17" ht="13.5" thickBot="1">
      <c r="A90" s="1">
        <f>ROW()</f>
        <v>90</v>
      </c>
      <c r="C90" s="27">
        <f t="shared" si="5"/>
        <v>14</v>
      </c>
      <c r="D90" s="28">
        <f t="shared" si="3"/>
        <v>40</v>
      </c>
      <c r="E90" s="29">
        <v>0</v>
      </c>
      <c r="F90" s="30">
        <f t="shared" si="4"/>
        <v>40</v>
      </c>
      <c r="J90" s="1">
        <f>ROW()</f>
        <v>90</v>
      </c>
      <c r="K90" s="57"/>
      <c r="L90" s="57"/>
      <c r="M90" s="57"/>
      <c r="N90" s="57"/>
      <c r="O90" s="62">
        <f>SUM(O87:O89)</f>
        <v>950.2629601803153</v>
      </c>
      <c r="P90" s="63">
        <f>+O90/$O$90</f>
        <v>1</v>
      </c>
      <c r="Q90" s="64">
        <f>SUM(Q87:Q89)</f>
        <v>2.7773561037318153</v>
      </c>
    </row>
    <row r="91" spans="1:17" ht="13.5" thickTop="1">
      <c r="A91" s="1">
        <f>ROW()</f>
        <v>91</v>
      </c>
      <c r="C91" s="27">
        <f t="shared" si="5"/>
        <v>15</v>
      </c>
      <c r="D91" s="28">
        <f t="shared" si="3"/>
        <v>40</v>
      </c>
      <c r="E91" s="29">
        <v>0</v>
      </c>
      <c r="F91" s="30">
        <f t="shared" si="4"/>
        <v>40</v>
      </c>
      <c r="J91" s="1">
        <f>ROW()</f>
        <v>91</v>
      </c>
      <c r="K91" s="57"/>
      <c r="L91" s="57"/>
      <c r="M91" s="65"/>
      <c r="N91" s="65"/>
      <c r="O91" s="65"/>
      <c r="P91" s="65"/>
      <c r="Q91" s="50"/>
    </row>
    <row r="92" spans="1:17" ht="12.75">
      <c r="A92" s="1">
        <f>ROW()</f>
        <v>92</v>
      </c>
      <c r="C92" s="27">
        <f t="shared" si="5"/>
        <v>16</v>
      </c>
      <c r="D92" s="28">
        <f t="shared" si="3"/>
        <v>40</v>
      </c>
      <c r="E92" s="29">
        <v>0</v>
      </c>
      <c r="F92" s="30">
        <f t="shared" si="4"/>
        <v>40</v>
      </c>
      <c r="J92" s="1">
        <f>ROW()</f>
        <v>92</v>
      </c>
      <c r="K92" s="57"/>
      <c r="L92" s="57" t="s">
        <v>78</v>
      </c>
      <c r="M92" s="65"/>
      <c r="N92" s="65"/>
      <c r="O92" s="65"/>
      <c r="P92" s="65"/>
      <c r="Q92" s="50"/>
    </row>
    <row r="93" spans="1:17" ht="12.75">
      <c r="A93" s="1">
        <f>ROW()</f>
        <v>93</v>
      </c>
      <c r="C93" s="27">
        <f t="shared" si="5"/>
        <v>17</v>
      </c>
      <c r="D93" s="28">
        <f t="shared" si="3"/>
        <v>40</v>
      </c>
      <c r="E93" s="29">
        <v>0</v>
      </c>
      <c r="F93" s="30">
        <f t="shared" si="4"/>
        <v>40</v>
      </c>
      <c r="J93" s="1">
        <f>ROW()</f>
        <v>93</v>
      </c>
      <c r="K93" s="57"/>
      <c r="L93" s="57"/>
      <c r="M93" s="57"/>
      <c r="N93" s="57"/>
      <c r="O93" s="57"/>
      <c r="P93" s="57"/>
      <c r="Q93" s="50"/>
    </row>
    <row r="94" spans="1:17" ht="12.75">
      <c r="A94" s="1">
        <f>ROW()</f>
        <v>94</v>
      </c>
      <c r="C94" s="27">
        <f t="shared" si="5"/>
        <v>18</v>
      </c>
      <c r="D94" s="28">
        <f t="shared" si="3"/>
        <v>40</v>
      </c>
      <c r="E94" s="29">
        <v>0</v>
      </c>
      <c r="F94" s="30">
        <f t="shared" si="4"/>
        <v>40</v>
      </c>
      <c r="J94" s="1">
        <f>ROW()</f>
        <v>94</v>
      </c>
      <c r="K94" s="57" t="s">
        <v>83</v>
      </c>
      <c r="L94" s="57" t="s">
        <v>84</v>
      </c>
      <c r="M94" s="66"/>
      <c r="N94" s="57"/>
      <c r="O94" s="57"/>
      <c r="P94" s="67"/>
      <c r="Q94" s="50"/>
    </row>
    <row r="95" spans="1:17" ht="12.75">
      <c r="A95" s="1">
        <f>ROW()</f>
        <v>95</v>
      </c>
      <c r="C95" s="27">
        <f t="shared" si="5"/>
        <v>19</v>
      </c>
      <c r="D95" s="28">
        <f t="shared" si="3"/>
        <v>40</v>
      </c>
      <c r="E95" s="29">
        <v>0</v>
      </c>
      <c r="F95" s="30">
        <f t="shared" si="4"/>
        <v>40</v>
      </c>
      <c r="J95" s="1">
        <f>ROW()</f>
        <v>95</v>
      </c>
      <c r="K95" s="57"/>
      <c r="L95" s="57"/>
      <c r="M95" s="57"/>
      <c r="N95" s="57"/>
      <c r="O95" s="57"/>
      <c r="P95" s="57"/>
      <c r="Q95" s="50"/>
    </row>
    <row r="96" spans="1:17" ht="13.5" thickBot="1">
      <c r="A96" s="1">
        <f>ROW()</f>
        <v>96</v>
      </c>
      <c r="C96" s="27">
        <f t="shared" si="5"/>
        <v>20</v>
      </c>
      <c r="D96" s="28">
        <f t="shared" si="3"/>
        <v>40</v>
      </c>
      <c r="E96" s="29">
        <v>1000</v>
      </c>
      <c r="F96" s="30">
        <f t="shared" si="4"/>
        <v>1040</v>
      </c>
      <c r="J96" s="1">
        <f>ROW()</f>
        <v>96</v>
      </c>
      <c r="K96" s="57"/>
      <c r="L96" s="57"/>
      <c r="M96" s="68"/>
      <c r="N96" s="57"/>
      <c r="O96" s="57"/>
      <c r="P96" s="57"/>
      <c r="Q96" s="50"/>
    </row>
    <row r="97" spans="1:10" ht="13.5" thickBot="1">
      <c r="A97" s="1">
        <f>ROW()</f>
        <v>97</v>
      </c>
      <c r="C97" s="69" t="s">
        <v>52</v>
      </c>
      <c r="D97" s="70"/>
      <c r="E97" s="70"/>
      <c r="F97" s="71">
        <f>IRR(F76:F96)</f>
        <v>0.03308524273126529</v>
      </c>
      <c r="G97" s="72">
        <f>+F97*2</f>
        <v>0.06617048546253058</v>
      </c>
      <c r="J97" s="1">
        <f>ROW()</f>
        <v>97</v>
      </c>
    </row>
    <row r="100" spans="10:24" ht="12.75">
      <c r="J100" s="1">
        <f>ROW()</f>
        <v>100</v>
      </c>
      <c r="K100" s="1" t="s">
        <v>7</v>
      </c>
      <c r="L100" s="1" t="s">
        <v>8</v>
      </c>
      <c r="M100" s="1" t="s">
        <v>9</v>
      </c>
      <c r="N100" s="1" t="s">
        <v>10</v>
      </c>
      <c r="O100" s="1" t="s">
        <v>11</v>
      </c>
      <c r="P100" s="1" t="s">
        <v>12</v>
      </c>
      <c r="Q100" s="1" t="s">
        <v>53</v>
      </c>
      <c r="R100" s="1" t="s">
        <v>85</v>
      </c>
      <c r="S100" s="1" t="s">
        <v>118</v>
      </c>
      <c r="T100" s="1" t="s">
        <v>132</v>
      </c>
      <c r="U100" s="1" t="s">
        <v>133</v>
      </c>
      <c r="V100" s="1" t="s">
        <v>134</v>
      </c>
      <c r="W100" s="1" t="s">
        <v>135</v>
      </c>
      <c r="X100" s="1" t="s">
        <v>136</v>
      </c>
    </row>
    <row r="101" spans="10:11" ht="18">
      <c r="J101" s="1">
        <f>ROW()</f>
        <v>101</v>
      </c>
      <c r="K101" s="2" t="s">
        <v>86</v>
      </c>
    </row>
    <row r="102" spans="10:19" ht="15.75">
      <c r="J102" s="1">
        <f>ROW()</f>
        <v>102</v>
      </c>
      <c r="K102" s="73" t="s">
        <v>87</v>
      </c>
      <c r="R102" s="137" t="s">
        <v>127</v>
      </c>
      <c r="S102" s="138">
        <f>IRR(L116:L136)*2</f>
        <v>0.0999999999988786</v>
      </c>
    </row>
    <row r="103" spans="10:21" ht="15.75">
      <c r="J103" s="1">
        <f>ROW()</f>
        <v>103</v>
      </c>
      <c r="K103" s="73"/>
      <c r="N103" s="74" t="s">
        <v>88</v>
      </c>
      <c r="S103" s="81"/>
      <c r="U103" s="17"/>
    </row>
    <row r="104" spans="2:19" ht="15">
      <c r="B104" s="42" t="s">
        <v>89</v>
      </c>
      <c r="J104" s="1">
        <f>ROW()</f>
        <v>104</v>
      </c>
      <c r="K104" s="75" t="s">
        <v>90</v>
      </c>
      <c r="M104" s="76">
        <f>-PV(M108/M109,M107*M109,M106*M105/M109,M105)</f>
        <v>875.3778965746001</v>
      </c>
      <c r="N104" s="74"/>
      <c r="P104" s="77" t="s">
        <v>91</v>
      </c>
      <c r="Q104" s="77"/>
      <c r="R104" s="78">
        <v>0.01</v>
      </c>
      <c r="S104" s="77"/>
    </row>
    <row r="105" spans="10:20" ht="15.75" thickBot="1">
      <c r="J105" s="1">
        <f>ROW()</f>
        <v>105</v>
      </c>
      <c r="K105" s="75" t="s">
        <v>92</v>
      </c>
      <c r="M105" s="79">
        <v>1000</v>
      </c>
      <c r="N105" s="80"/>
      <c r="P105" s="75" t="s">
        <v>93</v>
      </c>
      <c r="Q105" s="75"/>
      <c r="R105" s="81">
        <f>-(M104+PV((M108+R104)/M109,M107*M109,M106*M105/M109,M105))</f>
        <v>-54.63363384852448</v>
      </c>
      <c r="S105" s="136">
        <f>+R105/M104</f>
        <v>-0.062411484299876405</v>
      </c>
      <c r="T105" s="136" t="s">
        <v>126</v>
      </c>
    </row>
    <row r="106" spans="2:24" ht="15">
      <c r="B106" s="83"/>
      <c r="C106" s="84"/>
      <c r="D106" s="84"/>
      <c r="E106" s="84"/>
      <c r="F106" s="85"/>
      <c r="J106" s="1">
        <f>ROW()</f>
        <v>106</v>
      </c>
      <c r="K106" s="75" t="s">
        <v>94</v>
      </c>
      <c r="M106" s="86">
        <v>0.08</v>
      </c>
      <c r="N106" s="87"/>
      <c r="P106" s="75"/>
      <c r="Q106" s="75"/>
      <c r="R106" s="75"/>
      <c r="S106" s="135" t="s">
        <v>119</v>
      </c>
      <c r="T106" s="82"/>
      <c r="U106" s="132"/>
      <c r="V106" s="132"/>
      <c r="W106" s="132"/>
      <c r="X106" s="132"/>
    </row>
    <row r="107" spans="2:24" ht="15">
      <c r="B107" s="88"/>
      <c r="C107" s="50"/>
      <c r="D107" s="50"/>
      <c r="E107" s="50"/>
      <c r="F107" s="89"/>
      <c r="J107" s="1">
        <f>ROW()</f>
        <v>107</v>
      </c>
      <c r="K107" s="75" t="s">
        <v>95</v>
      </c>
      <c r="M107" s="90">
        <v>10</v>
      </c>
      <c r="N107" s="144"/>
      <c r="P107" s="75" t="s">
        <v>96</v>
      </c>
      <c r="Q107" s="75"/>
      <c r="R107" s="81">
        <f>(-M112*R104*M104)</f>
        <v>-57.02768866297899</v>
      </c>
      <c r="S107" s="81" t="s">
        <v>120</v>
      </c>
      <c r="T107" s="82"/>
      <c r="U107" s="132"/>
      <c r="V107" s="132"/>
      <c r="W107" s="132"/>
      <c r="X107" s="132"/>
    </row>
    <row r="108" spans="2:24" ht="15">
      <c r="B108" s="88"/>
      <c r="C108" s="50"/>
      <c r="D108" s="50"/>
      <c r="E108" s="50"/>
      <c r="F108" s="89"/>
      <c r="J108" s="1">
        <f>ROW()</f>
        <v>108</v>
      </c>
      <c r="K108" s="75" t="s">
        <v>97</v>
      </c>
      <c r="M108" s="86">
        <v>0.1</v>
      </c>
      <c r="N108" s="145"/>
      <c r="P108" s="75" t="s">
        <v>98</v>
      </c>
      <c r="Q108" s="75"/>
      <c r="R108" s="91">
        <f>0.5*M113*R104^2*M104</f>
        <v>2.4722875845293224</v>
      </c>
      <c r="S108" s="92" t="s">
        <v>121</v>
      </c>
      <c r="T108" s="92"/>
      <c r="U108" s="132"/>
      <c r="V108" s="146"/>
      <c r="W108" s="146"/>
      <c r="X108" s="132"/>
    </row>
    <row r="109" spans="2:24" ht="15">
      <c r="B109" s="88"/>
      <c r="C109" s="50"/>
      <c r="D109" s="50"/>
      <c r="E109" s="50"/>
      <c r="F109" s="89"/>
      <c r="J109" s="1">
        <f>ROW()</f>
        <v>109</v>
      </c>
      <c r="K109" s="75" t="s">
        <v>99</v>
      </c>
      <c r="M109" s="90">
        <v>2</v>
      </c>
      <c r="N109" s="80">
        <v>2</v>
      </c>
      <c r="P109" s="75" t="s">
        <v>100</v>
      </c>
      <c r="Q109" s="75"/>
      <c r="R109" s="93">
        <f>+R107+R108</f>
        <v>-54.55540107844966</v>
      </c>
      <c r="S109" s="94" t="s">
        <v>122</v>
      </c>
      <c r="T109" s="94"/>
      <c r="U109" s="132"/>
      <c r="V109" s="132"/>
      <c r="W109" s="132"/>
      <c r="X109" s="132"/>
    </row>
    <row r="110" spans="2:24" ht="15.75" thickBot="1">
      <c r="B110" s="88"/>
      <c r="C110" s="50"/>
      <c r="D110" s="50"/>
      <c r="E110" s="50"/>
      <c r="F110" s="89"/>
      <c r="J110" s="1">
        <f>ROW()</f>
        <v>110</v>
      </c>
      <c r="K110" s="75"/>
      <c r="M110" s="75"/>
      <c r="N110" s="95"/>
      <c r="P110" s="75"/>
      <c r="Q110" s="75"/>
      <c r="R110" s="75"/>
      <c r="S110" s="120"/>
      <c r="T110" s="96"/>
      <c r="U110" s="132"/>
      <c r="V110" s="132"/>
      <c r="W110" s="132"/>
      <c r="X110" s="132"/>
    </row>
    <row r="111" spans="2:24" ht="15.75" thickBot="1">
      <c r="B111" s="88"/>
      <c r="C111" s="50"/>
      <c r="D111" s="50"/>
      <c r="E111" s="50"/>
      <c r="F111" s="89"/>
      <c r="J111" s="1">
        <f>ROW()</f>
        <v>111</v>
      </c>
      <c r="K111" s="147" t="s">
        <v>101</v>
      </c>
      <c r="L111" s="148"/>
      <c r="M111" s="149">
        <f>+P137/M104/M109</f>
        <v>6.840368408939489</v>
      </c>
      <c r="N111" s="119" t="s">
        <v>125</v>
      </c>
      <c r="P111" s="75" t="s">
        <v>102</v>
      </c>
      <c r="Q111" s="75"/>
      <c r="R111" s="76">
        <f>-PV((M108+R104)/M109,M107*M109,M106*M105/M109,M105)</f>
        <v>820.7442627260756</v>
      </c>
      <c r="S111" s="133" t="s">
        <v>103</v>
      </c>
      <c r="T111" s="132"/>
      <c r="U111" s="132"/>
      <c r="V111" s="132"/>
      <c r="W111" s="132"/>
      <c r="X111" s="132"/>
    </row>
    <row r="112" spans="2:24" ht="15">
      <c r="B112" s="88"/>
      <c r="C112" s="50"/>
      <c r="D112" s="50"/>
      <c r="E112" s="50"/>
      <c r="F112" s="89"/>
      <c r="J112" s="1">
        <f>ROW()</f>
        <v>112</v>
      </c>
      <c r="K112" s="75" t="s">
        <v>104</v>
      </c>
      <c r="M112" s="97">
        <f>+M111/(1+M108/M109)</f>
        <v>6.51463657994237</v>
      </c>
      <c r="N112" s="119" t="s">
        <v>105</v>
      </c>
      <c r="P112" s="75" t="s">
        <v>106</v>
      </c>
      <c r="Q112" s="75"/>
      <c r="R112" s="98">
        <f>+M104+R109</f>
        <v>820.8224954961504</v>
      </c>
      <c r="S112" s="134" t="s">
        <v>123</v>
      </c>
      <c r="T112" s="132"/>
      <c r="U112" s="132"/>
      <c r="V112" s="132"/>
      <c r="W112" s="132"/>
      <c r="X112" s="132"/>
    </row>
    <row r="113" spans="2:24" ht="15">
      <c r="B113" s="88"/>
      <c r="C113" s="50"/>
      <c r="D113" s="50"/>
      <c r="E113" s="50"/>
      <c r="F113" s="89"/>
      <c r="J113" s="1">
        <f>ROW()</f>
        <v>113</v>
      </c>
      <c r="K113" s="75" t="s">
        <v>107</v>
      </c>
      <c r="M113" s="97">
        <f>+S137/M104/M109^M109</f>
        <v>56.4850356446859</v>
      </c>
      <c r="N113" s="119" t="s">
        <v>128</v>
      </c>
      <c r="P113" s="75" t="s">
        <v>108</v>
      </c>
      <c r="Q113" s="75"/>
      <c r="R113" s="76">
        <f>+R112-R111</f>
        <v>0.07823277007480556</v>
      </c>
      <c r="S113" s="133" t="s">
        <v>124</v>
      </c>
      <c r="T113" s="132"/>
      <c r="U113" s="132"/>
      <c r="V113" s="132"/>
      <c r="W113" s="132"/>
      <c r="X113" s="132"/>
    </row>
    <row r="114" spans="2:24" ht="15.75" thickBot="1">
      <c r="B114" s="88"/>
      <c r="C114" s="50"/>
      <c r="D114" s="50"/>
      <c r="E114" s="50"/>
      <c r="F114" s="89"/>
      <c r="J114" s="1">
        <f>ROW()</f>
        <v>114</v>
      </c>
      <c r="K114" s="75"/>
      <c r="L114" s="75"/>
      <c r="M114" s="75"/>
      <c r="N114" s="120"/>
      <c r="O114" s="75"/>
      <c r="P114" s="75"/>
      <c r="Q114" s="75"/>
      <c r="S114" s="132"/>
      <c r="T114" s="132"/>
      <c r="U114" s="132"/>
      <c r="V114" s="132"/>
      <c r="W114" s="132"/>
      <c r="X114" s="132"/>
    </row>
    <row r="115" spans="2:22" ht="43.5" thickBot="1">
      <c r="B115" s="88"/>
      <c r="C115" s="50"/>
      <c r="D115" s="50"/>
      <c r="E115" s="50"/>
      <c r="F115" s="89"/>
      <c r="J115" s="1">
        <f>ROW()</f>
        <v>115</v>
      </c>
      <c r="K115" s="99" t="s">
        <v>46</v>
      </c>
      <c r="L115" s="100" t="s">
        <v>109</v>
      </c>
      <c r="M115" s="99" t="s">
        <v>110</v>
      </c>
      <c r="N115" s="99" t="s">
        <v>113</v>
      </c>
      <c r="O115" s="99" t="s">
        <v>114</v>
      </c>
      <c r="P115" s="124" t="s">
        <v>115</v>
      </c>
      <c r="Q115" s="99" t="s">
        <v>116</v>
      </c>
      <c r="R115" s="99" t="s">
        <v>117</v>
      </c>
      <c r="S115" s="99" t="s">
        <v>111</v>
      </c>
      <c r="T115" s="75"/>
      <c r="U115" s="75"/>
      <c r="V115" s="75"/>
    </row>
    <row r="116" spans="2:22" ht="15">
      <c r="B116" s="88"/>
      <c r="C116" s="50"/>
      <c r="D116" s="50"/>
      <c r="E116" s="50"/>
      <c r="F116" s="89"/>
      <c r="J116" s="1">
        <f>ROW()</f>
        <v>116</v>
      </c>
      <c r="K116" s="101">
        <v>0</v>
      </c>
      <c r="L116" s="102">
        <f>-M104</f>
        <v>-875.3778965746001</v>
      </c>
      <c r="M116" s="103"/>
      <c r="P116" s="125"/>
      <c r="S116" s="75"/>
      <c r="T116" s="75"/>
      <c r="U116" s="75"/>
      <c r="V116" s="75"/>
    </row>
    <row r="117" spans="2:27" ht="15">
      <c r="B117" s="88"/>
      <c r="C117" s="50"/>
      <c r="D117" s="50"/>
      <c r="E117" s="50"/>
      <c r="F117" s="89"/>
      <c r="J117" s="1">
        <f>ROW()</f>
        <v>117</v>
      </c>
      <c r="K117" s="101">
        <v>1</v>
      </c>
      <c r="L117" s="104">
        <f aca="true" t="shared" si="6" ref="L117:L135">+$M$105*$M$106/$M$109</f>
        <v>40</v>
      </c>
      <c r="M117" s="97">
        <f>+L117/((1+$M$108/$M$109)^K117)</f>
        <v>38.095238095238095</v>
      </c>
      <c r="N117" s="139">
        <f>+M117/$M$137</f>
        <v>0.04351862006603865</v>
      </c>
      <c r="O117" s="128">
        <f>+N117*K117</f>
        <v>0.04351862006603865</v>
      </c>
      <c r="P117" s="141">
        <f aca="true" t="shared" si="7" ref="P117:P136">+M117*K117</f>
        <v>38.095238095238095</v>
      </c>
      <c r="Q117" s="129">
        <f>+M117/(1+($M$108/$M$109))^$M$109</f>
        <v>34.553503941259045</v>
      </c>
      <c r="R117" s="129">
        <f>+K117^$M$109+K117</f>
        <v>2</v>
      </c>
      <c r="S117" s="123">
        <f aca="true" t="shared" si="8" ref="S117:S136">+R117*Q117</f>
        <v>69.10700788251809</v>
      </c>
      <c r="T117" s="105"/>
      <c r="U117" s="75"/>
      <c r="V117" s="75"/>
      <c r="Y117" s="123"/>
      <c r="Z117" s="123">
        <f>+Q117/$Q$137</f>
        <v>0.043518620066038655</v>
      </c>
      <c r="AA117" s="123">
        <f>+Z117*K117</f>
        <v>0.043518620066038655</v>
      </c>
    </row>
    <row r="118" spans="2:27" ht="15">
      <c r="B118" s="88"/>
      <c r="C118" s="50"/>
      <c r="D118" s="50"/>
      <c r="E118" s="50"/>
      <c r="F118" s="89"/>
      <c r="J118" s="1">
        <f>ROW()</f>
        <v>118</v>
      </c>
      <c r="K118" s="101">
        <v>2</v>
      </c>
      <c r="L118" s="104">
        <f t="shared" si="6"/>
        <v>40</v>
      </c>
      <c r="M118" s="103">
        <f aca="true" t="shared" si="9" ref="M118:M136">+L118/((1+$M$108/$M$109)^K118)</f>
        <v>36.281179138321995</v>
      </c>
      <c r="N118" s="139">
        <f aca="true" t="shared" si="10" ref="N118:N136">+M118/$M$137</f>
        <v>0.04144630482479871</v>
      </c>
      <c r="O118" s="128">
        <f aca="true" t="shared" si="11" ref="O118:O136">+N118*K118</f>
        <v>0.08289260964959742</v>
      </c>
      <c r="P118" s="142">
        <f t="shared" si="7"/>
        <v>72.56235827664399</v>
      </c>
      <c r="Q118" s="129">
        <f aca="true" t="shared" si="12" ref="Q118:Q136">+M118/(1+($M$108/$M$109))^$M$109</f>
        <v>32.90809899167528</v>
      </c>
      <c r="R118" s="129">
        <f aca="true" t="shared" si="13" ref="R118:R136">+K118^$M$109+K118</f>
        <v>6</v>
      </c>
      <c r="S118" s="123">
        <f t="shared" si="8"/>
        <v>197.4485939500517</v>
      </c>
      <c r="T118" s="107"/>
      <c r="U118" s="75"/>
      <c r="V118" s="75"/>
      <c r="Z118" s="123">
        <f aca="true" t="shared" si="14" ref="Z118:Z136">+Q118/$Q$137</f>
        <v>0.04144630482479872</v>
      </c>
      <c r="AA118" s="123">
        <f aca="true" t="shared" si="15" ref="AA118:AA136">+Z118*K118</f>
        <v>0.08289260964959744</v>
      </c>
    </row>
    <row r="119" spans="2:27" ht="15">
      <c r="B119" s="88"/>
      <c r="C119" s="50"/>
      <c r="D119" s="50"/>
      <c r="E119" s="50"/>
      <c r="F119" s="89"/>
      <c r="J119" s="1">
        <f>ROW()</f>
        <v>119</v>
      </c>
      <c r="K119" s="101">
        <v>3</v>
      </c>
      <c r="L119" s="104">
        <f t="shared" si="6"/>
        <v>40</v>
      </c>
      <c r="M119" s="103">
        <f t="shared" si="9"/>
        <v>34.55350394125904</v>
      </c>
      <c r="N119" s="139">
        <f t="shared" si="10"/>
        <v>0.039472671261713055</v>
      </c>
      <c r="O119" s="128">
        <f t="shared" si="11"/>
        <v>0.11841801378513916</v>
      </c>
      <c r="P119" s="142">
        <f t="shared" si="7"/>
        <v>103.66051182377711</v>
      </c>
      <c r="Q119" s="129">
        <f t="shared" si="12"/>
        <v>31.341046658738357</v>
      </c>
      <c r="R119" s="129">
        <f t="shared" si="13"/>
        <v>12</v>
      </c>
      <c r="S119" s="123">
        <f t="shared" si="8"/>
        <v>376.0925599048603</v>
      </c>
      <c r="T119" s="107"/>
      <c r="U119" s="75"/>
      <c r="V119" s="75"/>
      <c r="Z119" s="123">
        <f t="shared" si="14"/>
        <v>0.039472671261713055</v>
      </c>
      <c r="AA119" s="123">
        <f t="shared" si="15"/>
        <v>0.11841801378513916</v>
      </c>
    </row>
    <row r="120" spans="2:27" ht="15.75" thickBot="1">
      <c r="B120" s="38"/>
      <c r="C120" s="39"/>
      <c r="D120" s="39"/>
      <c r="E120" s="39"/>
      <c r="F120" s="40"/>
      <c r="J120" s="1">
        <f>ROW()</f>
        <v>120</v>
      </c>
      <c r="K120" s="101">
        <v>4</v>
      </c>
      <c r="L120" s="104">
        <f t="shared" si="6"/>
        <v>40</v>
      </c>
      <c r="M120" s="103">
        <f t="shared" si="9"/>
        <v>32.90809899167528</v>
      </c>
      <c r="N120" s="139">
        <f t="shared" si="10"/>
        <v>0.037593020249250535</v>
      </c>
      <c r="O120" s="128">
        <f t="shared" si="11"/>
        <v>0.15037208099700214</v>
      </c>
      <c r="P120" s="142">
        <f t="shared" si="7"/>
        <v>131.63239596670113</v>
      </c>
      <c r="Q120" s="129">
        <f t="shared" si="12"/>
        <v>29.848615865465106</v>
      </c>
      <c r="R120" s="129">
        <f t="shared" si="13"/>
        <v>20</v>
      </c>
      <c r="S120" s="123">
        <f t="shared" si="8"/>
        <v>596.9723173093021</v>
      </c>
      <c r="T120" s="108"/>
      <c r="U120" s="75"/>
      <c r="V120" s="75"/>
      <c r="Z120" s="123">
        <f t="shared" si="14"/>
        <v>0.037593020249250535</v>
      </c>
      <c r="AA120" s="123">
        <f t="shared" si="15"/>
        <v>0.15037208099700214</v>
      </c>
    </row>
    <row r="121" spans="10:27" ht="15">
      <c r="J121" s="1">
        <f>ROW()</f>
        <v>121</v>
      </c>
      <c r="K121" s="101">
        <v>5</v>
      </c>
      <c r="L121" s="104">
        <f t="shared" si="6"/>
        <v>40</v>
      </c>
      <c r="M121" s="103">
        <f t="shared" si="9"/>
        <v>31.341046658738357</v>
      </c>
      <c r="N121" s="139">
        <f t="shared" si="10"/>
        <v>0.03580287642785764</v>
      </c>
      <c r="O121" s="128">
        <f t="shared" si="11"/>
        <v>0.17901438213928822</v>
      </c>
      <c r="P121" s="142">
        <f t="shared" si="7"/>
        <v>156.70523329369178</v>
      </c>
      <c r="Q121" s="129">
        <f t="shared" si="12"/>
        <v>28.427253205204856</v>
      </c>
      <c r="R121" s="129">
        <f t="shared" si="13"/>
        <v>30</v>
      </c>
      <c r="S121" s="123">
        <f t="shared" si="8"/>
        <v>852.8175961561457</v>
      </c>
      <c r="T121" s="75"/>
      <c r="U121" s="75"/>
      <c r="V121" s="75"/>
      <c r="Z121" s="123">
        <f t="shared" si="14"/>
        <v>0.03580287642785764</v>
      </c>
      <c r="AA121" s="123">
        <f t="shared" si="15"/>
        <v>0.17901438213928822</v>
      </c>
    </row>
    <row r="122" spans="10:27" ht="15">
      <c r="J122" s="1">
        <f>ROW()</f>
        <v>122</v>
      </c>
      <c r="K122" s="101">
        <v>6</v>
      </c>
      <c r="L122" s="104">
        <f t="shared" si="6"/>
        <v>40</v>
      </c>
      <c r="M122" s="103">
        <f t="shared" si="9"/>
        <v>29.848615865465106</v>
      </c>
      <c r="N122" s="139">
        <f t="shared" si="10"/>
        <v>0.03409797755034062</v>
      </c>
      <c r="O122" s="128">
        <f t="shared" si="11"/>
        <v>0.20458786530204373</v>
      </c>
      <c r="P122" s="142">
        <f t="shared" si="7"/>
        <v>179.09169519279064</v>
      </c>
      <c r="Q122" s="129">
        <f t="shared" si="12"/>
        <v>27.07357448114749</v>
      </c>
      <c r="R122" s="129">
        <f t="shared" si="13"/>
        <v>42</v>
      </c>
      <c r="S122" s="123">
        <f t="shared" si="8"/>
        <v>1137.0901282081945</v>
      </c>
      <c r="T122" s="75"/>
      <c r="U122" s="75"/>
      <c r="V122" s="75"/>
      <c r="Z122" s="123">
        <f t="shared" si="14"/>
        <v>0.03409797755034062</v>
      </c>
      <c r="AA122" s="123">
        <f t="shared" si="15"/>
        <v>0.20458786530204373</v>
      </c>
    </row>
    <row r="123" spans="10:27" ht="15">
      <c r="J123" s="1">
        <f>ROW()</f>
        <v>123</v>
      </c>
      <c r="K123" s="101">
        <v>7</v>
      </c>
      <c r="L123" s="104">
        <f t="shared" si="6"/>
        <v>40</v>
      </c>
      <c r="M123" s="103">
        <f t="shared" si="9"/>
        <v>28.42725320520486</v>
      </c>
      <c r="N123" s="139">
        <f t="shared" si="10"/>
        <v>0.03247426433365773</v>
      </c>
      <c r="O123" s="128">
        <f t="shared" si="11"/>
        <v>0.2273198503356041</v>
      </c>
      <c r="P123" s="142">
        <f t="shared" si="7"/>
        <v>198.990772436434</v>
      </c>
      <c r="Q123" s="129">
        <f t="shared" si="12"/>
        <v>25.78435664871189</v>
      </c>
      <c r="R123" s="129">
        <f t="shared" si="13"/>
        <v>56</v>
      </c>
      <c r="S123" s="123">
        <f t="shared" si="8"/>
        <v>1443.9239723278658</v>
      </c>
      <c r="T123" s="75"/>
      <c r="U123" s="75"/>
      <c r="V123" s="75"/>
      <c r="Z123" s="123">
        <f t="shared" si="14"/>
        <v>0.03247426433365773</v>
      </c>
      <c r="AA123" s="123">
        <f t="shared" si="15"/>
        <v>0.2273198503356041</v>
      </c>
    </row>
    <row r="124" spans="10:27" ht="15">
      <c r="J124" s="1">
        <f>ROW()</f>
        <v>124</v>
      </c>
      <c r="K124" s="101">
        <v>8</v>
      </c>
      <c r="L124" s="104">
        <f t="shared" si="6"/>
        <v>40</v>
      </c>
      <c r="M124" s="103">
        <f t="shared" si="9"/>
        <v>27.07357448114749</v>
      </c>
      <c r="N124" s="139">
        <f t="shared" si="10"/>
        <v>0.030927870793959745</v>
      </c>
      <c r="O124" s="128">
        <f t="shared" si="11"/>
        <v>0.24742296635167796</v>
      </c>
      <c r="P124" s="142">
        <f t="shared" si="7"/>
        <v>216.5885958491799</v>
      </c>
      <c r="Q124" s="129">
        <f t="shared" si="12"/>
        <v>24.556530141630375</v>
      </c>
      <c r="R124" s="129">
        <f t="shared" si="13"/>
        <v>72</v>
      </c>
      <c r="S124" s="123">
        <f t="shared" si="8"/>
        <v>1768.0701701973871</v>
      </c>
      <c r="T124" s="75"/>
      <c r="U124" s="75"/>
      <c r="V124" s="75"/>
      <c r="Z124" s="123">
        <f t="shared" si="14"/>
        <v>0.03092787079395975</v>
      </c>
      <c r="AA124" s="123">
        <f t="shared" si="15"/>
        <v>0.247422966351678</v>
      </c>
    </row>
    <row r="125" spans="10:27" ht="15">
      <c r="J125" s="1">
        <f>ROW()</f>
        <v>125</v>
      </c>
      <c r="K125" s="101">
        <v>9</v>
      </c>
      <c r="L125" s="104">
        <f t="shared" si="6"/>
        <v>40</v>
      </c>
      <c r="M125" s="103">
        <f t="shared" si="9"/>
        <v>25.784356648711892</v>
      </c>
      <c r="N125" s="139">
        <f t="shared" si="10"/>
        <v>0.029455115041866424</v>
      </c>
      <c r="O125" s="128">
        <f t="shared" si="11"/>
        <v>0.2650960353767978</v>
      </c>
      <c r="P125" s="142">
        <f t="shared" si="7"/>
        <v>232.059209838407</v>
      </c>
      <c r="Q125" s="129">
        <f t="shared" si="12"/>
        <v>23.387171563457496</v>
      </c>
      <c r="R125" s="129">
        <f t="shared" si="13"/>
        <v>90</v>
      </c>
      <c r="S125" s="123">
        <f t="shared" si="8"/>
        <v>2104.8454407111744</v>
      </c>
      <c r="T125" s="75"/>
      <c r="U125" s="75"/>
      <c r="V125" s="75"/>
      <c r="Z125" s="123">
        <f t="shared" si="14"/>
        <v>0.029455115041866424</v>
      </c>
      <c r="AA125" s="123">
        <f t="shared" si="15"/>
        <v>0.2650960353767978</v>
      </c>
    </row>
    <row r="126" spans="10:27" ht="15">
      <c r="J126" s="1">
        <f>ROW()</f>
        <v>126</v>
      </c>
      <c r="K126" s="101">
        <v>10</v>
      </c>
      <c r="L126" s="104">
        <f t="shared" si="6"/>
        <v>40</v>
      </c>
      <c r="M126" s="103">
        <f t="shared" si="9"/>
        <v>24.556530141630372</v>
      </c>
      <c r="N126" s="139">
        <f t="shared" si="10"/>
        <v>0.028052490516063257</v>
      </c>
      <c r="O126" s="128">
        <f t="shared" si="11"/>
        <v>0.28052490516063255</v>
      </c>
      <c r="P126" s="142">
        <f t="shared" si="7"/>
        <v>245.56530141630373</v>
      </c>
      <c r="Q126" s="129">
        <f t="shared" si="12"/>
        <v>22.273496727102376</v>
      </c>
      <c r="R126" s="129">
        <f t="shared" si="13"/>
        <v>110</v>
      </c>
      <c r="S126" s="123">
        <f t="shared" si="8"/>
        <v>2450.0846399812613</v>
      </c>
      <c r="T126" s="75"/>
      <c r="U126" s="75"/>
      <c r="V126" s="75"/>
      <c r="Z126" s="123">
        <f t="shared" si="14"/>
        <v>0.028052490516063257</v>
      </c>
      <c r="AA126" s="123">
        <f t="shared" si="15"/>
        <v>0.28052490516063255</v>
      </c>
    </row>
    <row r="127" spans="10:27" ht="15">
      <c r="J127" s="1">
        <f>ROW()</f>
        <v>127</v>
      </c>
      <c r="K127" s="101">
        <v>11</v>
      </c>
      <c r="L127" s="104">
        <f t="shared" si="6"/>
        <v>40</v>
      </c>
      <c r="M127" s="103">
        <f t="shared" si="9"/>
        <v>23.387171563457496</v>
      </c>
      <c r="N127" s="139">
        <f t="shared" si="10"/>
        <v>0.02671665763434596</v>
      </c>
      <c r="O127" s="128">
        <f t="shared" si="11"/>
        <v>0.2938832339778055</v>
      </c>
      <c r="P127" s="142">
        <f t="shared" si="7"/>
        <v>257.2588871980325</v>
      </c>
      <c r="Q127" s="129">
        <f t="shared" si="12"/>
        <v>21.212854025811787</v>
      </c>
      <c r="R127" s="129">
        <f t="shared" si="13"/>
        <v>132</v>
      </c>
      <c r="S127" s="123">
        <f t="shared" si="8"/>
        <v>2800.096731407156</v>
      </c>
      <c r="T127" s="75"/>
      <c r="U127" s="75"/>
      <c r="V127" s="75"/>
      <c r="Z127" s="123">
        <f t="shared" si="14"/>
        <v>0.02671665763434596</v>
      </c>
      <c r="AA127" s="123">
        <f t="shared" si="15"/>
        <v>0.2938832339778055</v>
      </c>
    </row>
    <row r="128" spans="10:27" ht="15">
      <c r="J128" s="1">
        <f>ROW()</f>
        <v>128</v>
      </c>
      <c r="K128" s="101">
        <v>12</v>
      </c>
      <c r="L128" s="104">
        <f t="shared" si="6"/>
        <v>40</v>
      </c>
      <c r="M128" s="103">
        <f t="shared" si="9"/>
        <v>22.27349672710238</v>
      </c>
      <c r="N128" s="139">
        <f t="shared" si="10"/>
        <v>0.02544443584223425</v>
      </c>
      <c r="O128" s="128">
        <f t="shared" si="11"/>
        <v>0.305333230106811</v>
      </c>
      <c r="P128" s="142">
        <f t="shared" si="7"/>
        <v>267.28196072522854</v>
      </c>
      <c r="Q128" s="129">
        <f t="shared" si="12"/>
        <v>20.20271811982075</v>
      </c>
      <c r="R128" s="129">
        <f t="shared" si="13"/>
        <v>156</v>
      </c>
      <c r="S128" s="123">
        <f t="shared" si="8"/>
        <v>3151.624026692037</v>
      </c>
      <c r="T128" s="75"/>
      <c r="U128" s="75"/>
      <c r="V128" s="75"/>
      <c r="Z128" s="123">
        <f t="shared" si="14"/>
        <v>0.02544443584223425</v>
      </c>
      <c r="AA128" s="123">
        <f t="shared" si="15"/>
        <v>0.305333230106811</v>
      </c>
    </row>
    <row r="129" spans="10:27" ht="15">
      <c r="J129" s="1">
        <f>ROW()</f>
        <v>129</v>
      </c>
      <c r="K129" s="101">
        <v>13</v>
      </c>
      <c r="L129" s="104">
        <f t="shared" si="6"/>
        <v>40</v>
      </c>
      <c r="M129" s="103">
        <f t="shared" si="9"/>
        <v>21.212854025811787</v>
      </c>
      <c r="N129" s="139">
        <f t="shared" si="10"/>
        <v>0.02423279604022309</v>
      </c>
      <c r="O129" s="128">
        <f t="shared" si="11"/>
        <v>0.3150263485229002</v>
      </c>
      <c r="P129" s="142">
        <f t="shared" si="7"/>
        <v>275.7671023355532</v>
      </c>
      <c r="Q129" s="129">
        <f t="shared" si="12"/>
        <v>19.24068392363881</v>
      </c>
      <c r="R129" s="129">
        <f t="shared" si="13"/>
        <v>182</v>
      </c>
      <c r="S129" s="123">
        <f t="shared" si="8"/>
        <v>3501.804474102263</v>
      </c>
      <c r="T129" s="75"/>
      <c r="U129" s="75"/>
      <c r="V129" s="75"/>
      <c r="Z129" s="123">
        <f t="shared" si="14"/>
        <v>0.024232796040223093</v>
      </c>
      <c r="AA129" s="123">
        <f t="shared" si="15"/>
        <v>0.31502634852290023</v>
      </c>
    </row>
    <row r="130" spans="10:27" ht="15">
      <c r="J130" s="1">
        <f>ROW()</f>
        <v>130</v>
      </c>
      <c r="K130" s="101">
        <v>14</v>
      </c>
      <c r="L130" s="104">
        <f t="shared" si="6"/>
        <v>40</v>
      </c>
      <c r="M130" s="103">
        <f t="shared" si="9"/>
        <v>20.202718119820755</v>
      </c>
      <c r="N130" s="139">
        <f t="shared" si="10"/>
        <v>0.023078853371641044</v>
      </c>
      <c r="O130" s="128">
        <f t="shared" si="11"/>
        <v>0.32310394720297464</v>
      </c>
      <c r="P130" s="142">
        <f t="shared" si="7"/>
        <v>282.83805367749056</v>
      </c>
      <c r="Q130" s="129">
        <f t="shared" si="12"/>
        <v>18.324460879656012</v>
      </c>
      <c r="R130" s="129">
        <f t="shared" si="13"/>
        <v>210</v>
      </c>
      <c r="S130" s="123">
        <f t="shared" si="8"/>
        <v>3848.1367847277625</v>
      </c>
      <c r="T130" s="75"/>
      <c r="U130" s="75"/>
      <c r="V130" s="75"/>
      <c r="Z130" s="123">
        <f t="shared" si="14"/>
        <v>0.023078853371641044</v>
      </c>
      <c r="AA130" s="123">
        <f t="shared" si="15"/>
        <v>0.32310394720297464</v>
      </c>
    </row>
    <row r="131" spans="10:27" ht="15">
      <c r="J131" s="1">
        <f>ROW()</f>
        <v>131</v>
      </c>
      <c r="K131" s="101">
        <v>15</v>
      </c>
      <c r="L131" s="104">
        <f t="shared" si="6"/>
        <v>40</v>
      </c>
      <c r="M131" s="103">
        <f t="shared" si="9"/>
        <v>19.24068392363881</v>
      </c>
      <c r="N131" s="139">
        <f t="shared" si="10"/>
        <v>0.021979860353943847</v>
      </c>
      <c r="O131" s="128">
        <f t="shared" si="11"/>
        <v>0.3296979053091577</v>
      </c>
      <c r="P131" s="142">
        <f t="shared" si="7"/>
        <v>288.6102588545821</v>
      </c>
      <c r="Q131" s="129">
        <f t="shared" si="12"/>
        <v>17.451867504434293</v>
      </c>
      <c r="R131" s="129">
        <f t="shared" si="13"/>
        <v>240</v>
      </c>
      <c r="S131" s="123">
        <f t="shared" si="8"/>
        <v>4188.4482010642305</v>
      </c>
      <c r="T131" s="75"/>
      <c r="U131" s="75"/>
      <c r="V131" s="75"/>
      <c r="Z131" s="123">
        <f t="shared" si="14"/>
        <v>0.021979860353943847</v>
      </c>
      <c r="AA131" s="123">
        <f t="shared" si="15"/>
        <v>0.3296979053091577</v>
      </c>
    </row>
    <row r="132" spans="10:27" ht="15">
      <c r="J132" s="1">
        <f>ROW()</f>
        <v>132</v>
      </c>
      <c r="K132" s="101">
        <v>16</v>
      </c>
      <c r="L132" s="104">
        <f t="shared" si="6"/>
        <v>40</v>
      </c>
      <c r="M132" s="103">
        <f t="shared" si="9"/>
        <v>18.32446087965601</v>
      </c>
      <c r="N132" s="139">
        <f t="shared" si="10"/>
        <v>0.020933200337089376</v>
      </c>
      <c r="O132" s="128">
        <f t="shared" si="11"/>
        <v>0.33493120539343</v>
      </c>
      <c r="P132" s="142">
        <f t="shared" si="7"/>
        <v>293.19137407449614</v>
      </c>
      <c r="Q132" s="129">
        <f t="shared" si="12"/>
        <v>16.620826194699326</v>
      </c>
      <c r="R132" s="129">
        <f t="shared" si="13"/>
        <v>272</v>
      </c>
      <c r="S132" s="123">
        <f t="shared" si="8"/>
        <v>4520.864724958216</v>
      </c>
      <c r="T132" s="75"/>
      <c r="U132" s="75"/>
      <c r="V132" s="75"/>
      <c r="Z132" s="123">
        <f t="shared" si="14"/>
        <v>0.020933200337089376</v>
      </c>
      <c r="AA132" s="123">
        <f t="shared" si="15"/>
        <v>0.33493120539343</v>
      </c>
    </row>
    <row r="133" spans="10:27" ht="15">
      <c r="J133" s="1">
        <f>ROW()</f>
        <v>133</v>
      </c>
      <c r="K133" s="101">
        <v>17</v>
      </c>
      <c r="L133" s="104">
        <f t="shared" si="6"/>
        <v>40</v>
      </c>
      <c r="M133" s="103">
        <f t="shared" si="9"/>
        <v>17.451867504434293</v>
      </c>
      <c r="N133" s="139">
        <f t="shared" si="10"/>
        <v>0.019936381273418454</v>
      </c>
      <c r="O133" s="128">
        <f t="shared" si="11"/>
        <v>0.3389184816481137</v>
      </c>
      <c r="P133" s="142">
        <f t="shared" si="7"/>
        <v>296.681747575383</v>
      </c>
      <c r="Q133" s="129">
        <f t="shared" si="12"/>
        <v>15.829358280666025</v>
      </c>
      <c r="R133" s="129">
        <f t="shared" si="13"/>
        <v>306</v>
      </c>
      <c r="S133" s="123">
        <f t="shared" si="8"/>
        <v>4843.783633883803</v>
      </c>
      <c r="T133" s="75"/>
      <c r="U133" s="75"/>
      <c r="V133" s="75"/>
      <c r="Z133" s="123">
        <f t="shared" si="14"/>
        <v>0.019936381273418454</v>
      </c>
      <c r="AA133" s="123">
        <f t="shared" si="15"/>
        <v>0.3389184816481137</v>
      </c>
    </row>
    <row r="134" spans="10:27" ht="15">
      <c r="J134" s="1">
        <f>ROW()</f>
        <v>134</v>
      </c>
      <c r="K134" s="101">
        <v>18</v>
      </c>
      <c r="L134" s="104">
        <f t="shared" si="6"/>
        <v>40</v>
      </c>
      <c r="M134" s="103">
        <f t="shared" si="9"/>
        <v>16.620826194699326</v>
      </c>
      <c r="N134" s="139">
        <f t="shared" si="10"/>
        <v>0.01898702978420805</v>
      </c>
      <c r="O134" s="128">
        <f t="shared" si="11"/>
        <v>0.3417665361157449</v>
      </c>
      <c r="P134" s="142">
        <f t="shared" si="7"/>
        <v>299.1748715045879</v>
      </c>
      <c r="Q134" s="129">
        <f t="shared" si="12"/>
        <v>15.075579314920024</v>
      </c>
      <c r="R134" s="129">
        <f t="shared" si="13"/>
        <v>342</v>
      </c>
      <c r="S134" s="123">
        <f t="shared" si="8"/>
        <v>5155.848125702648</v>
      </c>
      <c r="T134" s="75"/>
      <c r="U134" s="75"/>
      <c r="V134" s="75"/>
      <c r="Z134" s="123">
        <f t="shared" si="14"/>
        <v>0.01898702978420805</v>
      </c>
      <c r="AA134" s="123">
        <f t="shared" si="15"/>
        <v>0.3417665361157449</v>
      </c>
    </row>
    <row r="135" spans="10:27" ht="15">
      <c r="J135" s="1">
        <f>ROW()</f>
        <v>135</v>
      </c>
      <c r="K135" s="101">
        <v>19</v>
      </c>
      <c r="L135" s="104">
        <f t="shared" si="6"/>
        <v>40</v>
      </c>
      <c r="M135" s="103">
        <f t="shared" si="9"/>
        <v>15.829358280666025</v>
      </c>
      <c r="N135" s="139">
        <f t="shared" si="10"/>
        <v>0.01808288550876957</v>
      </c>
      <c r="O135" s="128">
        <f t="shared" si="11"/>
        <v>0.34357482466662187</v>
      </c>
      <c r="P135" s="142">
        <f t="shared" si="7"/>
        <v>300.75780733265447</v>
      </c>
      <c r="Q135" s="129">
        <f t="shared" si="12"/>
        <v>14.357694585638118</v>
      </c>
      <c r="R135" s="129">
        <f t="shared" si="13"/>
        <v>380</v>
      </c>
      <c r="S135" s="123">
        <f t="shared" si="8"/>
        <v>5455.923942542485</v>
      </c>
      <c r="T135" s="75"/>
      <c r="U135" s="75"/>
      <c r="V135" s="75"/>
      <c r="Z135" s="123">
        <f t="shared" si="14"/>
        <v>0.018082885508769575</v>
      </c>
      <c r="AA135" s="123">
        <f t="shared" si="15"/>
        <v>0.3435748246666219</v>
      </c>
    </row>
    <row r="136" spans="10:27" ht="15.75" thickBot="1">
      <c r="J136" s="1">
        <f>ROW()</f>
        <v>136</v>
      </c>
      <c r="K136" s="109">
        <v>20</v>
      </c>
      <c r="L136" s="110">
        <f>+$M$105*$M$106/$M$109+$M$105</f>
        <v>1040</v>
      </c>
      <c r="M136" s="152">
        <f t="shared" si="9"/>
        <v>391.96506218792064</v>
      </c>
      <c r="N136" s="140">
        <f t="shared" si="10"/>
        <v>0.4477666887885799</v>
      </c>
      <c r="O136" s="130">
        <f t="shared" si="11"/>
        <v>8.955333775771598</v>
      </c>
      <c r="P136" s="143">
        <f t="shared" si="7"/>
        <v>7839.301243758413</v>
      </c>
      <c r="Q136" s="129">
        <f t="shared" si="12"/>
        <v>355.52386593008674</v>
      </c>
      <c r="R136" s="129">
        <f t="shared" si="13"/>
        <v>420</v>
      </c>
      <c r="S136" s="131">
        <f t="shared" si="8"/>
        <v>149320.02369063644</v>
      </c>
      <c r="T136" s="75"/>
      <c r="U136" s="75"/>
      <c r="V136" s="75"/>
      <c r="Z136" s="123">
        <f t="shared" si="14"/>
        <v>0.44776668878857995</v>
      </c>
      <c r="AA136" s="123">
        <f t="shared" si="15"/>
        <v>8.9553337757716</v>
      </c>
    </row>
    <row r="137" spans="10:27" ht="15.75" thickBot="1">
      <c r="J137" s="1">
        <f>ROW()</f>
        <v>137</v>
      </c>
      <c r="K137" s="111"/>
      <c r="L137" s="112" t="s">
        <v>112</v>
      </c>
      <c r="M137" s="153">
        <f>SUM(M116:M136)</f>
        <v>875.3778965746001</v>
      </c>
      <c r="N137" s="122">
        <f>SUM(N117:N136)</f>
        <v>1</v>
      </c>
      <c r="O137" s="128">
        <f>SUM(O117:O136)</f>
        <v>13.680736817878978</v>
      </c>
      <c r="P137" s="126">
        <f>SUM(P116:P136)</f>
        <v>11975.814619225588</v>
      </c>
      <c r="Q137" s="128">
        <f>SUM(Q117:Q136)</f>
        <v>793.9935569837642</v>
      </c>
      <c r="R137" s="129"/>
      <c r="S137" s="106">
        <f>SUM(S116:S136)</f>
        <v>197783.00676234582</v>
      </c>
      <c r="T137" s="75"/>
      <c r="U137" s="75"/>
      <c r="V137" s="75"/>
      <c r="Z137" s="121">
        <f>SUM(Z117:Z136)</f>
        <v>1</v>
      </c>
      <c r="AA137" s="121">
        <f>SUM(AA117:AA136)</f>
        <v>13.68073681787898</v>
      </c>
    </row>
    <row r="138" spans="10:19" ht="15" thickBot="1">
      <c r="J138" s="1">
        <f>ROW()</f>
        <v>138</v>
      </c>
      <c r="L138" s="150" t="s">
        <v>129</v>
      </c>
      <c r="N138" s="151" t="s">
        <v>130</v>
      </c>
      <c r="O138" s="154">
        <f>+O137/2</f>
        <v>6.840368408939489</v>
      </c>
      <c r="P138" s="127"/>
      <c r="R138" s="151" t="s">
        <v>131</v>
      </c>
      <c r="S138" s="155">
        <f>+S137/M104/M109^M109</f>
        <v>56.4850356446859</v>
      </c>
    </row>
    <row r="139" ht="12.75">
      <c r="J139" s="1">
        <f>ROW()</f>
        <v>139</v>
      </c>
    </row>
    <row r="140" spans="10:24" ht="12.75">
      <c r="J140" s="1">
        <f>ROW()</f>
        <v>140</v>
      </c>
      <c r="K140" s="1" t="s">
        <v>7</v>
      </c>
      <c r="L140" s="1" t="s">
        <v>8</v>
      </c>
      <c r="M140" s="1" t="s">
        <v>9</v>
      </c>
      <c r="N140" s="1" t="s">
        <v>10</v>
      </c>
      <c r="O140" s="1" t="s">
        <v>11</v>
      </c>
      <c r="P140" s="1" t="s">
        <v>12</v>
      </c>
      <c r="Q140" s="1" t="s">
        <v>53</v>
      </c>
      <c r="R140" s="1" t="s">
        <v>85</v>
      </c>
      <c r="S140" s="1" t="s">
        <v>118</v>
      </c>
      <c r="T140" s="1" t="s">
        <v>132</v>
      </c>
      <c r="U140" s="1" t="s">
        <v>133</v>
      </c>
      <c r="V140" s="1" t="s">
        <v>134</v>
      </c>
      <c r="W140" s="1" t="s">
        <v>135</v>
      </c>
      <c r="X140" s="1" t="s">
        <v>136</v>
      </c>
    </row>
  </sheetData>
  <printOptions/>
  <pageMargins left="0.75" right="0.75" top="1" bottom="1" header="0.5" footer="0.5"/>
  <pageSetup horizontalDpi="600" verticalDpi="600" orientation="portrait" scale="65" r:id="rId2"/>
  <rowBreaks count="2" manualBreakCount="2">
    <brk id="61" max="255" man="1"/>
    <brk id="99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cdroussiotis</cp:lastModifiedBy>
  <cp:lastPrinted>2010-12-29T15:35:07Z</cp:lastPrinted>
  <dcterms:created xsi:type="dcterms:W3CDTF">2009-12-10T15:45:13Z</dcterms:created>
  <dcterms:modified xsi:type="dcterms:W3CDTF">2011-12-23T14:21:09Z</dcterms:modified>
  <cp:category/>
  <cp:version/>
  <cp:contentType/>
  <cp:contentStatus/>
</cp:coreProperties>
</file>