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1213" windowWidth="11200" windowHeight="4967" activeTab="0"/>
  </bookViews>
  <sheets>
    <sheet name="Sheet1" sheetId="1" r:id="rId1"/>
    <sheet name="Sheet2" sheetId="2" r:id="rId2"/>
    <sheet name="Sheet3" sheetId="3" r:id="rId3"/>
  </sheets>
  <definedNames>
    <definedName name="_xlfn._FV" hidden="1">#NAME?</definedName>
    <definedName name="_xlnm.Print_Area" localSheetId="0">'Sheet1'!$B$1:$AB$147</definedName>
  </definedNames>
  <calcPr fullCalcOnLoad="1"/>
</workbook>
</file>

<file path=xl/sharedStrings.xml><?xml version="1.0" encoding="utf-8"?>
<sst xmlns="http://schemas.openxmlformats.org/spreadsheetml/2006/main" count="259" uniqueCount="157">
  <si>
    <t>B</t>
  </si>
  <si>
    <t>C</t>
  </si>
  <si>
    <t>D</t>
  </si>
  <si>
    <t>E</t>
  </si>
  <si>
    <t>F</t>
  </si>
  <si>
    <t>G</t>
  </si>
  <si>
    <t>H</t>
  </si>
  <si>
    <t>K</t>
  </si>
  <si>
    <t>N</t>
  </si>
  <si>
    <t>BOND PRICING</t>
  </si>
  <si>
    <t>Par/Face Value</t>
  </si>
  <si>
    <t>Semi-Annual Coupon =</t>
  </si>
  <si>
    <t>Settlement Date=</t>
  </si>
  <si>
    <t>Coupon % =</t>
  </si>
  <si>
    <t>Semi-Annual Payment =</t>
  </si>
  <si>
    <t>every 6 mnts</t>
  </si>
  <si>
    <t>Maturity Date=</t>
  </si>
  <si>
    <t>Maturity/Term =</t>
  </si>
  <si>
    <t>yrs</t>
  </si>
  <si>
    <t>Semi-Annual # Paymants =</t>
  </si>
  <si>
    <t>pmts</t>
  </si>
  <si>
    <t>Coupon Rate=</t>
  </si>
  <si>
    <t>Yield to Maturity=</t>
  </si>
  <si>
    <t>Present Value of Coupon Pmts=</t>
  </si>
  <si>
    <t>=PV(B4/2,G5,-G4)</t>
  </si>
  <si>
    <t>Redemption value %=</t>
  </si>
  <si>
    <t>Present Value of Principal Pmt=</t>
  </si>
  <si>
    <t>=PV(B4/2,G5,0,-B3,0)</t>
  </si>
  <si>
    <t>Coupon Pmts per year=</t>
  </si>
  <si>
    <t xml:space="preserve"> Total</t>
  </si>
  <si>
    <t>Flat Price (% Par)</t>
  </si>
  <si>
    <t>=PRICE(M4,M5,M6,M7,M8,M9)</t>
  </si>
  <si>
    <t>Net Present Value</t>
  </si>
  <si>
    <t>Day since last coupon=</t>
  </si>
  <si>
    <t>=COUPDAYBS(M4,M5,2,1)</t>
  </si>
  <si>
    <t>Days in coupon period=</t>
  </si>
  <si>
    <t>=COUPDAYS(M4,M5,2,1)</t>
  </si>
  <si>
    <t>Long-Form</t>
  </si>
  <si>
    <t>Accrued Interest=</t>
  </si>
  <si>
    <t>=(M12/M13)*M6*100/2</t>
  </si>
  <si>
    <t>Period</t>
  </si>
  <si>
    <t>Coupon
Payment</t>
  </si>
  <si>
    <t>Principal
Payment</t>
  </si>
  <si>
    <t>Total Payment</t>
  </si>
  <si>
    <t>Invoice Price=</t>
  </si>
  <si>
    <t>=+M11+M14</t>
  </si>
  <si>
    <t>IRR =</t>
  </si>
  <si>
    <t>YIELD TO MATURITY</t>
  </si>
  <si>
    <t>YTM</t>
  </si>
  <si>
    <t>Bond Pricing=</t>
  </si>
  <si>
    <t>Redemption Value=</t>
  </si>
  <si>
    <t>Coupon pmts per yr=</t>
  </si>
  <si>
    <t>Call Provision</t>
  </si>
  <si>
    <t>=YIELD(D84,D85,D86,D87,D88,D89)</t>
  </si>
  <si>
    <t>Int.Rate =</t>
  </si>
  <si>
    <t>Time  until</t>
  </si>
  <si>
    <t>%</t>
  </si>
  <si>
    <t>Duration</t>
  </si>
  <si>
    <t>Payments</t>
  </si>
  <si>
    <t>Weight</t>
  </si>
  <si>
    <t>Sensitivity to interest rate movements</t>
  </si>
  <si>
    <t>DURATION AND CONVEXITY FORMULAS</t>
  </si>
  <si>
    <t>Bond Price</t>
  </si>
  <si>
    <t>If Yield Changes By</t>
  </si>
  <si>
    <t>Face Value</t>
  </si>
  <si>
    <t>Bond Price Will Change By</t>
  </si>
  <si>
    <t>Coupon Rate</t>
  </si>
  <si>
    <t>Life in Years</t>
  </si>
  <si>
    <t>Modified Duration Predicts</t>
  </si>
  <si>
    <t>Yield</t>
  </si>
  <si>
    <t>Convexity Adjustment</t>
  </si>
  <si>
    <t>Frequency</t>
  </si>
  <si>
    <t>Total Predicted Change</t>
  </si>
  <si>
    <t>Macaulay Duration</t>
  </si>
  <si>
    <t>Actual New Price</t>
  </si>
  <si>
    <t>Modified Duration</t>
  </si>
  <si>
    <t>Predicted New Price</t>
  </si>
  <si>
    <t>Convexity</t>
  </si>
  <si>
    <t>Difference</t>
  </si>
  <si>
    <t>PV Cash Flow</t>
  </si>
  <si>
    <t>Convexity
 Calc</t>
  </si>
  <si>
    <t>Weighted</t>
  </si>
  <si>
    <t>Factor years</t>
  </si>
  <si>
    <t>IRR=</t>
  </si>
  <si>
    <t>PRICE</t>
  </si>
  <si>
    <t xml:space="preserve"> DURATION</t>
  </si>
  <si>
    <t>CONVEXITY</t>
  </si>
  <si>
    <t>Coup. Rate=</t>
  </si>
  <si>
    <t>t + t^2</t>
  </si>
  <si>
    <t>PV of CF</t>
  </si>
  <si>
    <t>CF</t>
  </si>
  <si>
    <t>Convexity =</t>
  </si>
  <si>
    <t>Duration=</t>
  </si>
  <si>
    <t>Price=</t>
  </si>
  <si>
    <t>PRICE, ANNUAL DURATION AND CONVEXITY</t>
  </si>
  <si>
    <t>MACAULAY SEMI-ANNUAL DURATION AND CONVEXITY</t>
  </si>
  <si>
    <t>YTM=</t>
  </si>
  <si>
    <t>YTC=</t>
  </si>
  <si>
    <t>YTW=</t>
  </si>
  <si>
    <t xml:space="preserve">Market Price = </t>
  </si>
  <si>
    <t>I</t>
  </si>
  <si>
    <t>J</t>
  </si>
  <si>
    <t>Face Value =</t>
  </si>
  <si>
    <t>Frequency =</t>
  </si>
  <si>
    <t>(t+t^2) x PV(CF)</t>
  </si>
  <si>
    <t>BOND VALUATION &amp; ANALYSIS</t>
  </si>
  <si>
    <t>Trading Date =</t>
  </si>
  <si>
    <t>Settlement Date (T+3)</t>
  </si>
  <si>
    <t>Issuance Date =</t>
  </si>
  <si>
    <t>YTC1</t>
  </si>
  <si>
    <t>YTC2</t>
  </si>
  <si>
    <t>YTC3</t>
  </si>
  <si>
    <t>YTC4</t>
  </si>
  <si>
    <t>YTC5</t>
  </si>
  <si>
    <t>YIELD TO MAURITY (YTM), YIELD TO CALL (YTC), YIELD TO WORSE (YTW) and CURRENT YIELD (CY)</t>
  </si>
  <si>
    <t>Redemption (Final payment % of Par)</t>
  </si>
  <si>
    <t>Frequency (payments per year)</t>
  </si>
  <si>
    <t xml:space="preserve">Market Price </t>
  </si>
  <si>
    <t>Maturity Date / Call Date</t>
  </si>
  <si>
    <t>CY=</t>
  </si>
  <si>
    <t>Coupon Payment $</t>
  </si>
  <si>
    <t>Years (Term)</t>
  </si>
  <si>
    <t>Manual Example:</t>
  </si>
  <si>
    <t>Settlement Date (T+3 BD) =</t>
  </si>
  <si>
    <t>Market Price =</t>
  </si>
  <si>
    <t>Coupon Rate =</t>
  </si>
  <si>
    <t>Trading Date  =</t>
  </si>
  <si>
    <t>Coupon Dates =</t>
  </si>
  <si>
    <t xml:space="preserve"> F&amp;A</t>
  </si>
  <si>
    <t>(Feb 28 and Aug 31)</t>
  </si>
  <si>
    <t>Market Price Paid =</t>
  </si>
  <si>
    <t>Accrued Expenses =</t>
  </si>
  <si>
    <t xml:space="preserve">Invoice Price = </t>
  </si>
  <si>
    <t>8/31</t>
  </si>
  <si>
    <t>9/30</t>
  </si>
  <si>
    <t>10/31</t>
  </si>
  <si>
    <t>11/30</t>
  </si>
  <si>
    <t>12/31</t>
  </si>
  <si>
    <t>1/31</t>
  </si>
  <si>
    <t>2/28</t>
  </si>
  <si>
    <t>Accrued Basis=</t>
  </si>
  <si>
    <t>Days</t>
  </si>
  <si>
    <t>1/22</t>
  </si>
  <si>
    <t>Years</t>
  </si>
  <si>
    <t>DAYS =</t>
  </si>
  <si>
    <t>Total Days=</t>
  </si>
  <si>
    <t>Bought (Traded) F&amp;A the 7.50% Corporate Bond at 98.50 on Thursday, January 17, 2019</t>
  </si>
  <si>
    <t>L</t>
  </si>
  <si>
    <t>M</t>
  </si>
  <si>
    <t>Duration Calc</t>
  </si>
  <si>
    <t>Cash 
Flow</t>
  </si>
  <si>
    <t>CALCULATING THE PRICE</t>
  </si>
  <si>
    <t>CALCULATING THE YTM</t>
  </si>
  <si>
    <t>Yield to Maturity (YTM) =</t>
  </si>
  <si>
    <t>Current Yield =</t>
  </si>
  <si>
    <t>MARKET PRICE/INVOICE PRICE (Using Excel)</t>
  </si>
  <si>
    <t>MARKET PRICE/INVOICE PRICE (Manual)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</si>
</sst>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000%"/>
    <numFmt numFmtId="167" formatCode="0.0000"/>
    <numFmt numFmtId="168" formatCode="_(* #,##0_);_(* \(#,##0\);_(* &quot;-&quot;??_);_(@_)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%"/>
    <numFmt numFmtId="175" formatCode="0.0"/>
    <numFmt numFmtId="176" formatCode="_(* #,##0.000_);_(* \(#,##0.000\);_(* &quot;-&quot;??_);_(@_)"/>
    <numFmt numFmtId="177" formatCode="_(* #,##0.0_);_(* \(#,##0.0\);_(* &quot;-&quot;??_);_(@_)"/>
    <numFmt numFmtId="178" formatCode="[$-409]dddd\,\ mmmm\ d\,\ yyyy"/>
    <numFmt numFmtId="179" formatCode="[$-F800]dddd\,\ mmmm\ dd\,\ yyyy"/>
    <numFmt numFmtId="180" formatCode="&quot;$&quot;#,##0.000_);[Red]\(&quot;$&quot;#,##0.000\)"/>
  </numFmts>
  <fonts count="5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i/>
      <sz val="10"/>
      <color indexed="9"/>
      <name val="Times New Roman"/>
      <family val="1"/>
    </font>
    <font>
      <sz val="10"/>
      <name val="Times New Roman"/>
      <family val="1"/>
    </font>
    <font>
      <i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44" fontId="0" fillId="0" borderId="0" xfId="45" applyFont="1" applyAlignment="1">
      <alignment/>
    </xf>
    <xf numFmtId="10" fontId="0" fillId="0" borderId="0" xfId="63" applyNumberFormat="1" applyFon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44" fontId="0" fillId="0" borderId="0" xfId="0" applyNumberFormat="1" applyAlignment="1">
      <alignment/>
    </xf>
    <xf numFmtId="164" fontId="0" fillId="0" borderId="0" xfId="63" applyNumberFormat="1" applyFont="1" applyAlignment="1">
      <alignment/>
    </xf>
    <xf numFmtId="8" fontId="0" fillId="0" borderId="0" xfId="0" applyNumberFormat="1" applyAlignment="1" quotePrefix="1">
      <alignment/>
    </xf>
    <xf numFmtId="8" fontId="1" fillId="0" borderId="0" xfId="0" applyNumberFormat="1" applyFont="1" applyAlignment="1" quotePrefix="1">
      <alignment/>
    </xf>
    <xf numFmtId="8" fontId="0" fillId="0" borderId="10" xfId="0" applyNumberFormat="1" applyBorder="1" applyAlignment="1" quotePrefix="1">
      <alignment/>
    </xf>
    <xf numFmtId="0" fontId="0" fillId="0" borderId="11" xfId="0" applyBorder="1" applyAlignment="1">
      <alignment/>
    </xf>
    <xf numFmtId="8" fontId="0" fillId="0" borderId="11" xfId="0" applyNumberFormat="1" applyBorder="1" applyAlignment="1" quotePrefix="1">
      <alignment/>
    </xf>
    <xf numFmtId="0" fontId="0" fillId="0" borderId="0" xfId="0" applyAlignment="1" quotePrefix="1">
      <alignment/>
    </xf>
    <xf numFmtId="8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wrapText="1"/>
    </xf>
    <xf numFmtId="0" fontId="2" fillId="34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4" fontId="2" fillId="0" borderId="20" xfId="45" applyFont="1" applyBorder="1" applyAlignment="1">
      <alignment/>
    </xf>
    <xf numFmtId="0" fontId="0" fillId="0" borderId="21" xfId="0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0" xfId="45" applyFont="1" applyBorder="1" applyAlignment="1">
      <alignment/>
    </xf>
    <xf numFmtId="44" fontId="0" fillId="0" borderId="22" xfId="0" applyNumberFormat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0" fontId="2" fillId="34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164" fontId="0" fillId="0" borderId="0" xfId="63" applyNumberFormat="1" applyFont="1" applyAlignment="1" quotePrefix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5" fontId="2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6" fontId="3" fillId="0" borderId="23" xfId="63" applyNumberFormat="1" applyFont="1" applyBorder="1" applyAlignment="1">
      <alignment/>
    </xf>
    <xf numFmtId="164" fontId="0" fillId="0" borderId="14" xfId="63" applyNumberFormat="1" applyFont="1" applyBorder="1" applyAlignment="1">
      <alignment/>
    </xf>
    <xf numFmtId="0" fontId="4" fillId="0" borderId="0" xfId="0" applyFont="1" applyAlignment="1">
      <alignment/>
    </xf>
    <xf numFmtId="8" fontId="5" fillId="0" borderId="0" xfId="60" applyNumberFormat="1" applyFont="1" applyAlignment="1" quotePrefix="1">
      <alignment/>
      <protection/>
    </xf>
    <xf numFmtId="0" fontId="6" fillId="0" borderId="0" xfId="60">
      <alignment/>
      <protection/>
    </xf>
    <xf numFmtId="8" fontId="6" fillId="0" borderId="0" xfId="60" applyNumberFormat="1" applyFont="1" quotePrefix="1">
      <alignment/>
      <protection/>
    </xf>
    <xf numFmtId="0" fontId="7" fillId="0" borderId="11" xfId="60" applyFont="1" applyBorder="1">
      <alignment/>
      <protection/>
    </xf>
    <xf numFmtId="10" fontId="8" fillId="0" borderId="11" xfId="60" applyNumberFormat="1" applyFont="1" applyBorder="1" applyProtection="1">
      <alignment/>
      <protection locked="0"/>
    </xf>
    <xf numFmtId="168" fontId="8" fillId="0" borderId="0" xfId="42" applyNumberFormat="1" applyFont="1" applyAlignment="1" applyProtection="1">
      <alignment/>
      <protection locked="0"/>
    </xf>
    <xf numFmtId="0" fontId="9" fillId="0" borderId="0" xfId="60" applyFont="1" applyAlignment="1" applyProtection="1">
      <alignment/>
      <protection locked="0"/>
    </xf>
    <xf numFmtId="4" fontId="6" fillId="0" borderId="0" xfId="42" applyNumberFormat="1" applyFont="1" applyAlignment="1" quotePrefix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0" fontId="8" fillId="0" borderId="0" xfId="60" applyNumberFormat="1" applyFont="1" applyProtection="1">
      <alignment/>
      <protection locked="0"/>
    </xf>
    <xf numFmtId="9" fontId="9" fillId="0" borderId="0" xfId="60" applyNumberFormat="1" applyFont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60" applyFont="1" applyProtection="1">
      <alignment/>
      <protection locked="0"/>
    </xf>
    <xf numFmtId="4" fontId="6" fillId="0" borderId="11" xfId="42" applyNumberFormat="1" applyFont="1" applyBorder="1" applyAlignment="1" quotePrefix="1">
      <alignment/>
    </xf>
    <xf numFmtId="4" fontId="5" fillId="0" borderId="11" xfId="42" applyNumberFormat="1" applyFont="1" applyBorder="1" applyAlignment="1" quotePrefix="1">
      <alignment/>
    </xf>
    <xf numFmtId="4" fontId="6" fillId="0" borderId="0" xfId="60" applyNumberFormat="1" applyFont="1" quotePrefix="1">
      <alignment/>
      <protection/>
    </xf>
    <xf numFmtId="4" fontId="5" fillId="0" borderId="0" xfId="60" applyNumberFormat="1" applyFont="1" quotePrefix="1">
      <alignment/>
      <protection/>
    </xf>
    <xf numFmtId="0" fontId="5" fillId="0" borderId="0" xfId="60" applyFont="1" applyAlignment="1">
      <alignment/>
      <protection/>
    </xf>
    <xf numFmtId="0" fontId="5" fillId="0" borderId="0" xfId="60" applyFont="1">
      <alignment/>
      <protection/>
    </xf>
    <xf numFmtId="43" fontId="6" fillId="0" borderId="0" xfId="42" applyFont="1" applyAlignment="1" quotePrefix="1">
      <alignment/>
    </xf>
    <xf numFmtId="8" fontId="6" fillId="0" borderId="11" xfId="60" applyNumberFormat="1" applyFont="1" applyBorder="1" quotePrefix="1">
      <alignment/>
      <protection/>
    </xf>
    <xf numFmtId="0" fontId="7" fillId="34" borderId="13" xfId="60" applyFont="1" applyFill="1" applyBorder="1" applyAlignment="1">
      <alignment horizontal="center" wrapText="1"/>
      <protection/>
    </xf>
    <xf numFmtId="0" fontId="6" fillId="0" borderId="0" xfId="60" applyAlignment="1">
      <alignment horizontal="center"/>
      <protection/>
    </xf>
    <xf numFmtId="43" fontId="5" fillId="0" borderId="0" xfId="42" applyFont="1" applyAlignment="1" quotePrefix="1">
      <alignment/>
    </xf>
    <xf numFmtId="43" fontId="6" fillId="0" borderId="0" xfId="60" applyNumberFormat="1">
      <alignment/>
      <protection/>
    </xf>
    <xf numFmtId="43" fontId="5" fillId="0" borderId="0" xfId="60" applyNumberFormat="1" applyFont="1" quotePrefix="1">
      <alignment/>
      <protection/>
    </xf>
    <xf numFmtId="0" fontId="10" fillId="0" borderId="0" xfId="60" applyFont="1">
      <alignment/>
      <protection/>
    </xf>
    <xf numFmtId="8" fontId="11" fillId="35" borderId="0" xfId="0" applyNumberFormat="1" applyFont="1" applyFill="1" applyAlignment="1" quotePrefix="1">
      <alignment/>
    </xf>
    <xf numFmtId="165" fontId="11" fillId="0" borderId="0" xfId="0" applyNumberFormat="1" applyFont="1" applyAlignment="1" quotePrefix="1">
      <alignment/>
    </xf>
    <xf numFmtId="0" fontId="11" fillId="0" borderId="0" xfId="0" applyFont="1" applyAlignment="1" quotePrefix="1">
      <alignment/>
    </xf>
    <xf numFmtId="164" fontId="11" fillId="0" borderId="0" xfId="63" applyNumberFormat="1" applyFont="1" applyAlignment="1" quotePrefix="1">
      <alignment/>
    </xf>
    <xf numFmtId="0" fontId="6" fillId="0" borderId="0" xfId="60" applyFont="1">
      <alignment/>
      <protection/>
    </xf>
    <xf numFmtId="43" fontId="6" fillId="0" borderId="0" xfId="60" applyNumberFormat="1" applyFont="1">
      <alignment/>
      <protection/>
    </xf>
    <xf numFmtId="17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11" xfId="0" applyNumberFormat="1" applyBorder="1" applyAlignment="1">
      <alignment/>
    </xf>
    <xf numFmtId="43" fontId="6" fillId="0" borderId="11" xfId="60" applyNumberFormat="1" applyFont="1" applyBorder="1">
      <alignment/>
      <protection/>
    </xf>
    <xf numFmtId="0" fontId="0" fillId="0" borderId="0" xfId="0" applyFont="1" applyAlignment="1">
      <alignment/>
    </xf>
    <xf numFmtId="8" fontId="5" fillId="0" borderId="0" xfId="60" applyNumberFormat="1" applyFont="1" quotePrefix="1">
      <alignment/>
      <protection/>
    </xf>
    <xf numFmtId="8" fontId="5" fillId="0" borderId="11" xfId="60" applyNumberFormat="1" applyFont="1" applyBorder="1" quotePrefix="1">
      <alignment/>
      <protection/>
    </xf>
    <xf numFmtId="4" fontId="10" fillId="0" borderId="0" xfId="42" applyNumberFormat="1" applyFont="1" applyAlignment="1" quotePrefix="1">
      <alignment/>
    </xf>
    <xf numFmtId="10" fontId="6" fillId="0" borderId="0" xfId="63" applyNumberFormat="1" applyFont="1" applyAlignment="1" quotePrefix="1">
      <alignment/>
    </xf>
    <xf numFmtId="164" fontId="0" fillId="0" borderId="0" xfId="63" applyNumberFormat="1" applyFont="1" applyAlignment="1">
      <alignment horizontal="center"/>
    </xf>
    <xf numFmtId="168" fontId="5" fillId="0" borderId="0" xfId="42" applyNumberFormat="1" applyFont="1" applyAlignment="1" applyProtection="1">
      <alignment/>
      <protection locked="0"/>
    </xf>
    <xf numFmtId="8" fontId="5" fillId="0" borderId="0" xfId="42" applyNumberFormat="1" applyFont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0" fontId="0" fillId="0" borderId="27" xfId="0" applyNumberForma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2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4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 quotePrefix="1">
      <alignment horizontal="center"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14" fontId="2" fillId="34" borderId="16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4" fillId="0" borderId="0" xfId="0" applyFont="1" applyAlignment="1">
      <alignment/>
    </xf>
    <xf numFmtId="0" fontId="53" fillId="37" borderId="0" xfId="0" applyFont="1" applyFill="1" applyAlignment="1">
      <alignment/>
    </xf>
    <xf numFmtId="0" fontId="54" fillId="37" borderId="0" xfId="0" applyFont="1" applyFill="1" applyAlignment="1">
      <alignment/>
    </xf>
    <xf numFmtId="168" fontId="0" fillId="0" borderId="0" xfId="42" applyNumberFormat="1" applyFont="1" applyAlignment="1">
      <alignment/>
    </xf>
    <xf numFmtId="4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36" borderId="12" xfId="60" applyFont="1" applyFill="1" applyBorder="1">
      <alignment/>
      <protection/>
    </xf>
    <xf numFmtId="0" fontId="2" fillId="36" borderId="13" xfId="0" applyFont="1" applyFill="1" applyBorder="1" applyAlignment="1">
      <alignment/>
    </xf>
    <xf numFmtId="43" fontId="7" fillId="36" borderId="14" xfId="42" applyFont="1" applyFill="1" applyBorder="1" applyAlignment="1" quotePrefix="1">
      <alignment/>
    </xf>
    <xf numFmtId="8" fontId="7" fillId="36" borderId="14" xfId="60" applyNumberFormat="1" applyFont="1" applyFill="1" applyBorder="1" quotePrefix="1">
      <alignment/>
      <protection/>
    </xf>
    <xf numFmtId="8" fontId="6" fillId="0" borderId="0" xfId="60" applyNumberFormat="1">
      <alignment/>
      <protection/>
    </xf>
    <xf numFmtId="43" fontId="5" fillId="0" borderId="0" xfId="42" applyFont="1" applyAlignment="1">
      <alignment/>
    </xf>
    <xf numFmtId="166" fontId="2" fillId="36" borderId="10" xfId="63" applyNumberFormat="1" applyFont="1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3" fontId="0" fillId="0" borderId="0" xfId="42" applyFont="1" applyAlignment="1">
      <alignment horizontal="right"/>
    </xf>
    <xf numFmtId="43" fontId="0" fillId="0" borderId="0" xfId="0" applyNumberFormat="1" applyAlignment="1">
      <alignment/>
    </xf>
    <xf numFmtId="166" fontId="2" fillId="36" borderId="23" xfId="0" applyNumberFormat="1" applyFont="1" applyFill="1" applyBorder="1" applyAlignment="1">
      <alignment horizontal="center"/>
    </xf>
    <xf numFmtId="6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/>
    </xf>
    <xf numFmtId="43" fontId="2" fillId="0" borderId="0" xfId="42" applyFont="1" applyAlignment="1">
      <alignment horizontal="right"/>
    </xf>
    <xf numFmtId="43" fontId="2" fillId="0" borderId="0" xfId="42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 quotePrefix="1">
      <alignment/>
    </xf>
    <xf numFmtId="8" fontId="2" fillId="0" borderId="0" xfId="0" applyNumberFormat="1" applyFont="1" applyAlignment="1">
      <alignment horizontal="left"/>
    </xf>
    <xf numFmtId="0" fontId="0" fillId="0" borderId="0" xfId="0" applyFont="1" applyAlignment="1" quotePrefix="1">
      <alignment horizontal="center"/>
    </xf>
    <xf numFmtId="0" fontId="2" fillId="34" borderId="10" xfId="0" applyFont="1" applyFill="1" applyBorder="1" applyAlignment="1">
      <alignment horizontal="center"/>
    </xf>
    <xf numFmtId="164" fontId="2" fillId="36" borderId="10" xfId="63" applyNumberFormat="1" applyFont="1" applyFill="1" applyBorder="1" applyAlignment="1">
      <alignment horizontal="center"/>
    </xf>
    <xf numFmtId="164" fontId="2" fillId="36" borderId="23" xfId="63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36" borderId="2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8" fontId="0" fillId="36" borderId="23" xfId="0" applyNumberFormat="1" applyFill="1" applyBorder="1" applyAlignment="1">
      <alignment/>
    </xf>
    <xf numFmtId="43" fontId="6" fillId="0" borderId="0" xfId="42" applyFont="1" applyAlignment="1">
      <alignment/>
    </xf>
    <xf numFmtId="43" fontId="6" fillId="0" borderId="0" xfId="42" applyFont="1" applyAlignment="1" quotePrefix="1">
      <alignment/>
    </xf>
    <xf numFmtId="8" fontId="6" fillId="0" borderId="0" xfId="42" applyNumberFormat="1" applyFont="1" applyBorder="1" applyAlignment="1">
      <alignment/>
    </xf>
    <xf numFmtId="43" fontId="6" fillId="0" borderId="0" xfId="42" applyFont="1" applyBorder="1" applyAlignment="1">
      <alignment/>
    </xf>
    <xf numFmtId="0" fontId="2" fillId="34" borderId="16" xfId="0" applyFont="1" applyFill="1" applyBorder="1" applyAlignment="1" quotePrefix="1">
      <alignment horizontal="center" shrinkToFit="1"/>
    </xf>
    <xf numFmtId="165" fontId="2" fillId="36" borderId="14" xfId="0" applyNumberFormat="1" applyFont="1" applyFill="1" applyBorder="1" applyAlignment="1">
      <alignment/>
    </xf>
    <xf numFmtId="167" fontId="2" fillId="36" borderId="14" xfId="0" applyNumberFormat="1" applyFont="1" applyFill="1" applyBorder="1" applyAlignment="1">
      <alignment/>
    </xf>
    <xf numFmtId="165" fontId="2" fillId="36" borderId="14" xfId="0" applyNumberFormat="1" applyFont="1" applyFill="1" applyBorder="1" applyAlignment="1">
      <alignment horizontal="center"/>
    </xf>
    <xf numFmtId="43" fontId="7" fillId="36" borderId="14" xfId="60" applyNumberFormat="1" applyFont="1" applyFill="1" applyBorder="1" applyAlignment="1">
      <alignment/>
      <protection/>
    </xf>
    <xf numFmtId="43" fontId="7" fillId="0" borderId="0" xfId="42" applyFont="1" applyBorder="1" applyAlignment="1">
      <alignment horizontal="right"/>
    </xf>
    <xf numFmtId="0" fontId="7" fillId="34" borderId="13" xfId="60" applyFont="1" applyFill="1" applyBorder="1" applyAlignment="1">
      <alignment horizontal="center" wrapText="1"/>
      <protection/>
    </xf>
    <xf numFmtId="43" fontId="6" fillId="0" borderId="0" xfId="42" applyFont="1" applyBorder="1" applyAlignment="1" quotePrefix="1">
      <alignment/>
    </xf>
    <xf numFmtId="0" fontId="6" fillId="0" borderId="0" xfId="60" applyBorder="1">
      <alignment/>
      <protection/>
    </xf>
    <xf numFmtId="173" fontId="2" fillId="36" borderId="14" xfId="0" applyNumberFormat="1" applyFont="1" applyFill="1" applyBorder="1" applyAlignment="1">
      <alignment/>
    </xf>
    <xf numFmtId="0" fontId="7" fillId="34" borderId="16" xfId="60" applyFont="1" applyFill="1" applyBorder="1" applyAlignment="1">
      <alignment horizontal="center" wrapText="1"/>
      <protection/>
    </xf>
    <xf numFmtId="0" fontId="6" fillId="0" borderId="13" xfId="60" applyBorder="1">
      <alignment/>
      <protection/>
    </xf>
    <xf numFmtId="43" fontId="6" fillId="0" borderId="11" xfId="42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34" borderId="16" xfId="60" applyFont="1" applyFill="1" applyBorder="1" applyAlignment="1">
      <alignment horizontal="center" wrapText="1"/>
      <protection/>
    </xf>
    <xf numFmtId="0" fontId="2" fillId="34" borderId="12" xfId="0" applyFont="1" applyFill="1" applyBorder="1" applyAlignment="1" quotePrefix="1">
      <alignment horizontal="center"/>
    </xf>
    <xf numFmtId="166" fontId="2" fillId="34" borderId="14" xfId="0" applyNumberFormat="1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31" xfId="0" applyFont="1" applyBorder="1" applyAlignment="1">
      <alignment horizontal="right"/>
    </xf>
    <xf numFmtId="0" fontId="0" fillId="0" borderId="0" xfId="59">
      <alignment/>
      <protection/>
    </xf>
    <xf numFmtId="14" fontId="0" fillId="0" borderId="0" xfId="59" applyNumberFormat="1">
      <alignment/>
      <protection/>
    </xf>
    <xf numFmtId="164" fontId="0" fillId="0" borderId="0" xfId="64" applyNumberFormat="1" applyFont="1" applyAlignment="1">
      <alignment/>
    </xf>
    <xf numFmtId="0" fontId="0" fillId="0" borderId="0" xfId="59" quotePrefix="1">
      <alignment/>
      <protection/>
    </xf>
    <xf numFmtId="14" fontId="0" fillId="0" borderId="0" xfId="59" applyNumberFormat="1" applyFont="1">
      <alignment/>
      <protection/>
    </xf>
    <xf numFmtId="0" fontId="2" fillId="0" borderId="0" xfId="59" applyFont="1">
      <alignment/>
      <protection/>
    </xf>
    <xf numFmtId="165" fontId="11" fillId="0" borderId="0" xfId="59" applyNumberFormat="1" applyFont="1" quotePrefix="1">
      <alignment/>
      <protection/>
    </xf>
    <xf numFmtId="0" fontId="11" fillId="0" borderId="0" xfId="59" applyFont="1" quotePrefix="1">
      <alignment/>
      <protection/>
    </xf>
    <xf numFmtId="0" fontId="0" fillId="33" borderId="0" xfId="59" applyFont="1" applyFill="1" applyAlignment="1">
      <alignment horizontal="center"/>
      <protection/>
    </xf>
    <xf numFmtId="165" fontId="2" fillId="36" borderId="23" xfId="59" applyNumberFormat="1" applyFont="1" applyFill="1" applyBorder="1" quotePrefix="1">
      <alignment/>
      <protection/>
    </xf>
    <xf numFmtId="14" fontId="2" fillId="0" borderId="0" xfId="59" applyNumberFormat="1" applyFont="1" applyFill="1">
      <alignment/>
      <protection/>
    </xf>
    <xf numFmtId="164" fontId="2" fillId="0" borderId="0" xfId="59" applyNumberFormat="1" applyFont="1">
      <alignment/>
      <protection/>
    </xf>
    <xf numFmtId="176" fontId="2" fillId="0" borderId="0" xfId="44" applyNumberFormat="1" applyFont="1" applyAlignment="1">
      <alignment/>
    </xf>
    <xf numFmtId="0" fontId="53" fillId="37" borderId="0" xfId="59" applyFont="1" applyFill="1">
      <alignment/>
      <protection/>
    </xf>
    <xf numFmtId="0" fontId="54" fillId="37" borderId="0" xfId="59" applyFont="1" applyFill="1">
      <alignment/>
      <protection/>
    </xf>
    <xf numFmtId="164" fontId="2" fillId="34" borderId="23" xfId="64" applyNumberFormat="1" applyFont="1" applyFill="1" applyBorder="1" applyAlignment="1" quotePrefix="1">
      <alignment/>
    </xf>
    <xf numFmtId="0" fontId="55" fillId="0" borderId="0" xfId="59" applyFont="1">
      <alignment/>
      <protection/>
    </xf>
    <xf numFmtId="0" fontId="56" fillId="0" borderId="0" xfId="59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152</xdr:row>
      <xdr:rowOff>85725</xdr:rowOff>
    </xdr:from>
    <xdr:to>
      <xdr:col>1</xdr:col>
      <xdr:colOff>561975</xdr:colOff>
      <xdr:row>163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838200" y="26984325"/>
          <a:ext cx="190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561975</xdr:colOff>
      <xdr:row>114</xdr:row>
      <xdr:rowOff>533400</xdr:rowOff>
    </xdr:from>
    <xdr:to>
      <xdr:col>14</xdr:col>
      <xdr:colOff>0</xdr:colOff>
      <xdr:row>124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20326350"/>
          <a:ext cx="25050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685800</xdr:colOff>
      <xdr:row>20</xdr:row>
      <xdr:rowOff>0</xdr:rowOff>
    </xdr:from>
    <xdr:to>
      <xdr:col>6</xdr:col>
      <xdr:colOff>685800</xdr:colOff>
      <xdr:row>22</xdr:row>
      <xdr:rowOff>180975</xdr:rowOff>
    </xdr:to>
    <xdr:sp>
      <xdr:nvSpPr>
        <xdr:cNvPr id="3" name="Straight Connector 2"/>
        <xdr:cNvSpPr>
          <a:spLocks/>
        </xdr:cNvSpPr>
      </xdr:nvSpPr>
      <xdr:spPr>
        <a:xfrm>
          <a:off x="5114925" y="3819525"/>
          <a:ext cx="0" cy="542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152400</xdr:rowOff>
    </xdr:from>
    <xdr:to>
      <xdr:col>3</xdr:col>
      <xdr:colOff>19050</xdr:colOff>
      <xdr:row>24</xdr:row>
      <xdr:rowOff>180975</xdr:rowOff>
    </xdr:to>
    <xdr:sp>
      <xdr:nvSpPr>
        <xdr:cNvPr id="4" name="Left Brace 5"/>
        <xdr:cNvSpPr>
          <a:spLocks/>
        </xdr:cNvSpPr>
      </xdr:nvSpPr>
      <xdr:spPr>
        <a:xfrm rot="16200000">
          <a:off x="1524000" y="4514850"/>
          <a:ext cx="685800" cy="209550"/>
        </a:xfrm>
        <a:prstGeom prst="leftBrace">
          <a:avLst>
            <a:gd name="adj1" fmla="val -47842"/>
            <a:gd name="adj2" fmla="val 5972"/>
          </a:avLst>
        </a:prstGeom>
        <a:noFill/>
        <a:ln w="190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23</xdr:row>
      <xdr:rowOff>180975</xdr:rowOff>
    </xdr:from>
    <xdr:to>
      <xdr:col>4</xdr:col>
      <xdr:colOff>57150</xdr:colOff>
      <xdr:row>24</xdr:row>
      <xdr:rowOff>180975</xdr:rowOff>
    </xdr:to>
    <xdr:sp>
      <xdr:nvSpPr>
        <xdr:cNvPr id="5" name="Left Brace 12"/>
        <xdr:cNvSpPr>
          <a:spLocks/>
        </xdr:cNvSpPr>
      </xdr:nvSpPr>
      <xdr:spPr>
        <a:xfrm rot="16200000">
          <a:off x="2247900" y="4543425"/>
          <a:ext cx="762000" cy="180975"/>
        </a:xfrm>
        <a:prstGeom prst="leftBrace">
          <a:avLst>
            <a:gd name="adj1" fmla="val -47819"/>
            <a:gd name="adj2" fmla="val 5972"/>
          </a:avLst>
        </a:prstGeom>
        <a:noFill/>
        <a:ln w="190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23</xdr:row>
      <xdr:rowOff>180975</xdr:rowOff>
    </xdr:from>
    <xdr:to>
      <xdr:col>5</xdr:col>
      <xdr:colOff>66675</xdr:colOff>
      <xdr:row>24</xdr:row>
      <xdr:rowOff>180975</xdr:rowOff>
    </xdr:to>
    <xdr:sp>
      <xdr:nvSpPr>
        <xdr:cNvPr id="6" name="Left Brace 13"/>
        <xdr:cNvSpPr>
          <a:spLocks/>
        </xdr:cNvSpPr>
      </xdr:nvSpPr>
      <xdr:spPr>
        <a:xfrm rot="16200000">
          <a:off x="3009900" y="4543425"/>
          <a:ext cx="809625" cy="180975"/>
        </a:xfrm>
        <a:prstGeom prst="leftBrace">
          <a:avLst>
            <a:gd name="adj1" fmla="val -47819"/>
            <a:gd name="adj2" fmla="val 5972"/>
          </a:avLst>
        </a:prstGeom>
        <a:noFill/>
        <a:ln w="190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180975</xdr:rowOff>
    </xdr:from>
    <xdr:to>
      <xdr:col>6</xdr:col>
      <xdr:colOff>47625</xdr:colOff>
      <xdr:row>24</xdr:row>
      <xdr:rowOff>180975</xdr:rowOff>
    </xdr:to>
    <xdr:sp>
      <xdr:nvSpPr>
        <xdr:cNvPr id="7" name="Left Brace 14"/>
        <xdr:cNvSpPr>
          <a:spLocks/>
        </xdr:cNvSpPr>
      </xdr:nvSpPr>
      <xdr:spPr>
        <a:xfrm rot="16200000">
          <a:off x="3800475" y="4543425"/>
          <a:ext cx="676275" cy="180975"/>
        </a:xfrm>
        <a:prstGeom prst="leftBrace">
          <a:avLst>
            <a:gd name="adj1" fmla="val -47819"/>
            <a:gd name="adj2" fmla="val 5972"/>
          </a:avLst>
        </a:prstGeom>
        <a:noFill/>
        <a:ln w="190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23</xdr:row>
      <xdr:rowOff>180975</xdr:rowOff>
    </xdr:from>
    <xdr:to>
      <xdr:col>6</xdr:col>
      <xdr:colOff>685800</xdr:colOff>
      <xdr:row>25</xdr:row>
      <xdr:rowOff>19050</xdr:rowOff>
    </xdr:to>
    <xdr:sp>
      <xdr:nvSpPr>
        <xdr:cNvPr id="8" name="Left Brace 15"/>
        <xdr:cNvSpPr>
          <a:spLocks/>
        </xdr:cNvSpPr>
      </xdr:nvSpPr>
      <xdr:spPr>
        <a:xfrm rot="16200000">
          <a:off x="4505325" y="4543425"/>
          <a:ext cx="609600" cy="200025"/>
        </a:xfrm>
        <a:prstGeom prst="leftBrace">
          <a:avLst>
            <a:gd name="adj1" fmla="val -45578"/>
            <a:gd name="adj2" fmla="val 5972"/>
          </a:avLst>
        </a:prstGeom>
        <a:noFill/>
        <a:ln w="190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752475</xdr:colOff>
      <xdr:row>78</xdr:row>
      <xdr:rowOff>161925</xdr:rowOff>
    </xdr:from>
    <xdr:to>
      <xdr:col>14</xdr:col>
      <xdr:colOff>0</xdr:colOff>
      <xdr:row>89</xdr:row>
      <xdr:rowOff>133350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3801725"/>
          <a:ext cx="23145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35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4.28125" style="0" customWidth="1"/>
    <col min="2" max="2" width="18.28125" style="0" customWidth="1"/>
    <col min="3" max="3" width="10.28125" style="0" bestFit="1" customWidth="1"/>
    <col min="4" max="4" width="11.421875" style="0" customWidth="1"/>
    <col min="5" max="5" width="12.00390625" style="0" customWidth="1"/>
    <col min="6" max="6" width="10.140625" style="0" customWidth="1"/>
    <col min="7" max="7" width="10.28125" style="0" bestFit="1" customWidth="1"/>
    <col min="8" max="13" width="11.28125" style="0" customWidth="1"/>
    <col min="14" max="14" width="12.140625" style="0" customWidth="1"/>
    <col min="15" max="15" width="4.00390625" style="0" customWidth="1"/>
    <col min="16" max="16" width="4.8515625" style="0" customWidth="1"/>
    <col min="17" max="17" width="11.28125" style="0" customWidth="1"/>
    <col min="18" max="18" width="12.00390625" style="0" customWidth="1"/>
    <col min="19" max="19" width="12.28125" style="0" customWidth="1"/>
    <col min="20" max="20" width="11.00390625" style="0" customWidth="1"/>
    <col min="21" max="21" width="10.8515625" style="0" customWidth="1"/>
    <col min="22" max="22" width="12.00390625" style="0" customWidth="1"/>
    <col min="23" max="23" width="14.8515625" style="0" customWidth="1"/>
    <col min="24" max="24" width="13.7109375" style="0" customWidth="1"/>
    <col min="25" max="25" width="13.8515625" style="0" customWidth="1"/>
    <col min="29" max="29" width="12.57421875" style="0" customWidth="1"/>
    <col min="30" max="30" width="13.140625" style="0" customWidth="1"/>
  </cols>
  <sheetData>
    <row r="1" ht="24" customHeight="1">
      <c r="A1" s="109" t="s">
        <v>105</v>
      </c>
    </row>
    <row r="2" ht="14.25" customHeight="1"/>
    <row r="3" spans="1:14" ht="14.25" customHeight="1">
      <c r="A3" s="1">
        <f>ROW()</f>
        <v>3</v>
      </c>
      <c r="B3" s="185" t="s">
        <v>0</v>
      </c>
      <c r="C3" s="185" t="s">
        <v>1</v>
      </c>
      <c r="D3" s="185" t="s">
        <v>2</v>
      </c>
      <c r="E3" s="185" t="s">
        <v>3</v>
      </c>
      <c r="F3" s="185" t="s">
        <v>4</v>
      </c>
      <c r="G3" s="185" t="s">
        <v>5</v>
      </c>
      <c r="H3" s="185" t="s">
        <v>6</v>
      </c>
      <c r="I3" s="185" t="s">
        <v>100</v>
      </c>
      <c r="J3" s="185" t="s">
        <v>101</v>
      </c>
      <c r="K3" s="185" t="s">
        <v>7</v>
      </c>
      <c r="L3" s="185" t="s">
        <v>147</v>
      </c>
      <c r="M3" s="185" t="s">
        <v>148</v>
      </c>
      <c r="N3" s="185" t="s">
        <v>8</v>
      </c>
    </row>
    <row r="4" spans="1:14" ht="20.25" customHeight="1">
      <c r="A4" s="1">
        <f>ROW()</f>
        <v>4</v>
      </c>
      <c r="B4" s="190" t="s">
        <v>156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3" ht="14.25" customHeight="1">
      <c r="A5" s="1">
        <f>ROW()</f>
        <v>5</v>
      </c>
      <c r="C5" s="136" t="s">
        <v>122</v>
      </c>
    </row>
    <row r="6" spans="1:3" ht="14.25" customHeight="1">
      <c r="A6" s="1">
        <f>ROW()</f>
        <v>6</v>
      </c>
      <c r="C6" s="95" t="s">
        <v>146</v>
      </c>
    </row>
    <row r="7" ht="14.25" customHeight="1">
      <c r="A7" s="1">
        <f>ROW()</f>
        <v>7</v>
      </c>
    </row>
    <row r="8" ht="14.25" customHeight="1">
      <c r="A8" s="1">
        <f>ROW()</f>
        <v>8</v>
      </c>
    </row>
    <row r="9" spans="1:6" ht="14.25" customHeight="1">
      <c r="A9" s="1">
        <f>ROW()</f>
        <v>9</v>
      </c>
      <c r="D9" s="137" t="s">
        <v>126</v>
      </c>
      <c r="E9" s="174">
        <f>DATE(2019,1,17)</f>
        <v>43482</v>
      </c>
      <c r="F9" s="175"/>
    </row>
    <row r="10" spans="1:6" ht="14.25" customHeight="1">
      <c r="A10" s="1">
        <f>ROW()</f>
        <v>10</v>
      </c>
      <c r="D10" s="137" t="s">
        <v>123</v>
      </c>
      <c r="E10" s="174">
        <f>+E9+5</f>
        <v>43487</v>
      </c>
      <c r="F10" s="175"/>
    </row>
    <row r="11" spans="1:5" ht="14.25" customHeight="1">
      <c r="A11" s="1">
        <f>ROW()</f>
        <v>11</v>
      </c>
      <c r="D11" s="137" t="s">
        <v>124</v>
      </c>
      <c r="E11" s="32">
        <v>98.5</v>
      </c>
    </row>
    <row r="12" spans="1:5" ht="14.25" customHeight="1">
      <c r="A12" s="1">
        <f>ROW()</f>
        <v>12</v>
      </c>
      <c r="B12" s="75" t="s">
        <v>31</v>
      </c>
      <c r="D12" s="137" t="s">
        <v>125</v>
      </c>
      <c r="E12" s="7">
        <v>0.075</v>
      </c>
    </row>
    <row r="13" spans="1:6" ht="14.25" customHeight="1">
      <c r="A13" s="1">
        <f>ROW()</f>
        <v>13</v>
      </c>
      <c r="B13" s="76" t="s">
        <v>34</v>
      </c>
      <c r="D13" s="137" t="s">
        <v>127</v>
      </c>
      <c r="E13" s="137" t="s">
        <v>128</v>
      </c>
      <c r="F13" s="95" t="s">
        <v>129</v>
      </c>
    </row>
    <row r="14" spans="1:5" ht="14.25" customHeight="1">
      <c r="A14" s="1">
        <f>ROW()</f>
        <v>14</v>
      </c>
      <c r="B14" s="76" t="s">
        <v>36</v>
      </c>
      <c r="D14" s="137" t="s">
        <v>102</v>
      </c>
      <c r="E14" s="128">
        <v>1000</v>
      </c>
    </row>
    <row r="15" spans="1:6" ht="14.25" customHeight="1">
      <c r="A15" s="1">
        <f>ROW()</f>
        <v>15</v>
      </c>
      <c r="B15" s="76" t="s">
        <v>39</v>
      </c>
      <c r="D15" s="137" t="s">
        <v>140</v>
      </c>
      <c r="E15">
        <v>360</v>
      </c>
      <c r="F15" s="95" t="s">
        <v>141</v>
      </c>
    </row>
    <row r="16" spans="1:2" ht="14.25" customHeight="1">
      <c r="A16" s="1">
        <f>ROW()</f>
        <v>16</v>
      </c>
      <c r="B16" s="75" t="s">
        <v>45</v>
      </c>
    </row>
    <row r="17" spans="1:5" ht="14.25" customHeight="1">
      <c r="A17" s="1">
        <f>ROW()</f>
        <v>17</v>
      </c>
      <c r="D17" s="137" t="s">
        <v>130</v>
      </c>
      <c r="E17" s="14">
        <f>+E11*10</f>
        <v>985</v>
      </c>
    </row>
    <row r="18" spans="1:5" ht="14.25" customHeight="1" thickBot="1">
      <c r="A18" s="1">
        <f>ROW()</f>
        <v>18</v>
      </c>
      <c r="D18" s="137" t="s">
        <v>131</v>
      </c>
      <c r="E18" s="14">
        <f>+(C27/E15)*(E12*E14)</f>
        <v>29.583333333333332</v>
      </c>
    </row>
    <row r="19" spans="1:5" ht="14.25" customHeight="1" thickBot="1">
      <c r="A19" s="1">
        <f>ROW()</f>
        <v>19</v>
      </c>
      <c r="D19" s="137" t="s">
        <v>132</v>
      </c>
      <c r="E19" s="151">
        <f>+E18+E17</f>
        <v>1014.5833333333334</v>
      </c>
    </row>
    <row r="20" spans="1:7" ht="14.25" customHeight="1">
      <c r="A20" s="1">
        <f>ROW()</f>
        <v>20</v>
      </c>
      <c r="G20" s="143" t="s">
        <v>142</v>
      </c>
    </row>
    <row r="21" ht="14.25" customHeight="1">
      <c r="A21" s="1">
        <f>ROW()</f>
        <v>21</v>
      </c>
    </row>
    <row r="22" spans="1:9" ht="14.25" customHeight="1">
      <c r="A22" s="1">
        <f>ROW()</f>
        <v>22</v>
      </c>
      <c r="C22" s="142">
        <f>+$E$12*$E$14/2</f>
        <v>37.5</v>
      </c>
      <c r="I22" s="142">
        <f>+$E$12*$E$14/2</f>
        <v>37.5</v>
      </c>
    </row>
    <row r="23" spans="1:8" ht="14.25" customHeight="1">
      <c r="A23" s="1">
        <f>ROW()</f>
        <v>23</v>
      </c>
      <c r="C23" s="138"/>
      <c r="D23" s="138"/>
      <c r="E23" s="138"/>
      <c r="F23" s="138"/>
      <c r="G23" s="138"/>
      <c r="H23" s="139"/>
    </row>
    <row r="24" spans="1:9" ht="14.25" customHeight="1">
      <c r="A24" s="1">
        <f>ROW()</f>
        <v>24</v>
      </c>
      <c r="C24" s="141" t="s">
        <v>133</v>
      </c>
      <c r="D24" s="140" t="s">
        <v>134</v>
      </c>
      <c r="E24" s="140" t="s">
        <v>135</v>
      </c>
      <c r="F24" s="140" t="s">
        <v>136</v>
      </c>
      <c r="G24" s="140" t="s">
        <v>137</v>
      </c>
      <c r="H24" s="140" t="s">
        <v>138</v>
      </c>
      <c r="I24" s="141" t="s">
        <v>139</v>
      </c>
    </row>
    <row r="25" ht="14.25" customHeight="1">
      <c r="A25" s="1">
        <f>ROW()</f>
        <v>25</v>
      </c>
    </row>
    <row r="26" spans="1:8" ht="14.25" customHeight="1">
      <c r="A26" s="1">
        <f>ROW()</f>
        <v>26</v>
      </c>
      <c r="B26" s="96" t="s">
        <v>144</v>
      </c>
      <c r="C26" s="149">
        <v>30</v>
      </c>
      <c r="D26" s="149">
        <v>30</v>
      </c>
      <c r="E26" s="149">
        <v>30</v>
      </c>
      <c r="F26" s="149">
        <v>30</v>
      </c>
      <c r="G26" s="149">
        <v>22</v>
      </c>
      <c r="H26" s="31"/>
    </row>
    <row r="27" spans="1:3" ht="14.25" customHeight="1">
      <c r="A27" s="1">
        <f>ROW()</f>
        <v>27</v>
      </c>
      <c r="B27" s="176" t="s">
        <v>145</v>
      </c>
      <c r="C27" s="150">
        <f>SUM(C26:H26)</f>
        <v>142</v>
      </c>
    </row>
    <row r="28" spans="1:3" ht="14.25" customHeight="1">
      <c r="A28" s="1">
        <f>ROW()</f>
        <v>28</v>
      </c>
      <c r="B28" s="169"/>
      <c r="C28" s="170"/>
    </row>
    <row r="29" ht="14.25" customHeight="1"/>
    <row r="30" ht="14.25" customHeight="1"/>
    <row r="31" spans="1:14" ht="14.25" customHeight="1">
      <c r="A31" s="1">
        <f>ROW()</f>
        <v>31</v>
      </c>
      <c r="B31" s="185" t="s">
        <v>0</v>
      </c>
      <c r="C31" s="185" t="s">
        <v>1</v>
      </c>
      <c r="D31" s="185" t="s">
        <v>2</v>
      </c>
      <c r="E31" s="185" t="s">
        <v>3</v>
      </c>
      <c r="F31" s="185" t="s">
        <v>4</v>
      </c>
      <c r="G31" s="185" t="s">
        <v>5</v>
      </c>
      <c r="H31" s="185" t="s">
        <v>6</v>
      </c>
      <c r="I31" s="185" t="s">
        <v>100</v>
      </c>
      <c r="J31" s="185" t="s">
        <v>101</v>
      </c>
      <c r="K31" s="185" t="s">
        <v>7</v>
      </c>
      <c r="L31" s="185" t="s">
        <v>147</v>
      </c>
      <c r="M31" s="185" t="s">
        <v>148</v>
      </c>
      <c r="N31" s="185" t="s">
        <v>8</v>
      </c>
    </row>
    <row r="32" spans="1:14" ht="21" customHeight="1">
      <c r="A32" s="1">
        <f>ROW()</f>
        <v>32</v>
      </c>
      <c r="B32" s="190" t="s">
        <v>155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</row>
    <row r="33" spans="1:10" ht="12.75">
      <c r="A33" s="1">
        <f>ROW()</f>
        <v>33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2.75">
      <c r="A34" s="1">
        <f>ROW()</f>
        <v>34</v>
      </c>
      <c r="B34" s="194" t="s">
        <v>151</v>
      </c>
      <c r="C34" s="177"/>
      <c r="D34" s="177"/>
      <c r="E34" s="177"/>
      <c r="F34" s="194" t="s">
        <v>152</v>
      </c>
      <c r="G34" s="177"/>
      <c r="H34" s="177"/>
      <c r="I34" s="177"/>
      <c r="J34" s="177"/>
    </row>
    <row r="35" spans="1:10" ht="12.75">
      <c r="A35" s="1">
        <f>ROW()</f>
        <v>35</v>
      </c>
      <c r="B35" s="177" t="s">
        <v>12</v>
      </c>
      <c r="C35" s="177"/>
      <c r="D35" s="178">
        <v>42078</v>
      </c>
      <c r="E35" s="177"/>
      <c r="F35" s="177" t="s">
        <v>12</v>
      </c>
      <c r="G35" s="177"/>
      <c r="H35" s="187">
        <v>42078</v>
      </c>
      <c r="I35" s="177"/>
      <c r="J35" s="177"/>
    </row>
    <row r="36" spans="1:10" ht="12.75">
      <c r="A36" s="1">
        <f>ROW()</f>
        <v>36</v>
      </c>
      <c r="B36" s="177" t="s">
        <v>16</v>
      </c>
      <c r="C36" s="177"/>
      <c r="D36" s="178">
        <v>45672</v>
      </c>
      <c r="E36" s="177"/>
      <c r="F36" s="177" t="s">
        <v>16</v>
      </c>
      <c r="G36" s="177"/>
      <c r="H36" s="181">
        <v>45672</v>
      </c>
      <c r="I36" s="177"/>
      <c r="J36" s="177"/>
    </row>
    <row r="37" spans="1:10" ht="12.75">
      <c r="A37" s="1">
        <f>ROW()</f>
        <v>37</v>
      </c>
      <c r="B37" s="177" t="s">
        <v>21</v>
      </c>
      <c r="C37" s="177"/>
      <c r="D37" s="179">
        <v>0.0425</v>
      </c>
      <c r="E37" s="177"/>
      <c r="F37" s="177" t="s">
        <v>21</v>
      </c>
      <c r="G37" s="177"/>
      <c r="H37" s="179">
        <v>0.0425</v>
      </c>
      <c r="I37" s="177"/>
      <c r="J37" s="177"/>
    </row>
    <row r="38" spans="1:10" ht="12.75">
      <c r="A38" s="1">
        <f>ROW()</f>
        <v>38</v>
      </c>
      <c r="B38" s="182" t="s">
        <v>22</v>
      </c>
      <c r="C38" s="182"/>
      <c r="D38" s="188">
        <v>0.0474</v>
      </c>
      <c r="E38" s="177"/>
      <c r="F38" s="182" t="s">
        <v>99</v>
      </c>
      <c r="G38" s="182"/>
      <c r="H38" s="189">
        <v>96.17853020101003</v>
      </c>
      <c r="I38" s="177"/>
      <c r="J38" s="177"/>
    </row>
    <row r="39" spans="1:10" ht="12.75">
      <c r="A39" s="1">
        <f>ROW()</f>
        <v>39</v>
      </c>
      <c r="B39" s="177" t="s">
        <v>25</v>
      </c>
      <c r="C39" s="177"/>
      <c r="D39" s="177">
        <v>100</v>
      </c>
      <c r="E39" s="177"/>
      <c r="F39" s="177" t="s">
        <v>25</v>
      </c>
      <c r="G39" s="177"/>
      <c r="H39" s="177">
        <v>100</v>
      </c>
      <c r="I39" s="177"/>
      <c r="J39" s="177"/>
    </row>
    <row r="40" spans="1:10" ht="12.75">
      <c r="A40" s="1">
        <f>ROW()</f>
        <v>40</v>
      </c>
      <c r="B40" s="177" t="s">
        <v>28</v>
      </c>
      <c r="C40" s="177"/>
      <c r="D40" s="177">
        <v>2</v>
      </c>
      <c r="E40" s="177"/>
      <c r="F40" s="177" t="s">
        <v>28</v>
      </c>
      <c r="G40" s="177"/>
      <c r="H40" s="177">
        <v>2</v>
      </c>
      <c r="I40" s="177"/>
      <c r="J40" s="177"/>
    </row>
    <row r="41" spans="1:10" ht="12.75" thickBot="1">
      <c r="A41" s="1">
        <f>ROW()</f>
        <v>41</v>
      </c>
      <c r="B41" s="177"/>
      <c r="C41" s="177"/>
      <c r="D41" s="177"/>
      <c r="E41" s="177"/>
      <c r="F41" s="177"/>
      <c r="G41" s="177"/>
      <c r="H41" s="177"/>
      <c r="I41" s="177"/>
      <c r="J41" s="177"/>
    </row>
    <row r="42" spans="1:10" ht="12.75" thickBot="1">
      <c r="A42" s="1">
        <f>ROW()</f>
        <v>42</v>
      </c>
      <c r="B42" s="193" t="s">
        <v>30</v>
      </c>
      <c r="C42" s="182"/>
      <c r="D42" s="186">
        <v>96.17853020101003</v>
      </c>
      <c r="E42" s="183" t="s">
        <v>31</v>
      </c>
      <c r="F42" s="193" t="s">
        <v>153</v>
      </c>
      <c r="G42" s="177"/>
      <c r="H42" s="192">
        <v>0.04739999999999842</v>
      </c>
      <c r="I42" s="177"/>
      <c r="J42" s="177"/>
    </row>
    <row r="43" spans="1:10" ht="12.75">
      <c r="A43" s="1">
        <f>ROW()</f>
        <v>43</v>
      </c>
      <c r="B43" s="177" t="s">
        <v>33</v>
      </c>
      <c r="C43" s="177"/>
      <c r="D43" s="180">
        <v>59</v>
      </c>
      <c r="E43" s="184" t="s">
        <v>34</v>
      </c>
      <c r="F43" s="177"/>
      <c r="G43" s="177"/>
      <c r="H43" s="177"/>
      <c r="I43" s="177"/>
      <c r="J43" s="177"/>
    </row>
    <row r="44" spans="1:10" ht="12.75">
      <c r="A44" s="1">
        <f>ROW()</f>
        <v>44</v>
      </c>
      <c r="B44" s="177" t="s">
        <v>35</v>
      </c>
      <c r="C44" s="177"/>
      <c r="D44" s="180">
        <v>181</v>
      </c>
      <c r="E44" s="184" t="s">
        <v>36</v>
      </c>
      <c r="F44" s="177"/>
      <c r="G44" s="177"/>
      <c r="H44" s="177"/>
      <c r="I44" s="177"/>
      <c r="J44" s="177"/>
    </row>
    <row r="45" spans="1:10" ht="12.75" thickBot="1">
      <c r="A45" s="1">
        <f>ROW()</f>
        <v>45</v>
      </c>
      <c r="B45" s="177" t="s">
        <v>38</v>
      </c>
      <c r="C45" s="177"/>
      <c r="D45" s="180">
        <v>0.6926795580110497</v>
      </c>
      <c r="E45" s="184" t="s">
        <v>39</v>
      </c>
      <c r="F45" s="177"/>
      <c r="G45" s="177"/>
      <c r="H45" s="177"/>
      <c r="I45" s="177"/>
      <c r="J45" s="177"/>
    </row>
    <row r="46" spans="1:10" ht="12.75" thickBot="1">
      <c r="A46" s="1">
        <f>ROW()</f>
        <v>46</v>
      </c>
      <c r="B46" s="182" t="s">
        <v>44</v>
      </c>
      <c r="C46" s="182"/>
      <c r="D46" s="186">
        <v>96.87120975902108</v>
      </c>
      <c r="E46" s="183" t="s">
        <v>45</v>
      </c>
      <c r="F46" s="177"/>
      <c r="G46" s="177"/>
      <c r="H46" s="177"/>
      <c r="I46" s="177"/>
      <c r="J46" s="177"/>
    </row>
    <row r="47" spans="1:10" ht="12.75">
      <c r="A47" s="1">
        <f>ROW()</f>
        <v>47</v>
      </c>
      <c r="B47" s="177"/>
      <c r="C47" s="177"/>
      <c r="D47" s="177"/>
      <c r="E47" s="177"/>
      <c r="F47" s="177"/>
      <c r="G47" s="177"/>
      <c r="H47" s="177"/>
      <c r="I47" s="177"/>
      <c r="J47" s="177"/>
    </row>
    <row r="48" spans="1:10" ht="12.75" thickBot="1">
      <c r="A48" s="1">
        <f>ROW()</f>
        <v>48</v>
      </c>
      <c r="B48" s="177"/>
      <c r="C48" s="177"/>
      <c r="D48" s="177"/>
      <c r="E48" s="177"/>
      <c r="F48" s="177"/>
      <c r="G48" s="177"/>
      <c r="H48" s="177"/>
      <c r="I48" s="177"/>
      <c r="J48" s="177"/>
    </row>
    <row r="49" spans="1:10" ht="12.75" thickBot="1">
      <c r="A49" s="1">
        <f>ROW()</f>
        <v>49</v>
      </c>
      <c r="B49" s="193" t="s">
        <v>154</v>
      </c>
      <c r="C49" s="177"/>
      <c r="D49" s="192">
        <v>0.04418865614932602</v>
      </c>
      <c r="E49" s="177"/>
      <c r="F49" s="177"/>
      <c r="G49" s="177"/>
      <c r="H49" s="177"/>
      <c r="I49" s="177"/>
      <c r="J49" s="177"/>
    </row>
    <row r="50" ht="12.75">
      <c r="A50" s="1">
        <f>ROW()</f>
        <v>50</v>
      </c>
    </row>
    <row r="51" spans="5:9" ht="12.75">
      <c r="E51" s="13"/>
      <c r="F51" s="13"/>
      <c r="G51" s="13"/>
      <c r="H51" s="13"/>
      <c r="I51" s="13"/>
    </row>
    <row r="52" spans="1:14" ht="12.75">
      <c r="A52" s="1">
        <f>ROW()</f>
        <v>52</v>
      </c>
      <c r="B52" s="108" t="s">
        <v>0</v>
      </c>
      <c r="C52" s="108" t="s">
        <v>1</v>
      </c>
      <c r="D52" s="108" t="s">
        <v>2</v>
      </c>
      <c r="E52" s="108" t="s">
        <v>3</v>
      </c>
      <c r="F52" s="108" t="s">
        <v>4</v>
      </c>
      <c r="G52" s="108" t="s">
        <v>5</v>
      </c>
      <c r="H52" s="108" t="s">
        <v>6</v>
      </c>
      <c r="I52" s="108" t="s">
        <v>100</v>
      </c>
      <c r="J52" s="108" t="s">
        <v>101</v>
      </c>
      <c r="K52" s="108" t="s">
        <v>7</v>
      </c>
      <c r="L52" s="108" t="s">
        <v>147</v>
      </c>
      <c r="M52" s="108" t="s">
        <v>148</v>
      </c>
      <c r="N52" s="108" t="s">
        <v>8</v>
      </c>
    </row>
    <row r="53" spans="1:14" ht="17.25">
      <c r="A53" s="1">
        <f>ROW()</f>
        <v>53</v>
      </c>
      <c r="B53" s="110" t="s">
        <v>114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</row>
    <row r="54" ht="12.75">
      <c r="A54" s="1">
        <f>ROW()</f>
        <v>54</v>
      </c>
    </row>
    <row r="55" spans="1:12" ht="12.75" thickBot="1">
      <c r="A55" s="1">
        <f>ROW()</f>
        <v>55</v>
      </c>
      <c r="D55" s="144"/>
      <c r="E55" s="144" t="s">
        <v>48</v>
      </c>
      <c r="G55" s="31"/>
      <c r="H55" s="144" t="s">
        <v>109</v>
      </c>
      <c r="I55" s="144" t="s">
        <v>110</v>
      </c>
      <c r="J55" s="144" t="s">
        <v>111</v>
      </c>
      <c r="K55" s="144" t="s">
        <v>112</v>
      </c>
      <c r="L55" s="144" t="s">
        <v>113</v>
      </c>
    </row>
    <row r="56" spans="1:12" ht="12.75" thickTop="1">
      <c r="A56" s="1">
        <f>ROW()</f>
        <v>56</v>
      </c>
      <c r="B56" s="95" t="s">
        <v>108</v>
      </c>
      <c r="E56" s="123">
        <v>42751</v>
      </c>
      <c r="H56" s="4">
        <f>+$E$56</f>
        <v>42751</v>
      </c>
      <c r="I56" s="4">
        <f>+$E$56</f>
        <v>42751</v>
      </c>
      <c r="J56" s="4">
        <f>+$E$56</f>
        <v>42751</v>
      </c>
      <c r="K56" s="4">
        <f>+$E$56</f>
        <v>42751</v>
      </c>
      <c r="L56" s="4">
        <f>+$E$56</f>
        <v>42751</v>
      </c>
    </row>
    <row r="57" spans="1:12" ht="12.75">
      <c r="A57" s="1">
        <f>ROW()</f>
        <v>57</v>
      </c>
      <c r="B57" s="95" t="s">
        <v>106</v>
      </c>
      <c r="D57" s="174">
        <v>43417</v>
      </c>
      <c r="E57" s="174"/>
      <c r="H57" s="4">
        <f>+$D$57</f>
        <v>43417</v>
      </c>
      <c r="I57" s="4">
        <f>+$D$57</f>
        <v>43417</v>
      </c>
      <c r="J57" s="4">
        <f>+$D$57</f>
        <v>43417</v>
      </c>
      <c r="K57" s="4">
        <f>+$D$57</f>
        <v>43417</v>
      </c>
      <c r="L57" s="4">
        <f>+$D$57</f>
        <v>43417</v>
      </c>
    </row>
    <row r="58" spans="1:5" ht="12.75">
      <c r="A58" s="1">
        <f>ROW()</f>
        <v>58</v>
      </c>
      <c r="E58" s="124"/>
    </row>
    <row r="59" spans="1:12" ht="12.75">
      <c r="A59" s="1">
        <f>ROW()</f>
        <v>59</v>
      </c>
      <c r="B59" s="31" t="s">
        <v>107</v>
      </c>
      <c r="C59" s="31"/>
      <c r="D59" s="174">
        <f>+D57+3</f>
        <v>43420</v>
      </c>
      <c r="E59" s="174"/>
      <c r="G59" s="31"/>
      <c r="H59" s="129">
        <f>+$D$59</f>
        <v>43420</v>
      </c>
      <c r="I59" s="129">
        <f>+$D$59</f>
        <v>43420</v>
      </c>
      <c r="J59" s="129">
        <f>+$D$59</f>
        <v>43420</v>
      </c>
      <c r="K59" s="129">
        <f>+$D$59</f>
        <v>43420</v>
      </c>
      <c r="L59" s="129">
        <f>+$D$59</f>
        <v>43420</v>
      </c>
    </row>
    <row r="60" spans="1:12" ht="12.75">
      <c r="A60" s="1">
        <f>ROW()</f>
        <v>60</v>
      </c>
      <c r="B60" s="31" t="s">
        <v>118</v>
      </c>
      <c r="C60" s="31"/>
      <c r="D60" s="31"/>
      <c r="E60" s="130">
        <f>DATE(2027,1,16)</f>
        <v>46403</v>
      </c>
      <c r="G60" s="31"/>
      <c r="H60" s="129">
        <f>+H56+365</f>
        <v>43116</v>
      </c>
      <c r="I60" s="129">
        <f>+I56+(365*2)</f>
        <v>43481</v>
      </c>
      <c r="J60" s="129">
        <f>+J56+(365*3)</f>
        <v>43846</v>
      </c>
      <c r="K60" s="129">
        <f>+K56+(365*4)+1</f>
        <v>44212</v>
      </c>
      <c r="L60" s="129">
        <f>+L56+(365*4)+1</f>
        <v>44212</v>
      </c>
    </row>
    <row r="61" spans="1:12" ht="12.75">
      <c r="A61" s="1">
        <f>ROW()</f>
        <v>61</v>
      </c>
      <c r="B61" s="31" t="s">
        <v>66</v>
      </c>
      <c r="C61" s="31"/>
      <c r="D61" s="31"/>
      <c r="E61" s="131">
        <v>0.08</v>
      </c>
      <c r="G61" s="31"/>
      <c r="H61" s="132">
        <f>+$E$61</f>
        <v>0.08</v>
      </c>
      <c r="I61" s="132">
        <f>+$E$61</f>
        <v>0.08</v>
      </c>
      <c r="J61" s="132">
        <f>+$E$61</f>
        <v>0.08</v>
      </c>
      <c r="K61" s="132">
        <f>+$E$61</f>
        <v>0.08</v>
      </c>
      <c r="L61" s="132">
        <f>+$E$61</f>
        <v>0.08</v>
      </c>
    </row>
    <row r="62" spans="1:12" ht="12.75">
      <c r="A62" s="1">
        <f>ROW()</f>
        <v>62</v>
      </c>
      <c r="B62" s="31" t="s">
        <v>117</v>
      </c>
      <c r="C62" s="31"/>
      <c r="D62" s="31"/>
      <c r="E62" s="133">
        <v>98.5</v>
      </c>
      <c r="G62" s="134"/>
      <c r="H62" s="134">
        <f>+$E$62</f>
        <v>98.5</v>
      </c>
      <c r="I62" s="134">
        <f>+$E$62</f>
        <v>98.5</v>
      </c>
      <c r="J62" s="134">
        <f>+$E$62</f>
        <v>98.5</v>
      </c>
      <c r="K62" s="134">
        <f>+$E$62</f>
        <v>98.5</v>
      </c>
      <c r="L62" s="134">
        <f>+$E$62</f>
        <v>98.5</v>
      </c>
    </row>
    <row r="63" spans="1:12" ht="12.75">
      <c r="A63" s="1">
        <f>ROW()</f>
        <v>63</v>
      </c>
      <c r="B63" s="31" t="s">
        <v>115</v>
      </c>
      <c r="C63" s="31"/>
      <c r="D63" s="31"/>
      <c r="E63" s="133">
        <v>100</v>
      </c>
      <c r="G63" s="134"/>
      <c r="H63" s="134">
        <f>+H66</f>
        <v>105</v>
      </c>
      <c r="I63" s="134">
        <f>+I66</f>
        <v>104</v>
      </c>
      <c r="J63" s="134">
        <f>+J66</f>
        <v>103</v>
      </c>
      <c r="K63" s="134">
        <f>+K66</f>
        <v>102</v>
      </c>
      <c r="L63" s="134">
        <f>+L66</f>
        <v>101</v>
      </c>
    </row>
    <row r="64" spans="1:12" ht="12.75">
      <c r="A64" s="1">
        <f>ROW()</f>
        <v>64</v>
      </c>
      <c r="B64" s="31" t="s">
        <v>116</v>
      </c>
      <c r="C64" s="31"/>
      <c r="D64" s="31"/>
      <c r="E64" s="31">
        <v>2</v>
      </c>
      <c r="G64" s="31"/>
      <c r="H64" s="31">
        <f>+$E$64</f>
        <v>2</v>
      </c>
      <c r="I64" s="31">
        <f>+$E$64</f>
        <v>2</v>
      </c>
      <c r="J64" s="31">
        <f>+$E$64</f>
        <v>2</v>
      </c>
      <c r="K64" s="31">
        <f>+$E$64</f>
        <v>2</v>
      </c>
      <c r="L64" s="31">
        <f>+$E$64</f>
        <v>2</v>
      </c>
    </row>
    <row r="65" ht="12.75">
      <c r="A65" s="1">
        <f>ROW()</f>
        <v>65</v>
      </c>
    </row>
    <row r="66" spans="1:12" ht="12.75">
      <c r="A66" s="1">
        <f>ROW()</f>
        <v>66</v>
      </c>
      <c r="B66" t="s">
        <v>52</v>
      </c>
      <c r="E66" s="125"/>
      <c r="G66" s="32"/>
      <c r="H66" s="32">
        <v>105</v>
      </c>
      <c r="I66" s="126">
        <f>+H66-1</f>
        <v>104</v>
      </c>
      <c r="J66" s="126">
        <f>+I66-1</f>
        <v>103</v>
      </c>
      <c r="K66" s="126">
        <f>+J66-1</f>
        <v>102</v>
      </c>
      <c r="L66" s="126">
        <f>+K66-1</f>
        <v>101</v>
      </c>
    </row>
    <row r="67" ht="12.75" thickBot="1">
      <c r="A67" s="1">
        <f>ROW()</f>
        <v>67</v>
      </c>
    </row>
    <row r="68" spans="1:12" ht="12.75" thickBot="1">
      <c r="A68" s="1">
        <f>ROW()</f>
        <v>68</v>
      </c>
      <c r="C68" s="96" t="s">
        <v>96</v>
      </c>
      <c r="D68" s="96"/>
      <c r="E68" s="146">
        <f>YIELD(D59,E60,E61,E62,E63,E64)</f>
        <v>0.08253024578066531</v>
      </c>
      <c r="G68" s="96" t="s">
        <v>97</v>
      </c>
      <c r="H68" s="122" t="str">
        <f>IF(H60&lt;H59,"NA",YIELD(H59,H60,H61,H62,H63,H64))</f>
        <v>NA</v>
      </c>
      <c r="I68" s="145">
        <f>IF(I60&lt;I59,"NA",YIELD(I59,I60,I61,I62,I63,I64))</f>
        <v>0.40527182866556855</v>
      </c>
      <c r="J68" s="145">
        <f>IF(J60&lt;J59,"NA",YIELD(J59,J60,J61,J62,J63,J64))</f>
        <v>0.11863219589784557</v>
      </c>
      <c r="K68" s="145">
        <f>IF(K60&lt;K59,"NA",YIELD(K59,K60,K61,K62,K63,K64))</f>
        <v>0.09624661977031576</v>
      </c>
      <c r="L68" s="145">
        <f>IF(L60&lt;L59,"NA",YIELD(L59,L60,L61,L62,L63,L64))</f>
        <v>0.09196490657237875</v>
      </c>
    </row>
    <row r="69" spans="1:7" ht="12.75" thickBot="1">
      <c r="A69" s="1">
        <f>ROW()</f>
        <v>69</v>
      </c>
      <c r="E69" s="147"/>
      <c r="G69" s="96"/>
    </row>
    <row r="70" spans="1:8" ht="12.75" thickBot="1">
      <c r="A70" s="1">
        <f>ROW()</f>
        <v>70</v>
      </c>
      <c r="C70" s="96" t="s">
        <v>98</v>
      </c>
      <c r="D70" s="96"/>
      <c r="E70" s="148">
        <f>MIN(E68,I68,J68,K68,L68)</f>
        <v>0.08253024578066531</v>
      </c>
      <c r="G70" s="96" t="s">
        <v>119</v>
      </c>
      <c r="H70" s="127">
        <f>+E73*E64/(E62*10)</f>
        <v>0.08121827411167512</v>
      </c>
    </row>
    <row r="71" ht="12.75">
      <c r="A71" s="1">
        <f>ROW()</f>
        <v>71</v>
      </c>
    </row>
    <row r="72" spans="1:5" ht="12.75">
      <c r="A72" s="1">
        <f>ROW()</f>
        <v>72</v>
      </c>
      <c r="B72" s="95" t="s">
        <v>64</v>
      </c>
      <c r="E72" s="128">
        <v>1000</v>
      </c>
    </row>
    <row r="73" spans="1:5" ht="12.75">
      <c r="A73" s="1">
        <f>ROW()</f>
        <v>73</v>
      </c>
      <c r="B73" s="95" t="s">
        <v>120</v>
      </c>
      <c r="E73" s="128">
        <f>+E61*E72/2</f>
        <v>40</v>
      </c>
    </row>
    <row r="74" spans="1:7" ht="12.75">
      <c r="A74" s="1">
        <f>ROW()</f>
        <v>74</v>
      </c>
      <c r="B74" s="95" t="s">
        <v>121</v>
      </c>
      <c r="E74" s="135">
        <f>+(E60-E56)/365</f>
        <v>10.005479452054795</v>
      </c>
      <c r="F74" s="95" t="s">
        <v>143</v>
      </c>
      <c r="G74" s="95"/>
    </row>
    <row r="76" spans="1:14" ht="12.75">
      <c r="A76" s="1">
        <f>ROW()</f>
        <v>76</v>
      </c>
      <c r="B76" s="108" t="s">
        <v>0</v>
      </c>
      <c r="C76" s="108" t="s">
        <v>1</v>
      </c>
      <c r="D76" s="108" t="s">
        <v>2</v>
      </c>
      <c r="E76" s="108" t="s">
        <v>3</v>
      </c>
      <c r="F76" s="108" t="s">
        <v>4</v>
      </c>
      <c r="G76" s="108" t="s">
        <v>5</v>
      </c>
      <c r="H76" s="108" t="s">
        <v>6</v>
      </c>
      <c r="I76" s="108" t="s">
        <v>100</v>
      </c>
      <c r="J76" s="108" t="s">
        <v>101</v>
      </c>
      <c r="K76" s="108" t="s">
        <v>7</v>
      </c>
      <c r="L76" s="108" t="s">
        <v>147</v>
      </c>
      <c r="M76" s="108" t="s">
        <v>148</v>
      </c>
      <c r="N76" s="108" t="s">
        <v>8</v>
      </c>
    </row>
    <row r="77" spans="1:14" ht="17.25">
      <c r="A77" s="1">
        <f>ROW()</f>
        <v>77</v>
      </c>
      <c r="B77" s="110" t="s">
        <v>94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</row>
    <row r="78" ht="12.75">
      <c r="A78" s="1">
        <f>ROW()</f>
        <v>78</v>
      </c>
    </row>
    <row r="79" spans="1:10" ht="12.75">
      <c r="A79" s="1">
        <f>ROW()</f>
        <v>79</v>
      </c>
      <c r="B79" s="95" t="s">
        <v>102</v>
      </c>
      <c r="C79" s="112">
        <v>1000</v>
      </c>
      <c r="D79" s="112"/>
      <c r="I79" s="34"/>
      <c r="J79" s="35"/>
    </row>
    <row r="80" spans="1:10" ht="12.75">
      <c r="A80" s="1">
        <f>ROW()</f>
        <v>80</v>
      </c>
      <c r="B80" t="s">
        <v>87</v>
      </c>
      <c r="C80" s="5">
        <v>0.08</v>
      </c>
      <c r="D80" s="5"/>
      <c r="I80" s="34"/>
      <c r="J80" s="35"/>
    </row>
    <row r="81" spans="1:10" ht="12.75">
      <c r="A81" s="1">
        <f>ROW()</f>
        <v>81</v>
      </c>
      <c r="B81" t="s">
        <v>54</v>
      </c>
      <c r="C81" s="5">
        <v>0.1</v>
      </c>
      <c r="D81" s="5"/>
      <c r="I81" s="34"/>
      <c r="J81" s="35"/>
    </row>
    <row r="82" spans="1:10" ht="12.75">
      <c r="A82" s="1">
        <f>ROW()</f>
        <v>82</v>
      </c>
      <c r="B82" s="95" t="s">
        <v>103</v>
      </c>
      <c r="C82" s="115">
        <v>1</v>
      </c>
      <c r="D82" s="115"/>
      <c r="I82" s="34"/>
      <c r="J82" s="35"/>
    </row>
    <row r="83" spans="1:21" ht="12.75">
      <c r="A83" s="1">
        <f>ROW()</f>
        <v>83</v>
      </c>
      <c r="C83" s="5"/>
      <c r="D83" s="5"/>
      <c r="I83" s="34"/>
      <c r="J83" s="35"/>
      <c r="R83" s="114"/>
      <c r="S83" s="25"/>
      <c r="T83" s="26"/>
      <c r="U83" s="25"/>
    </row>
    <row r="84" spans="1:10" ht="12.75">
      <c r="A84" s="1">
        <f>ROW()</f>
        <v>84</v>
      </c>
      <c r="B84" s="100" t="s">
        <v>55</v>
      </c>
      <c r="C84" s="101" t="s">
        <v>90</v>
      </c>
      <c r="D84" s="101" t="s">
        <v>89</v>
      </c>
      <c r="F84" s="102" t="s">
        <v>56</v>
      </c>
      <c r="G84" s="103"/>
      <c r="I84" s="104"/>
      <c r="J84" s="104"/>
    </row>
    <row r="85" spans="1:10" ht="13.5" thickBot="1">
      <c r="A85" s="1">
        <f>ROW()</f>
        <v>85</v>
      </c>
      <c r="B85" s="105" t="s">
        <v>58</v>
      </c>
      <c r="C85" s="106"/>
      <c r="D85" s="105"/>
      <c r="F85" s="107" t="s">
        <v>59</v>
      </c>
      <c r="G85" s="105" t="s">
        <v>57</v>
      </c>
      <c r="I85" s="106" t="s">
        <v>88</v>
      </c>
      <c r="J85" s="156" t="s">
        <v>104</v>
      </c>
    </row>
    <row r="86" spans="1:10" ht="12.75">
      <c r="A86" s="1">
        <f>ROW()</f>
        <v>86</v>
      </c>
      <c r="B86" s="34">
        <v>1</v>
      </c>
      <c r="C86" s="92">
        <f aca="true" t="shared" si="0" ref="C86:C94">+$C$79*$C$80</f>
        <v>80</v>
      </c>
      <c r="D86" s="36">
        <f aca="true" t="shared" si="1" ref="D86:D95">+C86/(1+$C$81)^B86</f>
        <v>72.72727272727272</v>
      </c>
      <c r="F86" s="37">
        <f aca="true" t="shared" si="2" ref="F86:F95">+D86/$D$97</f>
        <v>0.08291706172706947</v>
      </c>
      <c r="G86" s="38">
        <f aca="true" t="shared" si="3" ref="G86:G95">+F86*B86</f>
        <v>0.08291706172706947</v>
      </c>
      <c r="I86" s="93">
        <f aca="true" t="shared" si="4" ref="I86:I95">+B86+B86^2</f>
        <v>2</v>
      </c>
      <c r="J86" s="94">
        <f aca="true" t="shared" si="5" ref="J86:J95">+I86*D86</f>
        <v>145.45454545454544</v>
      </c>
    </row>
    <row r="87" spans="1:10" ht="12.75">
      <c r="A87" s="1">
        <f>ROW()</f>
        <v>87</v>
      </c>
      <c r="B87" s="34">
        <v>2</v>
      </c>
      <c r="C87" s="92">
        <f t="shared" si="0"/>
        <v>80</v>
      </c>
      <c r="D87" s="36">
        <f t="shared" si="1"/>
        <v>66.11570247933884</v>
      </c>
      <c r="F87" s="37">
        <f t="shared" si="2"/>
        <v>0.07537914702460861</v>
      </c>
      <c r="G87" s="38">
        <f t="shared" si="3"/>
        <v>0.15075829404921723</v>
      </c>
      <c r="I87" s="93">
        <f t="shared" si="4"/>
        <v>6</v>
      </c>
      <c r="J87" s="94">
        <f t="shared" si="5"/>
        <v>396.694214876033</v>
      </c>
    </row>
    <row r="88" spans="1:10" ht="12.75">
      <c r="A88" s="1">
        <f>ROW()</f>
        <v>88</v>
      </c>
      <c r="B88" s="34">
        <v>3</v>
      </c>
      <c r="C88" s="92">
        <f t="shared" si="0"/>
        <v>80</v>
      </c>
      <c r="D88" s="36">
        <f t="shared" si="1"/>
        <v>60.1051840721262</v>
      </c>
      <c r="F88" s="37">
        <f t="shared" si="2"/>
        <v>0.06852649729509872</v>
      </c>
      <c r="G88" s="38">
        <f t="shared" si="3"/>
        <v>0.20557949188529615</v>
      </c>
      <c r="I88" s="93">
        <f t="shared" si="4"/>
        <v>12</v>
      </c>
      <c r="J88" s="94">
        <f t="shared" si="5"/>
        <v>721.2622088655144</v>
      </c>
    </row>
    <row r="89" spans="1:10" ht="12.75">
      <c r="A89" s="1">
        <f>ROW()</f>
        <v>89</v>
      </c>
      <c r="B89" s="34">
        <v>4</v>
      </c>
      <c r="C89" s="92">
        <f t="shared" si="0"/>
        <v>80</v>
      </c>
      <c r="D89" s="36">
        <f t="shared" si="1"/>
        <v>54.64107642920564</v>
      </c>
      <c r="F89" s="37">
        <f t="shared" si="2"/>
        <v>0.06229681572281702</v>
      </c>
      <c r="G89" s="38">
        <f t="shared" si="3"/>
        <v>0.24918726289126808</v>
      </c>
      <c r="I89" s="93">
        <f t="shared" si="4"/>
        <v>20</v>
      </c>
      <c r="J89" s="94">
        <f t="shared" si="5"/>
        <v>1092.821528584113</v>
      </c>
    </row>
    <row r="90" spans="1:10" ht="12.75">
      <c r="A90" s="1">
        <f>ROW()</f>
        <v>90</v>
      </c>
      <c r="B90" s="34">
        <v>5</v>
      </c>
      <c r="C90" s="92">
        <f t="shared" si="0"/>
        <v>80</v>
      </c>
      <c r="D90" s="36">
        <f t="shared" si="1"/>
        <v>49.673705844732396</v>
      </c>
      <c r="F90" s="37">
        <f t="shared" si="2"/>
        <v>0.05663346883892456</v>
      </c>
      <c r="G90" s="38">
        <f t="shared" si="3"/>
        <v>0.2831673441946228</v>
      </c>
      <c r="I90" s="93">
        <f t="shared" si="4"/>
        <v>30</v>
      </c>
      <c r="J90" s="94">
        <f t="shared" si="5"/>
        <v>1490.211175341972</v>
      </c>
    </row>
    <row r="91" spans="1:10" ht="12.75">
      <c r="A91" s="1">
        <f>ROW()</f>
        <v>91</v>
      </c>
      <c r="B91" s="34">
        <v>6</v>
      </c>
      <c r="C91" s="92">
        <f t="shared" si="0"/>
        <v>80</v>
      </c>
      <c r="D91" s="36">
        <f t="shared" si="1"/>
        <v>45.157914404302176</v>
      </c>
      <c r="F91" s="37">
        <f t="shared" si="2"/>
        <v>0.0514849716717496</v>
      </c>
      <c r="G91" s="38">
        <f t="shared" si="3"/>
        <v>0.3089098300304976</v>
      </c>
      <c r="I91" s="93">
        <f t="shared" si="4"/>
        <v>42</v>
      </c>
      <c r="J91" s="94">
        <f t="shared" si="5"/>
        <v>1896.6324049806913</v>
      </c>
    </row>
    <row r="92" spans="1:10" ht="12.75">
      <c r="A92" s="1">
        <f>ROW()</f>
        <v>92</v>
      </c>
      <c r="B92" s="34">
        <v>7</v>
      </c>
      <c r="C92" s="92">
        <f t="shared" si="0"/>
        <v>80</v>
      </c>
      <c r="D92" s="36">
        <f t="shared" si="1"/>
        <v>41.052649458456514</v>
      </c>
      <c r="F92" s="37">
        <f t="shared" si="2"/>
        <v>0.04680451970159053</v>
      </c>
      <c r="G92" s="38">
        <f t="shared" si="3"/>
        <v>0.3276316379111337</v>
      </c>
      <c r="I92" s="93">
        <f t="shared" si="4"/>
        <v>56</v>
      </c>
      <c r="J92" s="94">
        <f t="shared" si="5"/>
        <v>2298.9483696735647</v>
      </c>
    </row>
    <row r="93" spans="1:10" ht="12.75">
      <c r="A93" s="1">
        <f>ROW()</f>
        <v>93</v>
      </c>
      <c r="B93" s="34">
        <v>8</v>
      </c>
      <c r="C93" s="92">
        <f t="shared" si="0"/>
        <v>80</v>
      </c>
      <c r="D93" s="36">
        <f t="shared" si="1"/>
        <v>37.32059041677866</v>
      </c>
      <c r="F93" s="37">
        <f t="shared" si="2"/>
        <v>0.04254956336508231</v>
      </c>
      <c r="G93" s="38">
        <f t="shared" si="3"/>
        <v>0.3403965069206585</v>
      </c>
      <c r="I93" s="93">
        <f t="shared" si="4"/>
        <v>72</v>
      </c>
      <c r="J93" s="94">
        <f t="shared" si="5"/>
        <v>2687.0825100080633</v>
      </c>
    </row>
    <row r="94" spans="1:10" ht="12.75">
      <c r="A94" s="1">
        <f>ROW()</f>
        <v>94</v>
      </c>
      <c r="B94" s="34">
        <v>9</v>
      </c>
      <c r="C94" s="92">
        <f t="shared" si="0"/>
        <v>80</v>
      </c>
      <c r="D94" s="36">
        <f t="shared" si="1"/>
        <v>33.927809469798774</v>
      </c>
      <c r="F94" s="37">
        <f t="shared" si="2"/>
        <v>0.038681421240983914</v>
      </c>
      <c r="G94" s="38">
        <f t="shared" si="3"/>
        <v>0.3481327911688552</v>
      </c>
      <c r="I94" s="93">
        <f t="shared" si="4"/>
        <v>90</v>
      </c>
      <c r="J94" s="94">
        <f t="shared" si="5"/>
        <v>3053.50285228189</v>
      </c>
    </row>
    <row r="95" spans="1:10" ht="12.75">
      <c r="A95" s="1">
        <f>ROW()</f>
        <v>95</v>
      </c>
      <c r="B95" s="34">
        <v>10</v>
      </c>
      <c r="C95" s="113">
        <f>+$C$79*$C$80+C79</f>
        <v>1080</v>
      </c>
      <c r="D95" s="36">
        <f t="shared" si="1"/>
        <v>416.386752583894</v>
      </c>
      <c r="F95" s="37">
        <f t="shared" si="2"/>
        <v>0.47472653341207527</v>
      </c>
      <c r="G95" s="38">
        <f t="shared" si="3"/>
        <v>4.747265334120753</v>
      </c>
      <c r="I95" s="93">
        <f t="shared" si="4"/>
        <v>110</v>
      </c>
      <c r="J95" s="94">
        <f t="shared" si="5"/>
        <v>45802.54278422834</v>
      </c>
    </row>
    <row r="96" spans="1:10" ht="12.75" thickBot="1">
      <c r="A96" s="1">
        <f>ROW()</f>
        <v>96</v>
      </c>
      <c r="F96" s="97">
        <f>SUM(F86:F95)</f>
        <v>1</v>
      </c>
      <c r="J96" s="94">
        <f>SUM(J86:J95)</f>
        <v>59585.15259429473</v>
      </c>
    </row>
    <row r="97" spans="1:10" ht="12.75" thickBot="1">
      <c r="A97" s="1">
        <f>ROW()</f>
        <v>97</v>
      </c>
      <c r="C97" s="99" t="s">
        <v>93</v>
      </c>
      <c r="D97" s="157">
        <f>SUM(D86:D95)</f>
        <v>877.1086578859059</v>
      </c>
      <c r="F97" s="99" t="s">
        <v>92</v>
      </c>
      <c r="G97" s="158">
        <f>SUM(G86:G95)</f>
        <v>7.043945554899372</v>
      </c>
      <c r="I97" s="98" t="s">
        <v>91</v>
      </c>
      <c r="J97" s="159">
        <f>+J96*(1/(D97*(1+C81)^2))</f>
        <v>56.14347472361351</v>
      </c>
    </row>
    <row r="98" ht="13.5" customHeight="1">
      <c r="A98" s="1">
        <f>ROW()</f>
        <v>98</v>
      </c>
    </row>
    <row r="100" spans="1:14" ht="12.75">
      <c r="A100" s="1">
        <f>ROW()</f>
        <v>100</v>
      </c>
      <c r="B100" s="108" t="s">
        <v>0</v>
      </c>
      <c r="C100" s="108" t="s">
        <v>1</v>
      </c>
      <c r="D100" s="108" t="s">
        <v>2</v>
      </c>
      <c r="E100" s="108" t="s">
        <v>3</v>
      </c>
      <c r="F100" s="108" t="s">
        <v>4</v>
      </c>
      <c r="G100" s="108" t="s">
        <v>5</v>
      </c>
      <c r="H100" s="108" t="s">
        <v>6</v>
      </c>
      <c r="I100" s="108" t="s">
        <v>100</v>
      </c>
      <c r="J100" s="108" t="s">
        <v>101</v>
      </c>
      <c r="K100" s="108" t="s">
        <v>7</v>
      </c>
      <c r="L100" s="108" t="s">
        <v>147</v>
      </c>
      <c r="M100" s="108" t="s">
        <v>148</v>
      </c>
      <c r="N100" s="108" t="s">
        <v>8</v>
      </c>
    </row>
    <row r="101" spans="1:14" ht="18" customHeight="1" thickBot="1">
      <c r="A101" s="1">
        <f>ROW()</f>
        <v>101</v>
      </c>
      <c r="B101" s="110" t="s">
        <v>95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</row>
    <row r="102" spans="1:12" ht="15.75" thickBot="1">
      <c r="A102" s="1">
        <f>ROW()</f>
        <v>102</v>
      </c>
      <c r="B102" s="43" t="s">
        <v>60</v>
      </c>
      <c r="K102" s="172" t="s">
        <v>83</v>
      </c>
      <c r="L102" s="173">
        <f>IRR(C116:C136)*2</f>
        <v>0.09999999999997966</v>
      </c>
    </row>
    <row r="103" spans="1:12" ht="15">
      <c r="A103" s="1">
        <f>ROW()</f>
        <v>103</v>
      </c>
      <c r="B103" s="43"/>
      <c r="G103" s="44"/>
      <c r="L103" s="51"/>
    </row>
    <row r="104" spans="1:12" ht="13.5">
      <c r="A104" s="1">
        <f>ROW()</f>
        <v>104</v>
      </c>
      <c r="B104" s="45" t="s">
        <v>64</v>
      </c>
      <c r="E104" s="49">
        <v>1000</v>
      </c>
      <c r="G104" s="44"/>
      <c r="I104" s="47" t="s">
        <v>63</v>
      </c>
      <c r="J104" s="47"/>
      <c r="K104" s="48">
        <v>0.01</v>
      </c>
      <c r="L104" s="47"/>
    </row>
    <row r="105" spans="1:14" ht="13.5">
      <c r="A105" s="1">
        <f>ROW()</f>
        <v>105</v>
      </c>
      <c r="B105" s="45" t="s">
        <v>66</v>
      </c>
      <c r="E105" s="55">
        <v>0.08</v>
      </c>
      <c r="G105" s="50"/>
      <c r="I105" s="45" t="s">
        <v>65</v>
      </c>
      <c r="J105" s="45"/>
      <c r="K105" s="51">
        <f>-(E109+PV((E107+K104)/E108,E106*E108,E105*E104/E108,E104))</f>
        <v>-54.63363384852448</v>
      </c>
      <c r="L105" s="88">
        <f>+K105/E109</f>
        <v>-0.062411484299876405</v>
      </c>
      <c r="N105" s="63"/>
    </row>
    <row r="106" spans="1:14" ht="13.5">
      <c r="A106" s="1">
        <f>ROW()</f>
        <v>106</v>
      </c>
      <c r="B106" s="45" t="s">
        <v>67</v>
      </c>
      <c r="E106" s="59">
        <v>10</v>
      </c>
      <c r="G106" s="56"/>
      <c r="I106" s="45"/>
      <c r="J106" s="45"/>
      <c r="K106" s="45"/>
      <c r="L106" s="87"/>
      <c r="N106" s="65"/>
    </row>
    <row r="107" spans="1:14" ht="13.5">
      <c r="A107" s="1">
        <f>ROW()</f>
        <v>107</v>
      </c>
      <c r="B107" s="45" t="s">
        <v>69</v>
      </c>
      <c r="E107" s="55">
        <v>0.1</v>
      </c>
      <c r="G107" s="90"/>
      <c r="I107" s="45" t="s">
        <v>68</v>
      </c>
      <c r="J107" s="45"/>
      <c r="K107" s="51">
        <f>(-E112*K104*E109)</f>
        <v>-57.02768866297899</v>
      </c>
      <c r="L107" s="51"/>
      <c r="N107" s="84"/>
    </row>
    <row r="108" spans="1:14" ht="14.25" thickBot="1">
      <c r="A108" s="1">
        <f>ROW()</f>
        <v>108</v>
      </c>
      <c r="B108" s="45" t="s">
        <v>71</v>
      </c>
      <c r="E108" s="59">
        <v>2</v>
      </c>
      <c r="G108" s="91"/>
      <c r="I108" s="45" t="s">
        <v>70</v>
      </c>
      <c r="J108" s="45"/>
      <c r="K108" s="60">
        <f>0.5*E113*K104^2*E109</f>
        <v>2.2526421999533697</v>
      </c>
      <c r="L108" s="61"/>
      <c r="N108" s="84"/>
    </row>
    <row r="109" spans="1:15" ht="14.25" thickBot="1">
      <c r="A109" s="1">
        <f>ROW()</f>
        <v>109</v>
      </c>
      <c r="B109" s="116" t="s">
        <v>62</v>
      </c>
      <c r="C109" s="117"/>
      <c r="D109" s="117"/>
      <c r="E109" s="119">
        <f>-PV(E107/E108,E106*E108,E105*E104/E108,E104)</f>
        <v>875.3778965746001</v>
      </c>
      <c r="G109" s="50">
        <v>2</v>
      </c>
      <c r="I109" s="45" t="s">
        <v>72</v>
      </c>
      <c r="J109" s="45"/>
      <c r="K109" s="62">
        <f>+K107+K108</f>
        <v>-54.77504646302562</v>
      </c>
      <c r="L109" s="63"/>
      <c r="N109" s="84"/>
      <c r="O109" s="63"/>
    </row>
    <row r="110" spans="1:15" ht="14.25" thickBot="1">
      <c r="A110" s="1">
        <f>ROW()</f>
        <v>110</v>
      </c>
      <c r="G110" s="64"/>
      <c r="I110" s="45"/>
      <c r="J110" s="45"/>
      <c r="K110" s="45"/>
      <c r="L110" s="78"/>
      <c r="N110" s="84"/>
      <c r="O110" s="65"/>
    </row>
    <row r="111" spans="1:15" ht="14.25" thickBot="1">
      <c r="A111" s="1">
        <f>ROW()</f>
        <v>111</v>
      </c>
      <c r="B111" s="116" t="s">
        <v>73</v>
      </c>
      <c r="C111" s="117"/>
      <c r="D111" s="117"/>
      <c r="E111" s="118">
        <f>+G139</f>
        <v>6.840368408939489</v>
      </c>
      <c r="G111" s="64"/>
      <c r="I111" s="45" t="s">
        <v>74</v>
      </c>
      <c r="J111" s="45"/>
      <c r="K111" s="46">
        <f>-PV((E107+K104)/E108,E106*E108,E105*E104/E108,E104)</f>
        <v>820.7442627260756</v>
      </c>
      <c r="L111" s="85"/>
      <c r="N111" s="45"/>
      <c r="O111" s="84"/>
    </row>
    <row r="112" spans="1:15" ht="14.25" thickBot="1">
      <c r="A112" s="1">
        <f>ROW()</f>
        <v>112</v>
      </c>
      <c r="B112" s="45" t="s">
        <v>75</v>
      </c>
      <c r="E112" s="66">
        <f>+E111/(1+E107/E108)</f>
        <v>6.51463657994237</v>
      </c>
      <c r="G112" s="64"/>
      <c r="I112" s="45" t="s">
        <v>76</v>
      </c>
      <c r="J112" s="45"/>
      <c r="K112" s="67">
        <f>+E109+K109</f>
        <v>820.6028501115744</v>
      </c>
      <c r="L112" s="86"/>
      <c r="M112" s="84"/>
      <c r="N112" s="45"/>
      <c r="O112" s="84"/>
    </row>
    <row r="113" spans="1:15" ht="14.25" thickBot="1">
      <c r="A113" s="1">
        <f>ROW()</f>
        <v>113</v>
      </c>
      <c r="B113" s="116" t="s">
        <v>77</v>
      </c>
      <c r="C113" s="117"/>
      <c r="D113" s="117"/>
      <c r="E113" s="118">
        <f>+J139</f>
        <v>51.46673702336049</v>
      </c>
      <c r="G113" s="64"/>
      <c r="I113" s="45" t="s">
        <v>78</v>
      </c>
      <c r="J113" s="45"/>
      <c r="K113" s="46">
        <f>+K112-K111</f>
        <v>-0.1414126145011778</v>
      </c>
      <c r="L113" s="85"/>
      <c r="M113" s="84"/>
      <c r="N113" s="70"/>
      <c r="O113" s="84"/>
    </row>
    <row r="114" spans="1:15" ht="14.25" thickBot="1">
      <c r="A114" s="1">
        <f>ROW()</f>
        <v>114</v>
      </c>
      <c r="B114" s="167"/>
      <c r="C114" s="167"/>
      <c r="D114" s="167"/>
      <c r="E114" s="45"/>
      <c r="F114" s="45"/>
      <c r="G114" s="78"/>
      <c r="H114" s="45"/>
      <c r="I114" s="45"/>
      <c r="J114" s="45"/>
      <c r="L114" s="84"/>
      <c r="M114" s="84"/>
      <c r="N114" s="72"/>
      <c r="O114" s="84"/>
    </row>
    <row r="115" spans="1:15" ht="43.5" thickBot="1">
      <c r="A115" s="1">
        <f>ROW()</f>
        <v>115</v>
      </c>
      <c r="B115" s="166" t="s">
        <v>40</v>
      </c>
      <c r="C115" s="171" t="s">
        <v>150</v>
      </c>
      <c r="D115" s="166" t="s">
        <v>79</v>
      </c>
      <c r="E115" s="45"/>
      <c r="F115" s="68" t="s">
        <v>81</v>
      </c>
      <c r="G115" s="162" t="s">
        <v>149</v>
      </c>
      <c r="H115" s="45"/>
      <c r="I115" s="68" t="s">
        <v>82</v>
      </c>
      <c r="J115" s="68" t="s">
        <v>80</v>
      </c>
      <c r="M115" s="45"/>
      <c r="N115" s="72"/>
      <c r="O115" s="45"/>
    </row>
    <row r="116" spans="1:15" ht="15">
      <c r="A116" s="1">
        <f>ROW()</f>
        <v>116</v>
      </c>
      <c r="B116" s="69">
        <v>0</v>
      </c>
      <c r="C116" s="154">
        <f>-E109</f>
        <v>-875.3778965746001</v>
      </c>
      <c r="D116" s="152"/>
      <c r="E116" s="45"/>
      <c r="H116" s="45"/>
      <c r="J116" s="45"/>
      <c r="M116" s="45"/>
      <c r="N116" s="73"/>
      <c r="O116" s="45"/>
    </row>
    <row r="117" spans="1:15" ht="15">
      <c r="A117" s="1">
        <f>ROW()</f>
        <v>117</v>
      </c>
      <c r="B117" s="69">
        <v>1</v>
      </c>
      <c r="C117" s="155">
        <f aca="true" t="shared" si="6" ref="C117:C135">+$E$104*$E$105/2</f>
        <v>40</v>
      </c>
      <c r="D117" s="153">
        <f aca="true" t="shared" si="7" ref="D117:D136">+C117/(1+($E$107/2))^B117</f>
        <v>38.095238095238095</v>
      </c>
      <c r="E117" s="45"/>
      <c r="F117" s="89">
        <f aca="true" t="shared" si="8" ref="F117:F136">+D117/$D$139</f>
        <v>0.04351862006603865</v>
      </c>
      <c r="G117" s="80">
        <f aca="true" t="shared" si="9" ref="G117:G136">+F117*B117</f>
        <v>0.04351862006603865</v>
      </c>
      <c r="H117" s="45"/>
      <c r="I117" s="81">
        <f aca="true" t="shared" si="10" ref="I117:I136">+B117+B117^2</f>
        <v>2</v>
      </c>
      <c r="J117" s="79">
        <f aca="true" t="shared" si="11" ref="J117:J136">+I117*D117</f>
        <v>76.19047619047619</v>
      </c>
      <c r="M117" s="70"/>
      <c r="N117" s="45"/>
      <c r="O117" s="70"/>
    </row>
    <row r="118" spans="1:15" ht="15">
      <c r="A118" s="1">
        <f>ROW()</f>
        <v>118</v>
      </c>
      <c r="B118" s="69">
        <v>2</v>
      </c>
      <c r="C118" s="155">
        <f t="shared" si="6"/>
        <v>40</v>
      </c>
      <c r="D118" s="153">
        <f t="shared" si="7"/>
        <v>36.281179138321995</v>
      </c>
      <c r="E118" s="66"/>
      <c r="F118" s="89">
        <f t="shared" si="8"/>
        <v>0.04144630482479871</v>
      </c>
      <c r="G118" s="80">
        <f t="shared" si="9"/>
        <v>0.08289260964959742</v>
      </c>
      <c r="H118" s="45"/>
      <c r="I118" s="81">
        <f t="shared" si="10"/>
        <v>6</v>
      </c>
      <c r="J118" s="79">
        <f t="shared" si="11"/>
        <v>217.687074829932</v>
      </c>
      <c r="M118" s="70"/>
      <c r="N118" s="45"/>
      <c r="O118" s="72"/>
    </row>
    <row r="119" spans="1:15" ht="15">
      <c r="A119" s="1">
        <f>ROW()</f>
        <v>119</v>
      </c>
      <c r="B119" s="69">
        <v>3</v>
      </c>
      <c r="C119" s="155">
        <f t="shared" si="6"/>
        <v>40</v>
      </c>
      <c r="D119" s="153">
        <f t="shared" si="7"/>
        <v>34.55350394125904</v>
      </c>
      <c r="E119" s="66"/>
      <c r="F119" s="89">
        <f t="shared" si="8"/>
        <v>0.039472671261713055</v>
      </c>
      <c r="G119" s="80">
        <f t="shared" si="9"/>
        <v>0.11841801378513916</v>
      </c>
      <c r="H119" s="45"/>
      <c r="I119" s="81">
        <f t="shared" si="10"/>
        <v>12</v>
      </c>
      <c r="J119" s="79">
        <f t="shared" si="11"/>
        <v>414.64204729510845</v>
      </c>
      <c r="M119" s="70"/>
      <c r="N119" s="45"/>
      <c r="O119" s="72"/>
    </row>
    <row r="120" spans="1:15" ht="15">
      <c r="A120" s="1">
        <f>ROW()</f>
        <v>120</v>
      </c>
      <c r="B120" s="69">
        <v>4</v>
      </c>
      <c r="C120" s="155">
        <f t="shared" si="6"/>
        <v>40</v>
      </c>
      <c r="D120" s="153">
        <f t="shared" si="7"/>
        <v>32.90809899167528</v>
      </c>
      <c r="E120" s="66"/>
      <c r="F120" s="89">
        <f t="shared" si="8"/>
        <v>0.037593020249250535</v>
      </c>
      <c r="G120" s="80">
        <f t="shared" si="9"/>
        <v>0.15037208099700214</v>
      </c>
      <c r="H120" s="45"/>
      <c r="I120" s="81">
        <f t="shared" si="10"/>
        <v>20</v>
      </c>
      <c r="J120" s="79">
        <f t="shared" si="11"/>
        <v>658.1619798335056</v>
      </c>
      <c r="M120" s="70"/>
      <c r="N120" s="45"/>
      <c r="O120" s="73"/>
    </row>
    <row r="121" spans="1:17" ht="15">
      <c r="A121" s="1">
        <f>ROW()</f>
        <v>121</v>
      </c>
      <c r="B121" s="69">
        <v>5</v>
      </c>
      <c r="C121" s="155">
        <f t="shared" si="6"/>
        <v>40</v>
      </c>
      <c r="D121" s="153">
        <f t="shared" si="7"/>
        <v>31.341046658738357</v>
      </c>
      <c r="E121" s="66"/>
      <c r="F121" s="89">
        <f t="shared" si="8"/>
        <v>0.03580287642785764</v>
      </c>
      <c r="G121" s="80">
        <f t="shared" si="9"/>
        <v>0.17901438213928822</v>
      </c>
      <c r="H121" s="45"/>
      <c r="I121" s="81">
        <f t="shared" si="10"/>
        <v>30</v>
      </c>
      <c r="J121" s="79">
        <f t="shared" si="11"/>
        <v>940.2313997621507</v>
      </c>
      <c r="M121" s="70"/>
      <c r="N121" s="45"/>
      <c r="O121" s="45"/>
      <c r="P121" s="45"/>
      <c r="Q121" s="45"/>
    </row>
    <row r="122" spans="1:23" ht="15">
      <c r="A122" s="1">
        <f>ROW()</f>
        <v>122</v>
      </c>
      <c r="B122" s="69">
        <v>6</v>
      </c>
      <c r="C122" s="155">
        <f t="shared" si="6"/>
        <v>40</v>
      </c>
      <c r="D122" s="153">
        <f t="shared" si="7"/>
        <v>29.848615865465106</v>
      </c>
      <c r="E122" s="66"/>
      <c r="F122" s="89">
        <f t="shared" si="8"/>
        <v>0.03409797755034062</v>
      </c>
      <c r="G122" s="80">
        <f t="shared" si="9"/>
        <v>0.20458786530204373</v>
      </c>
      <c r="H122" s="45"/>
      <c r="I122" s="81">
        <f t="shared" si="10"/>
        <v>42</v>
      </c>
      <c r="J122" s="79">
        <f t="shared" si="11"/>
        <v>1253.6418663495344</v>
      </c>
      <c r="M122" s="70"/>
      <c r="N122" s="45"/>
      <c r="O122" s="45"/>
      <c r="P122" s="45"/>
      <c r="Q122" s="45"/>
      <c r="T122" s="79"/>
      <c r="U122" s="79"/>
      <c r="V122" s="79"/>
      <c r="W122" s="79"/>
    </row>
    <row r="123" spans="1:17" ht="15">
      <c r="A123" s="1">
        <f>ROW()</f>
        <v>123</v>
      </c>
      <c r="B123" s="69">
        <v>7</v>
      </c>
      <c r="C123" s="155">
        <f t="shared" si="6"/>
        <v>40</v>
      </c>
      <c r="D123" s="153">
        <f t="shared" si="7"/>
        <v>28.42725320520486</v>
      </c>
      <c r="E123" s="66"/>
      <c r="F123" s="89">
        <f t="shared" si="8"/>
        <v>0.03247426433365773</v>
      </c>
      <c r="G123" s="80">
        <f t="shared" si="9"/>
        <v>0.2273198503356041</v>
      </c>
      <c r="H123" s="45"/>
      <c r="I123" s="81">
        <f t="shared" si="10"/>
        <v>56</v>
      </c>
      <c r="J123" s="79">
        <f t="shared" si="11"/>
        <v>1591.926179491472</v>
      </c>
      <c r="M123" s="70"/>
      <c r="N123" s="45"/>
      <c r="O123" s="45"/>
      <c r="P123" s="45"/>
      <c r="Q123" s="45"/>
    </row>
    <row r="124" spans="1:17" ht="15">
      <c r="A124" s="1">
        <f>ROW()</f>
        <v>124</v>
      </c>
      <c r="B124" s="69">
        <v>8</v>
      </c>
      <c r="C124" s="155">
        <f t="shared" si="6"/>
        <v>40</v>
      </c>
      <c r="D124" s="153">
        <f t="shared" si="7"/>
        <v>27.07357448114749</v>
      </c>
      <c r="E124" s="66"/>
      <c r="F124" s="89">
        <f t="shared" si="8"/>
        <v>0.030927870793959745</v>
      </c>
      <c r="G124" s="80">
        <f t="shared" si="9"/>
        <v>0.24742296635167796</v>
      </c>
      <c r="H124" s="45"/>
      <c r="I124" s="81">
        <f t="shared" si="10"/>
        <v>72</v>
      </c>
      <c r="J124" s="79">
        <f t="shared" si="11"/>
        <v>1949.2973626426192</v>
      </c>
      <c r="M124" s="70"/>
      <c r="N124" s="45"/>
      <c r="O124" s="45"/>
      <c r="P124" s="45"/>
      <c r="Q124" s="45"/>
    </row>
    <row r="125" spans="1:17" ht="13.5">
      <c r="A125" s="1">
        <f>ROW()</f>
        <v>125</v>
      </c>
      <c r="B125" s="69">
        <v>9</v>
      </c>
      <c r="C125" s="155">
        <f t="shared" si="6"/>
        <v>40</v>
      </c>
      <c r="D125" s="153">
        <f t="shared" si="7"/>
        <v>25.784356648711892</v>
      </c>
      <c r="E125" s="66"/>
      <c r="F125" s="89">
        <f t="shared" si="8"/>
        <v>0.029455115041866424</v>
      </c>
      <c r="G125" s="80">
        <f t="shared" si="9"/>
        <v>0.2650960353767978</v>
      </c>
      <c r="H125" s="45"/>
      <c r="I125" s="81">
        <f t="shared" si="10"/>
        <v>90</v>
      </c>
      <c r="J125" s="79">
        <f t="shared" si="11"/>
        <v>2320.59209838407</v>
      </c>
      <c r="M125" s="70"/>
      <c r="N125" s="45"/>
      <c r="O125" s="45"/>
      <c r="P125" s="45"/>
      <c r="Q125" s="45"/>
    </row>
    <row r="126" spans="1:17" ht="13.5">
      <c r="A126" s="1">
        <f>ROW()</f>
        <v>126</v>
      </c>
      <c r="B126" s="69">
        <v>10</v>
      </c>
      <c r="C126" s="155">
        <f t="shared" si="6"/>
        <v>40</v>
      </c>
      <c r="D126" s="153">
        <f t="shared" si="7"/>
        <v>24.556530141630372</v>
      </c>
      <c r="E126" s="66"/>
      <c r="F126" s="89">
        <f t="shared" si="8"/>
        <v>0.028052490516063257</v>
      </c>
      <c r="G126" s="80">
        <f t="shared" si="9"/>
        <v>0.28052490516063255</v>
      </c>
      <c r="H126" s="45"/>
      <c r="I126" s="81">
        <f t="shared" si="10"/>
        <v>110</v>
      </c>
      <c r="J126" s="79">
        <f t="shared" si="11"/>
        <v>2701.218315579341</v>
      </c>
      <c r="M126" s="70"/>
      <c r="N126" s="45"/>
      <c r="O126" s="45"/>
      <c r="P126" s="45"/>
      <c r="Q126" s="45"/>
    </row>
    <row r="127" spans="1:17" ht="13.5">
      <c r="A127" s="1">
        <f>ROW()</f>
        <v>127</v>
      </c>
      <c r="B127" s="69">
        <v>11</v>
      </c>
      <c r="C127" s="155">
        <f t="shared" si="6"/>
        <v>40</v>
      </c>
      <c r="D127" s="153">
        <f t="shared" si="7"/>
        <v>23.387171563457496</v>
      </c>
      <c r="E127" s="66"/>
      <c r="F127" s="89">
        <f t="shared" si="8"/>
        <v>0.02671665763434596</v>
      </c>
      <c r="G127" s="80">
        <f t="shared" si="9"/>
        <v>0.2938832339778055</v>
      </c>
      <c r="H127" s="45"/>
      <c r="I127" s="81">
        <f t="shared" si="10"/>
        <v>132</v>
      </c>
      <c r="J127" s="79">
        <f t="shared" si="11"/>
        <v>3087.1066463763896</v>
      </c>
      <c r="M127" s="70"/>
      <c r="N127" s="45"/>
      <c r="O127" s="45"/>
      <c r="P127" s="45"/>
      <c r="Q127" s="45"/>
    </row>
    <row r="128" spans="1:17" ht="13.5">
      <c r="A128" s="1">
        <f>ROW()</f>
        <v>128</v>
      </c>
      <c r="B128" s="69">
        <v>12</v>
      </c>
      <c r="C128" s="155">
        <f t="shared" si="6"/>
        <v>40</v>
      </c>
      <c r="D128" s="153">
        <f t="shared" si="7"/>
        <v>22.27349672710238</v>
      </c>
      <c r="E128" s="66"/>
      <c r="F128" s="89">
        <f t="shared" si="8"/>
        <v>0.02544443584223425</v>
      </c>
      <c r="G128" s="80">
        <f t="shared" si="9"/>
        <v>0.305333230106811</v>
      </c>
      <c r="H128" s="45"/>
      <c r="I128" s="81">
        <f t="shared" si="10"/>
        <v>156</v>
      </c>
      <c r="J128" s="79">
        <f t="shared" si="11"/>
        <v>3474.6654894279714</v>
      </c>
      <c r="M128" s="70"/>
      <c r="N128" s="45"/>
      <c r="O128" s="45"/>
      <c r="P128" s="45"/>
      <c r="Q128" s="45"/>
    </row>
    <row r="129" spans="1:17" ht="13.5">
      <c r="A129" s="1">
        <f>ROW()</f>
        <v>129</v>
      </c>
      <c r="B129" s="69">
        <v>13</v>
      </c>
      <c r="C129" s="155">
        <f t="shared" si="6"/>
        <v>40</v>
      </c>
      <c r="D129" s="153">
        <f t="shared" si="7"/>
        <v>21.212854025811787</v>
      </c>
      <c r="E129" s="66"/>
      <c r="F129" s="89">
        <f t="shared" si="8"/>
        <v>0.02423279604022309</v>
      </c>
      <c r="G129" s="80">
        <f t="shared" si="9"/>
        <v>0.3150263485229002</v>
      </c>
      <c r="H129" s="45"/>
      <c r="I129" s="81">
        <f t="shared" si="10"/>
        <v>182</v>
      </c>
      <c r="J129" s="79">
        <f t="shared" si="11"/>
        <v>3860.739432697745</v>
      </c>
      <c r="M129" s="70"/>
      <c r="N129" s="45"/>
      <c r="O129" s="45"/>
      <c r="P129" s="45"/>
      <c r="Q129" s="45"/>
    </row>
    <row r="130" spans="1:17" ht="13.5">
      <c r="A130" s="1">
        <f>ROW()</f>
        <v>130</v>
      </c>
      <c r="B130" s="69">
        <v>14</v>
      </c>
      <c r="C130" s="155">
        <f t="shared" si="6"/>
        <v>40</v>
      </c>
      <c r="D130" s="153">
        <f t="shared" si="7"/>
        <v>20.202718119820755</v>
      </c>
      <c r="E130" s="66"/>
      <c r="F130" s="89">
        <f t="shared" si="8"/>
        <v>0.023078853371641044</v>
      </c>
      <c r="G130" s="80">
        <f t="shared" si="9"/>
        <v>0.32310394720297464</v>
      </c>
      <c r="H130" s="45"/>
      <c r="I130" s="81">
        <f t="shared" si="10"/>
        <v>210</v>
      </c>
      <c r="J130" s="79">
        <f t="shared" si="11"/>
        <v>4242.570805162359</v>
      </c>
      <c r="M130" s="70"/>
      <c r="N130" s="45"/>
      <c r="O130" s="45"/>
      <c r="P130" s="45"/>
      <c r="Q130" s="45"/>
    </row>
    <row r="131" spans="1:17" ht="15.75" customHeight="1">
      <c r="A131" s="1">
        <f>ROW()</f>
        <v>131</v>
      </c>
      <c r="B131" s="69">
        <v>15</v>
      </c>
      <c r="C131" s="155">
        <f t="shared" si="6"/>
        <v>40</v>
      </c>
      <c r="D131" s="153">
        <f t="shared" si="7"/>
        <v>19.24068392363881</v>
      </c>
      <c r="E131" s="66"/>
      <c r="F131" s="89">
        <f t="shared" si="8"/>
        <v>0.021979860353943847</v>
      </c>
      <c r="G131" s="80">
        <f t="shared" si="9"/>
        <v>0.3296979053091577</v>
      </c>
      <c r="H131" s="45"/>
      <c r="I131" s="81">
        <f t="shared" si="10"/>
        <v>240</v>
      </c>
      <c r="J131" s="79">
        <f t="shared" si="11"/>
        <v>4617.764141673314</v>
      </c>
      <c r="M131" s="70"/>
      <c r="N131" s="45"/>
      <c r="O131" s="45"/>
      <c r="P131" s="45"/>
      <c r="Q131" s="45"/>
    </row>
    <row r="132" spans="1:17" ht="15.75" customHeight="1">
      <c r="A132" s="1">
        <f>ROW()</f>
        <v>132</v>
      </c>
      <c r="B132" s="69">
        <v>16</v>
      </c>
      <c r="C132" s="155">
        <f t="shared" si="6"/>
        <v>40</v>
      </c>
      <c r="D132" s="153">
        <f t="shared" si="7"/>
        <v>18.32446087965601</v>
      </c>
      <c r="E132" s="66"/>
      <c r="F132" s="89">
        <f t="shared" si="8"/>
        <v>0.020933200337089376</v>
      </c>
      <c r="G132" s="80">
        <f t="shared" si="9"/>
        <v>0.33493120539343</v>
      </c>
      <c r="H132" s="45"/>
      <c r="I132" s="81">
        <f t="shared" si="10"/>
        <v>272</v>
      </c>
      <c r="J132" s="79">
        <f t="shared" si="11"/>
        <v>4984.253359266434</v>
      </c>
      <c r="M132" s="70"/>
      <c r="N132" s="45"/>
      <c r="O132" s="45"/>
      <c r="P132" s="45"/>
      <c r="Q132" s="45"/>
    </row>
    <row r="133" spans="1:17" ht="13.5">
      <c r="A133" s="1">
        <f>ROW()</f>
        <v>133</v>
      </c>
      <c r="B133" s="69">
        <v>17</v>
      </c>
      <c r="C133" s="155">
        <f t="shared" si="6"/>
        <v>40</v>
      </c>
      <c r="D133" s="153">
        <f t="shared" si="7"/>
        <v>17.451867504434293</v>
      </c>
      <c r="E133" s="66"/>
      <c r="F133" s="89">
        <f t="shared" si="8"/>
        <v>0.019936381273418454</v>
      </c>
      <c r="G133" s="80">
        <f t="shared" si="9"/>
        <v>0.3389184816481137</v>
      </c>
      <c r="H133" s="45"/>
      <c r="I133" s="81">
        <f t="shared" si="10"/>
        <v>306</v>
      </c>
      <c r="J133" s="79">
        <f t="shared" si="11"/>
        <v>5340.271456356893</v>
      </c>
      <c r="M133" s="70"/>
      <c r="N133" s="45"/>
      <c r="O133" s="45"/>
      <c r="P133" s="45"/>
      <c r="Q133" s="45"/>
    </row>
    <row r="134" spans="1:17" ht="13.5">
      <c r="A134" s="1">
        <f>ROW()</f>
        <v>134</v>
      </c>
      <c r="B134" s="69">
        <v>18</v>
      </c>
      <c r="C134" s="155">
        <f t="shared" si="6"/>
        <v>40</v>
      </c>
      <c r="D134" s="153">
        <f t="shared" si="7"/>
        <v>16.620826194699326</v>
      </c>
      <c r="E134" s="66"/>
      <c r="F134" s="89">
        <f t="shared" si="8"/>
        <v>0.01898702978420805</v>
      </c>
      <c r="G134" s="80">
        <f t="shared" si="9"/>
        <v>0.3417665361157449</v>
      </c>
      <c r="H134" s="45"/>
      <c r="I134" s="81">
        <f t="shared" si="10"/>
        <v>342</v>
      </c>
      <c r="J134" s="79">
        <f t="shared" si="11"/>
        <v>5684.32255858717</v>
      </c>
      <c r="M134" s="70"/>
      <c r="O134" s="45"/>
      <c r="P134" s="45"/>
      <c r="Q134" s="45"/>
    </row>
    <row r="135" spans="1:17" ht="13.5">
      <c r="A135" s="1">
        <f>ROW()</f>
        <v>135</v>
      </c>
      <c r="B135" s="69">
        <v>19</v>
      </c>
      <c r="C135" s="155">
        <f t="shared" si="6"/>
        <v>40</v>
      </c>
      <c r="D135" s="153">
        <f t="shared" si="7"/>
        <v>15.829358280666025</v>
      </c>
      <c r="E135" s="66"/>
      <c r="F135" s="89">
        <f t="shared" si="8"/>
        <v>0.01808288550876957</v>
      </c>
      <c r="G135" s="80">
        <f t="shared" si="9"/>
        <v>0.34357482466662187</v>
      </c>
      <c r="H135" s="45"/>
      <c r="I135" s="81">
        <f t="shared" si="10"/>
        <v>380</v>
      </c>
      <c r="J135" s="79">
        <f t="shared" si="11"/>
        <v>6015.156146653089</v>
      </c>
      <c r="M135" s="70"/>
      <c r="O135" s="45"/>
      <c r="P135" s="45"/>
      <c r="Q135" s="45"/>
    </row>
    <row r="136" spans="1:17" ht="13.5">
      <c r="A136" s="1">
        <f>ROW()</f>
        <v>136</v>
      </c>
      <c r="B136" s="69">
        <v>20</v>
      </c>
      <c r="C136" s="155">
        <f>+$E$104*$E$105/2+$E$104</f>
        <v>1040</v>
      </c>
      <c r="D136" s="168">
        <f t="shared" si="7"/>
        <v>391.96506218792064</v>
      </c>
      <c r="E136" s="66"/>
      <c r="F136" s="89">
        <f t="shared" si="8"/>
        <v>0.4477666887885799</v>
      </c>
      <c r="G136" s="82">
        <f t="shared" si="9"/>
        <v>8.955333775771598</v>
      </c>
      <c r="H136" s="45"/>
      <c r="I136" s="81">
        <f t="shared" si="10"/>
        <v>420</v>
      </c>
      <c r="J136" s="83">
        <f t="shared" si="11"/>
        <v>164625.32611892666</v>
      </c>
      <c r="M136" s="70"/>
      <c r="O136" s="45"/>
      <c r="P136" s="45"/>
      <c r="Q136" s="45"/>
    </row>
    <row r="137" spans="1:17" ht="13.5">
      <c r="A137" s="1">
        <f>ROW()</f>
        <v>137</v>
      </c>
      <c r="B137" s="69"/>
      <c r="C137" s="161"/>
      <c r="E137" s="66"/>
      <c r="F137" s="89">
        <f>SUM(F116:F136)</f>
        <v>1</v>
      </c>
      <c r="G137" s="80">
        <f>SUM(G117:G136)</f>
        <v>13.680736817878978</v>
      </c>
      <c r="H137" s="45"/>
      <c r="I137" s="81"/>
      <c r="J137" s="71">
        <f>SUM(J116:J136)</f>
        <v>218055.76495548623</v>
      </c>
      <c r="M137" s="120"/>
      <c r="O137" s="45"/>
      <c r="P137" s="45"/>
      <c r="Q137" s="45"/>
    </row>
    <row r="138" spans="1:42" ht="14.25" thickBot="1">
      <c r="A138" s="1"/>
      <c r="B138" s="69"/>
      <c r="C138" s="161"/>
      <c r="E138" s="66"/>
      <c r="F138" s="89"/>
      <c r="G138" s="80"/>
      <c r="H138" s="45"/>
      <c r="I138" s="81"/>
      <c r="J138" s="71"/>
      <c r="M138" s="120"/>
      <c r="P138" s="45"/>
      <c r="Q138" s="45"/>
      <c r="AP138" s="31" t="s">
        <v>61</v>
      </c>
    </row>
    <row r="139" spans="1:17" ht="14.25" thickBot="1">
      <c r="A139" s="1">
        <f>ROW()</f>
        <v>139</v>
      </c>
      <c r="C139" s="99" t="s">
        <v>84</v>
      </c>
      <c r="D139" s="160">
        <f>SUM(D116:D136)</f>
        <v>875.3778965746001</v>
      </c>
      <c r="E139" s="163"/>
      <c r="F139" s="98" t="s">
        <v>85</v>
      </c>
      <c r="G139" s="165">
        <f>+G137/2</f>
        <v>6.840368408939489</v>
      </c>
      <c r="H139" s="164"/>
      <c r="I139" s="98" t="s">
        <v>86</v>
      </c>
      <c r="J139" s="118">
        <f>+((J137/((1+E107)^2))/(D139*E108^2))</f>
        <v>51.46673702336049</v>
      </c>
      <c r="M139" s="121"/>
      <c r="P139" s="45"/>
      <c r="Q139" s="45"/>
    </row>
    <row r="140" spans="1:46" ht="13.5">
      <c r="A140" s="1">
        <f>ROW()</f>
        <v>140</v>
      </c>
      <c r="E140" s="66"/>
      <c r="H140" s="45"/>
      <c r="I140" s="45"/>
      <c r="P140" s="45"/>
      <c r="Q140" s="45"/>
      <c r="AP140" s="52"/>
      <c r="AQ140" s="53"/>
      <c r="AR140" s="53"/>
      <c r="AS140" s="53"/>
      <c r="AT140" s="54"/>
    </row>
    <row r="141" spans="4:46" ht="13.5">
      <c r="D141" s="155"/>
      <c r="F141" s="66"/>
      <c r="I141" s="45"/>
      <c r="P141" s="45"/>
      <c r="Q141" s="45"/>
      <c r="AP141" s="57"/>
      <c r="AQ141" s="35"/>
      <c r="AR141" s="35"/>
      <c r="AS141" s="35"/>
      <c r="AT141" s="58"/>
    </row>
    <row r="142" spans="1:46" ht="13.5">
      <c r="A142" s="1">
        <f>ROW()</f>
        <v>142</v>
      </c>
      <c r="B142" s="108" t="s">
        <v>0</v>
      </c>
      <c r="C142" s="108" t="s">
        <v>1</v>
      </c>
      <c r="D142" s="108" t="s">
        <v>2</v>
      </c>
      <c r="E142" s="108" t="s">
        <v>3</v>
      </c>
      <c r="F142" s="108" t="s">
        <v>4</v>
      </c>
      <c r="G142" s="108" t="s">
        <v>5</v>
      </c>
      <c r="H142" s="108" t="s">
        <v>6</v>
      </c>
      <c r="I142" s="108" t="s">
        <v>100</v>
      </c>
      <c r="J142" s="108" t="s">
        <v>101</v>
      </c>
      <c r="K142" s="108" t="s">
        <v>7</v>
      </c>
      <c r="L142" s="108" t="s">
        <v>147</v>
      </c>
      <c r="M142" s="108" t="s">
        <v>148</v>
      </c>
      <c r="N142" s="108" t="s">
        <v>8</v>
      </c>
      <c r="P142" s="45"/>
      <c r="Q142" s="45"/>
      <c r="AP142" s="57"/>
      <c r="AQ142" s="35"/>
      <c r="AR142" s="35"/>
      <c r="AS142" s="35"/>
      <c r="AT142" s="58"/>
    </row>
    <row r="143" spans="1:46" ht="17.25">
      <c r="A143" s="1">
        <f>ROW()</f>
        <v>143</v>
      </c>
      <c r="B143" s="110" t="s">
        <v>9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P143" s="45"/>
      <c r="Q143" s="45"/>
      <c r="AP143" s="57"/>
      <c r="AQ143" s="35"/>
      <c r="AR143" s="35"/>
      <c r="AS143" s="35"/>
      <c r="AT143" s="58"/>
    </row>
    <row r="144" spans="1:46" ht="12.75">
      <c r="A144" s="1">
        <f>ROW()</f>
        <v>144</v>
      </c>
      <c r="B144" t="s">
        <v>10</v>
      </c>
      <c r="C144" s="2">
        <v>1000</v>
      </c>
      <c r="E144" t="s">
        <v>11</v>
      </c>
      <c r="G144" s="3">
        <f>+C145/2</f>
        <v>0.04</v>
      </c>
      <c r="AP144" s="57"/>
      <c r="AQ144" s="35"/>
      <c r="AR144" s="35"/>
      <c r="AS144" s="35"/>
      <c r="AT144" s="58"/>
    </row>
    <row r="145" spans="1:46" ht="12.75">
      <c r="A145" s="1">
        <f>ROW()</f>
        <v>145</v>
      </c>
      <c r="B145" t="s">
        <v>13</v>
      </c>
      <c r="C145" s="5">
        <v>0.08</v>
      </c>
      <c r="E145" t="s">
        <v>14</v>
      </c>
      <c r="G145" s="6">
        <f>+C145*$C$144/2</f>
        <v>40</v>
      </c>
      <c r="H145" t="s">
        <v>15</v>
      </c>
      <c r="AP145" s="57"/>
      <c r="AQ145" s="35"/>
      <c r="AR145" s="35"/>
      <c r="AS145" s="35"/>
      <c r="AT145" s="58"/>
    </row>
    <row r="146" spans="1:46" ht="12.75">
      <c r="A146" s="1">
        <f>ROW()</f>
        <v>146</v>
      </c>
      <c r="B146" t="s">
        <v>17</v>
      </c>
      <c r="C146">
        <v>20</v>
      </c>
      <c r="D146" t="s">
        <v>18</v>
      </c>
      <c r="E146" t="s">
        <v>19</v>
      </c>
      <c r="G146">
        <f>+C146*2</f>
        <v>40</v>
      </c>
      <c r="H146" t="s">
        <v>20</v>
      </c>
      <c r="AP146" s="57"/>
      <c r="AQ146" s="35"/>
      <c r="AR146" s="35"/>
      <c r="AS146" s="35"/>
      <c r="AT146" s="58"/>
    </row>
    <row r="147" spans="1:46" ht="12.75">
      <c r="A147" s="1">
        <f>ROW()</f>
        <v>147</v>
      </c>
      <c r="AP147" s="57"/>
      <c r="AQ147" s="35"/>
      <c r="AR147" s="35"/>
      <c r="AS147" s="35"/>
      <c r="AT147" s="58"/>
    </row>
    <row r="148" spans="1:6" ht="12.75">
      <c r="A148" s="1">
        <f>ROW()</f>
        <v>148</v>
      </c>
      <c r="B148" t="s">
        <v>23</v>
      </c>
      <c r="E148" s="8">
        <f>PV(C145/2,G146,-G145)</f>
        <v>791.710955337059</v>
      </c>
      <c r="F148" s="74" t="s">
        <v>24</v>
      </c>
    </row>
    <row r="149" spans="1:6" ht="12.75">
      <c r="A149" s="1">
        <f>ROW()</f>
        <v>149</v>
      </c>
      <c r="B149" t="s">
        <v>26</v>
      </c>
      <c r="E149" s="8">
        <f>PV(C145/2,G146,0,-C144,0)</f>
        <v>208.28904466294102</v>
      </c>
      <c r="F149" s="74" t="s">
        <v>27</v>
      </c>
    </row>
    <row r="150" spans="1:6" ht="12.75" thickBot="1">
      <c r="A150" s="1">
        <f>ROW()</f>
        <v>150</v>
      </c>
      <c r="B150" t="s">
        <v>29</v>
      </c>
      <c r="E150" s="10">
        <f>SUM(E148:E149)</f>
        <v>1000</v>
      </c>
      <c r="F150" s="8"/>
    </row>
    <row r="151" ht="12.75" thickTop="1">
      <c r="A151" s="1">
        <f>ROW()</f>
        <v>151</v>
      </c>
    </row>
    <row r="152" spans="1:6" ht="12.75">
      <c r="A152" s="1">
        <f>ROW()</f>
        <v>152</v>
      </c>
      <c r="B152" t="s">
        <v>32</v>
      </c>
      <c r="C152" s="11"/>
      <c r="D152" s="12">
        <f>NPV($C$145/2,D157:D196)</f>
        <v>999.9999999999991</v>
      </c>
      <c r="E152" s="12">
        <f>NPV($C$145/2,E157:E196)</f>
        <v>0</v>
      </c>
      <c r="F152" s="12">
        <f>NPV($C$145/2,F157:F196)</f>
        <v>999.9999999999991</v>
      </c>
    </row>
    <row r="153" spans="1:6" ht="12.75" thickBot="1">
      <c r="A153" s="1">
        <f>ROW()</f>
        <v>153</v>
      </c>
      <c r="D153" s="9"/>
      <c r="E153" s="14"/>
      <c r="F153" s="14"/>
    </row>
    <row r="154" spans="1:6" ht="12.75" thickBot="1">
      <c r="A154" s="1">
        <f>ROW()</f>
        <v>154</v>
      </c>
      <c r="C154" s="15" t="s">
        <v>37</v>
      </c>
      <c r="D154" s="16"/>
      <c r="E154" s="16"/>
      <c r="F154" s="17"/>
    </row>
    <row r="155" spans="1:6" ht="25.5" thickBot="1">
      <c r="A155" s="1">
        <f>ROW()</f>
        <v>155</v>
      </c>
      <c r="C155" s="18" t="s">
        <v>40</v>
      </c>
      <c r="D155" s="19" t="s">
        <v>41</v>
      </c>
      <c r="E155" s="19" t="s">
        <v>42</v>
      </c>
      <c r="F155" s="20" t="s">
        <v>43</v>
      </c>
    </row>
    <row r="156" spans="1:6" ht="12.75">
      <c r="A156" s="1">
        <f>ROW()</f>
        <v>156</v>
      </c>
      <c r="C156" s="21">
        <v>0</v>
      </c>
      <c r="D156" s="22"/>
      <c r="E156" s="22"/>
      <c r="F156" s="23">
        <f>-C144</f>
        <v>-1000</v>
      </c>
    </row>
    <row r="157" spans="1:6" ht="12.75">
      <c r="A157" s="1">
        <f>ROW()</f>
        <v>157</v>
      </c>
      <c r="C157" s="24">
        <v>1</v>
      </c>
      <c r="D157" s="25">
        <f aca="true" t="shared" si="12" ref="D157:D195">+$G$145</f>
        <v>40</v>
      </c>
      <c r="E157" s="26">
        <v>0</v>
      </c>
      <c r="F157" s="27">
        <f aca="true" t="shared" si="13" ref="F157:F196">+E157+D157</f>
        <v>40</v>
      </c>
    </row>
    <row r="158" spans="1:6" ht="12.75">
      <c r="A158" s="1">
        <f>ROW()</f>
        <v>158</v>
      </c>
      <c r="C158" s="24">
        <f aca="true" t="shared" si="14" ref="C158:C196">+C157+1</f>
        <v>2</v>
      </c>
      <c r="D158" s="25">
        <f t="shared" si="12"/>
        <v>40</v>
      </c>
      <c r="E158" s="26">
        <v>0</v>
      </c>
      <c r="F158" s="27">
        <f t="shared" si="13"/>
        <v>40</v>
      </c>
    </row>
    <row r="159" spans="1:6" ht="12.75">
      <c r="A159" s="1">
        <f>ROW()</f>
        <v>159</v>
      </c>
      <c r="C159" s="24">
        <f t="shared" si="14"/>
        <v>3</v>
      </c>
      <c r="D159" s="25">
        <f t="shared" si="12"/>
        <v>40</v>
      </c>
      <c r="E159" s="26">
        <v>0</v>
      </c>
      <c r="F159" s="27">
        <f t="shared" si="13"/>
        <v>40</v>
      </c>
    </row>
    <row r="160" spans="1:6" ht="12.75">
      <c r="A160" s="1">
        <f>ROW()</f>
        <v>160</v>
      </c>
      <c r="C160" s="24">
        <f t="shared" si="14"/>
        <v>4</v>
      </c>
      <c r="D160" s="25">
        <f t="shared" si="12"/>
        <v>40</v>
      </c>
      <c r="E160" s="26">
        <v>0</v>
      </c>
      <c r="F160" s="27">
        <f t="shared" si="13"/>
        <v>40</v>
      </c>
    </row>
    <row r="161" spans="1:6" ht="12.75">
      <c r="A161" s="1">
        <f>ROW()</f>
        <v>161</v>
      </c>
      <c r="C161" s="24">
        <f t="shared" si="14"/>
        <v>5</v>
      </c>
      <c r="D161" s="25">
        <f t="shared" si="12"/>
        <v>40</v>
      </c>
      <c r="E161" s="26">
        <v>0</v>
      </c>
      <c r="F161" s="27">
        <f t="shared" si="13"/>
        <v>40</v>
      </c>
    </row>
    <row r="162" spans="1:6" ht="12.75">
      <c r="A162" s="1">
        <f>ROW()</f>
        <v>162</v>
      </c>
      <c r="C162" s="24">
        <f t="shared" si="14"/>
        <v>6</v>
      </c>
      <c r="D162" s="25">
        <f t="shared" si="12"/>
        <v>40</v>
      </c>
      <c r="E162" s="26">
        <v>0</v>
      </c>
      <c r="F162" s="27">
        <f t="shared" si="13"/>
        <v>40</v>
      </c>
    </row>
    <row r="163" spans="1:6" ht="12.75">
      <c r="A163" s="1">
        <f>ROW()</f>
        <v>163</v>
      </c>
      <c r="C163" s="24">
        <f t="shared" si="14"/>
        <v>7</v>
      </c>
      <c r="D163" s="25">
        <f t="shared" si="12"/>
        <v>40</v>
      </c>
      <c r="E163" s="26">
        <v>0</v>
      </c>
      <c r="F163" s="27">
        <f t="shared" si="13"/>
        <v>40</v>
      </c>
    </row>
    <row r="164" spans="1:6" ht="12.75">
      <c r="A164" s="1">
        <f>ROW()</f>
        <v>164</v>
      </c>
      <c r="C164" s="24">
        <f t="shared" si="14"/>
        <v>8</v>
      </c>
      <c r="D164" s="25">
        <f t="shared" si="12"/>
        <v>40</v>
      </c>
      <c r="E164" s="26">
        <v>0</v>
      </c>
      <c r="F164" s="27">
        <f t="shared" si="13"/>
        <v>40</v>
      </c>
    </row>
    <row r="165" spans="1:6" ht="12.75">
      <c r="A165" s="1">
        <f>ROW()</f>
        <v>165</v>
      </c>
      <c r="C165" s="24">
        <f t="shared" si="14"/>
        <v>9</v>
      </c>
      <c r="D165" s="25">
        <f t="shared" si="12"/>
        <v>40</v>
      </c>
      <c r="E165" s="26">
        <v>0</v>
      </c>
      <c r="F165" s="27">
        <f t="shared" si="13"/>
        <v>40</v>
      </c>
    </row>
    <row r="166" spans="1:6" ht="12.75">
      <c r="A166" s="1">
        <f>ROW()</f>
        <v>166</v>
      </c>
      <c r="C166" s="24">
        <f t="shared" si="14"/>
        <v>10</v>
      </c>
      <c r="D166" s="25">
        <f t="shared" si="12"/>
        <v>40</v>
      </c>
      <c r="E166" s="26">
        <v>0</v>
      </c>
      <c r="F166" s="27">
        <f t="shared" si="13"/>
        <v>40</v>
      </c>
    </row>
    <row r="167" spans="1:6" ht="12.75">
      <c r="A167" s="1">
        <f>ROW()</f>
        <v>167</v>
      </c>
      <c r="C167" s="24">
        <f t="shared" si="14"/>
        <v>11</v>
      </c>
      <c r="D167" s="25">
        <f t="shared" si="12"/>
        <v>40</v>
      </c>
      <c r="E167" s="26">
        <v>0</v>
      </c>
      <c r="F167" s="27">
        <f t="shared" si="13"/>
        <v>40</v>
      </c>
    </row>
    <row r="168" spans="1:6" ht="12.75">
      <c r="A168" s="1">
        <f>ROW()</f>
        <v>168</v>
      </c>
      <c r="C168" s="24">
        <f t="shared" si="14"/>
        <v>12</v>
      </c>
      <c r="D168" s="25">
        <f t="shared" si="12"/>
        <v>40</v>
      </c>
      <c r="E168" s="26">
        <v>0</v>
      </c>
      <c r="F168" s="27">
        <f t="shared" si="13"/>
        <v>40</v>
      </c>
    </row>
    <row r="169" spans="1:6" ht="12.75">
      <c r="A169" s="1">
        <f>ROW()</f>
        <v>169</v>
      </c>
      <c r="C169" s="24">
        <f t="shared" si="14"/>
        <v>13</v>
      </c>
      <c r="D169" s="25">
        <f t="shared" si="12"/>
        <v>40</v>
      </c>
      <c r="E169" s="26">
        <v>0</v>
      </c>
      <c r="F169" s="27">
        <f t="shared" si="13"/>
        <v>40</v>
      </c>
    </row>
    <row r="170" spans="1:6" ht="12.75">
      <c r="A170" s="1">
        <f>ROW()</f>
        <v>170</v>
      </c>
      <c r="C170" s="24">
        <f t="shared" si="14"/>
        <v>14</v>
      </c>
      <c r="D170" s="25">
        <f t="shared" si="12"/>
        <v>40</v>
      </c>
      <c r="E170" s="26">
        <v>0</v>
      </c>
      <c r="F170" s="27">
        <f t="shared" si="13"/>
        <v>40</v>
      </c>
    </row>
    <row r="171" spans="1:6" ht="12.75">
      <c r="A171" s="1">
        <f>ROW()</f>
        <v>171</v>
      </c>
      <c r="C171" s="24">
        <f t="shared" si="14"/>
        <v>15</v>
      </c>
      <c r="D171" s="25">
        <f t="shared" si="12"/>
        <v>40</v>
      </c>
      <c r="E171" s="26">
        <v>0</v>
      </c>
      <c r="F171" s="27">
        <f t="shared" si="13"/>
        <v>40</v>
      </c>
    </row>
    <row r="172" spans="1:6" ht="12.75">
      <c r="A172" s="1">
        <f>ROW()</f>
        <v>172</v>
      </c>
      <c r="C172" s="24">
        <f t="shared" si="14"/>
        <v>16</v>
      </c>
      <c r="D172" s="25">
        <f t="shared" si="12"/>
        <v>40</v>
      </c>
      <c r="E172" s="26">
        <v>0</v>
      </c>
      <c r="F172" s="27">
        <f t="shared" si="13"/>
        <v>40</v>
      </c>
    </row>
    <row r="173" spans="1:6" ht="12.75">
      <c r="A173" s="1">
        <f>ROW()</f>
        <v>173</v>
      </c>
      <c r="C173" s="24">
        <f t="shared" si="14"/>
        <v>17</v>
      </c>
      <c r="D173" s="25">
        <f t="shared" si="12"/>
        <v>40</v>
      </c>
      <c r="E173" s="26">
        <v>0</v>
      </c>
      <c r="F173" s="27">
        <f t="shared" si="13"/>
        <v>40</v>
      </c>
    </row>
    <row r="174" spans="1:6" ht="12.75">
      <c r="A174" s="1">
        <f>ROW()</f>
        <v>174</v>
      </c>
      <c r="C174" s="24">
        <f t="shared" si="14"/>
        <v>18</v>
      </c>
      <c r="D174" s="25">
        <f t="shared" si="12"/>
        <v>40</v>
      </c>
      <c r="E174" s="26">
        <v>0</v>
      </c>
      <c r="F174" s="27">
        <f t="shared" si="13"/>
        <v>40</v>
      </c>
    </row>
    <row r="175" spans="1:6" ht="12.75">
      <c r="A175" s="1">
        <f>ROW()</f>
        <v>175</v>
      </c>
      <c r="C175" s="24">
        <f t="shared" si="14"/>
        <v>19</v>
      </c>
      <c r="D175" s="25">
        <f t="shared" si="12"/>
        <v>40</v>
      </c>
      <c r="E175" s="26">
        <v>0</v>
      </c>
      <c r="F175" s="27">
        <f t="shared" si="13"/>
        <v>40</v>
      </c>
    </row>
    <row r="176" spans="1:6" ht="12.75">
      <c r="A176" s="1">
        <f>ROW()</f>
        <v>176</v>
      </c>
      <c r="C176" s="24">
        <f t="shared" si="14"/>
        <v>20</v>
      </c>
      <c r="D176" s="25">
        <f t="shared" si="12"/>
        <v>40</v>
      </c>
      <c r="E176" s="26">
        <v>0</v>
      </c>
      <c r="F176" s="27">
        <f t="shared" si="13"/>
        <v>40</v>
      </c>
    </row>
    <row r="177" spans="1:6" ht="12.75">
      <c r="A177" s="1">
        <f>ROW()</f>
        <v>177</v>
      </c>
      <c r="C177" s="24">
        <f t="shared" si="14"/>
        <v>21</v>
      </c>
      <c r="D177" s="25">
        <f t="shared" si="12"/>
        <v>40</v>
      </c>
      <c r="E177" s="26">
        <v>0</v>
      </c>
      <c r="F177" s="27">
        <f t="shared" si="13"/>
        <v>40</v>
      </c>
    </row>
    <row r="178" spans="1:6" ht="12.75">
      <c r="A178" s="1">
        <f>ROW()</f>
        <v>178</v>
      </c>
      <c r="C178" s="24">
        <f t="shared" si="14"/>
        <v>22</v>
      </c>
      <c r="D178" s="25">
        <f t="shared" si="12"/>
        <v>40</v>
      </c>
      <c r="E178" s="26">
        <v>0</v>
      </c>
      <c r="F178" s="27">
        <f t="shared" si="13"/>
        <v>40</v>
      </c>
    </row>
    <row r="179" spans="1:6" ht="12.75">
      <c r="A179" s="1">
        <f>ROW()</f>
        <v>179</v>
      </c>
      <c r="C179" s="24">
        <f t="shared" si="14"/>
        <v>23</v>
      </c>
      <c r="D179" s="25">
        <f t="shared" si="12"/>
        <v>40</v>
      </c>
      <c r="E179" s="26">
        <v>0</v>
      </c>
      <c r="F179" s="27">
        <f t="shared" si="13"/>
        <v>40</v>
      </c>
    </row>
    <row r="180" spans="1:6" ht="12.75">
      <c r="A180" s="1">
        <f>ROW()</f>
        <v>180</v>
      </c>
      <c r="C180" s="24">
        <f t="shared" si="14"/>
        <v>24</v>
      </c>
      <c r="D180" s="25">
        <f t="shared" si="12"/>
        <v>40</v>
      </c>
      <c r="E180" s="26">
        <v>0</v>
      </c>
      <c r="F180" s="27">
        <f t="shared" si="13"/>
        <v>40</v>
      </c>
    </row>
    <row r="181" spans="1:6" ht="12.75">
      <c r="A181" s="1"/>
      <c r="C181" s="24">
        <f t="shared" si="14"/>
        <v>25</v>
      </c>
      <c r="D181" s="25">
        <f t="shared" si="12"/>
        <v>40</v>
      </c>
      <c r="E181" s="26">
        <v>0</v>
      </c>
      <c r="F181" s="27">
        <f t="shared" si="13"/>
        <v>40</v>
      </c>
    </row>
    <row r="182" spans="1:6" ht="12.75">
      <c r="A182" s="1">
        <f>ROW()</f>
        <v>182</v>
      </c>
      <c r="C182" s="24">
        <f t="shared" si="14"/>
        <v>26</v>
      </c>
      <c r="D182" s="25">
        <f t="shared" si="12"/>
        <v>40</v>
      </c>
      <c r="E182" s="26">
        <v>0</v>
      </c>
      <c r="F182" s="27">
        <f t="shared" si="13"/>
        <v>40</v>
      </c>
    </row>
    <row r="183" spans="1:6" ht="12.75">
      <c r="A183" s="1">
        <f>ROW()</f>
        <v>183</v>
      </c>
      <c r="C183" s="24">
        <f t="shared" si="14"/>
        <v>27</v>
      </c>
      <c r="D183" s="25">
        <f t="shared" si="12"/>
        <v>40</v>
      </c>
      <c r="E183" s="26">
        <v>0</v>
      </c>
      <c r="F183" s="27">
        <f t="shared" si="13"/>
        <v>40</v>
      </c>
    </row>
    <row r="184" spans="1:6" ht="12.75">
      <c r="A184" s="1">
        <f>ROW()</f>
        <v>184</v>
      </c>
      <c r="C184" s="24">
        <f t="shared" si="14"/>
        <v>28</v>
      </c>
      <c r="D184" s="25">
        <f t="shared" si="12"/>
        <v>40</v>
      </c>
      <c r="E184" s="26">
        <v>0</v>
      </c>
      <c r="F184" s="27">
        <f t="shared" si="13"/>
        <v>40</v>
      </c>
    </row>
    <row r="185" spans="1:6" ht="12.75">
      <c r="A185" s="1">
        <f>ROW()</f>
        <v>185</v>
      </c>
      <c r="C185" s="24">
        <f t="shared" si="14"/>
        <v>29</v>
      </c>
      <c r="D185" s="25">
        <f t="shared" si="12"/>
        <v>40</v>
      </c>
      <c r="E185" s="26">
        <v>0</v>
      </c>
      <c r="F185" s="27">
        <f t="shared" si="13"/>
        <v>40</v>
      </c>
    </row>
    <row r="186" spans="1:6" ht="12.75">
      <c r="A186" s="1">
        <f>ROW()</f>
        <v>186</v>
      </c>
      <c r="C186" s="24">
        <f t="shared" si="14"/>
        <v>30</v>
      </c>
      <c r="D186" s="25">
        <f t="shared" si="12"/>
        <v>40</v>
      </c>
      <c r="E186" s="26">
        <v>0</v>
      </c>
      <c r="F186" s="27">
        <f t="shared" si="13"/>
        <v>40</v>
      </c>
    </row>
    <row r="187" spans="1:6" ht="12.75">
      <c r="A187" s="1">
        <f>ROW()</f>
        <v>187</v>
      </c>
      <c r="C187" s="24">
        <f t="shared" si="14"/>
        <v>31</v>
      </c>
      <c r="D187" s="25">
        <f t="shared" si="12"/>
        <v>40</v>
      </c>
      <c r="E187" s="26">
        <v>0</v>
      </c>
      <c r="F187" s="27">
        <f t="shared" si="13"/>
        <v>40</v>
      </c>
    </row>
    <row r="188" spans="1:6" ht="12.75">
      <c r="A188" s="1">
        <f>ROW()</f>
        <v>188</v>
      </c>
      <c r="C188" s="24">
        <f t="shared" si="14"/>
        <v>32</v>
      </c>
      <c r="D188" s="25">
        <f t="shared" si="12"/>
        <v>40</v>
      </c>
      <c r="E188" s="26">
        <v>0</v>
      </c>
      <c r="F188" s="27">
        <f t="shared" si="13"/>
        <v>40</v>
      </c>
    </row>
    <row r="189" spans="1:6" ht="12.75">
      <c r="A189" s="1">
        <f>ROW()</f>
        <v>189</v>
      </c>
      <c r="C189" s="24">
        <f t="shared" si="14"/>
        <v>33</v>
      </c>
      <c r="D189" s="25">
        <f t="shared" si="12"/>
        <v>40</v>
      </c>
      <c r="E189" s="26">
        <v>0</v>
      </c>
      <c r="F189" s="27">
        <f t="shared" si="13"/>
        <v>40</v>
      </c>
    </row>
    <row r="190" spans="1:6" ht="12.75">
      <c r="A190" s="1">
        <f>ROW()</f>
        <v>190</v>
      </c>
      <c r="C190" s="24">
        <f t="shared" si="14"/>
        <v>34</v>
      </c>
      <c r="D190" s="25">
        <f t="shared" si="12"/>
        <v>40</v>
      </c>
      <c r="E190" s="26">
        <v>0</v>
      </c>
      <c r="F190" s="27">
        <f t="shared" si="13"/>
        <v>40</v>
      </c>
    </row>
    <row r="191" spans="1:6" ht="12.75">
      <c r="A191" s="1">
        <f>ROW()</f>
        <v>191</v>
      </c>
      <c r="C191" s="24">
        <f t="shared" si="14"/>
        <v>35</v>
      </c>
      <c r="D191" s="25">
        <f t="shared" si="12"/>
        <v>40</v>
      </c>
      <c r="E191" s="26">
        <v>0</v>
      </c>
      <c r="F191" s="27">
        <f t="shared" si="13"/>
        <v>40</v>
      </c>
    </row>
    <row r="192" spans="1:6" ht="12.75">
      <c r="A192" s="1">
        <f>ROW()</f>
        <v>192</v>
      </c>
      <c r="C192" s="24">
        <f t="shared" si="14"/>
        <v>36</v>
      </c>
      <c r="D192" s="25">
        <f t="shared" si="12"/>
        <v>40</v>
      </c>
      <c r="E192" s="26">
        <v>0</v>
      </c>
      <c r="F192" s="27">
        <f t="shared" si="13"/>
        <v>40</v>
      </c>
    </row>
    <row r="193" spans="1:6" ht="12.75">
      <c r="A193" s="1">
        <f>ROW()</f>
        <v>193</v>
      </c>
      <c r="C193" s="24">
        <f t="shared" si="14"/>
        <v>37</v>
      </c>
      <c r="D193" s="25">
        <f t="shared" si="12"/>
        <v>40</v>
      </c>
      <c r="E193" s="26">
        <v>0</v>
      </c>
      <c r="F193" s="27">
        <f t="shared" si="13"/>
        <v>40</v>
      </c>
    </row>
    <row r="194" spans="1:6" ht="12.75">
      <c r="A194" s="1">
        <f>ROW()</f>
        <v>194</v>
      </c>
      <c r="C194" s="24">
        <f t="shared" si="14"/>
        <v>38</v>
      </c>
      <c r="D194" s="25">
        <f t="shared" si="12"/>
        <v>40</v>
      </c>
      <c r="E194" s="26">
        <v>0</v>
      </c>
      <c r="F194" s="27">
        <f t="shared" si="13"/>
        <v>40</v>
      </c>
    </row>
    <row r="195" spans="1:6" ht="12.75">
      <c r="A195" s="1">
        <f>ROW()</f>
        <v>195</v>
      </c>
      <c r="C195" s="24">
        <f t="shared" si="14"/>
        <v>39</v>
      </c>
      <c r="D195" s="25">
        <f t="shared" si="12"/>
        <v>40</v>
      </c>
      <c r="E195" s="26">
        <v>0</v>
      </c>
      <c r="F195" s="27">
        <f t="shared" si="13"/>
        <v>40</v>
      </c>
    </row>
    <row r="196" spans="1:6" ht="12.75" thickBot="1">
      <c r="A196" s="1">
        <f>ROW()</f>
        <v>196</v>
      </c>
      <c r="C196" s="24">
        <f t="shared" si="14"/>
        <v>40</v>
      </c>
      <c r="D196" s="25">
        <f>+$G$145+C144</f>
        <v>1040</v>
      </c>
      <c r="E196" s="26">
        <v>0</v>
      </c>
      <c r="F196" s="27">
        <f t="shared" si="13"/>
        <v>1040</v>
      </c>
    </row>
    <row r="197" spans="1:6" ht="12.75" thickBot="1">
      <c r="A197" s="1">
        <f>ROW()</f>
        <v>197</v>
      </c>
      <c r="C197" s="28" t="s">
        <v>46</v>
      </c>
      <c r="D197" s="29"/>
      <c r="E197" s="29"/>
      <c r="F197" s="30">
        <f>IRR(F156:F196)</f>
        <v>0.03999999999564863</v>
      </c>
    </row>
    <row r="198" ht="12.75">
      <c r="A198" s="1">
        <f>ROW()</f>
        <v>198</v>
      </c>
    </row>
    <row r="200" spans="1:14" ht="12.75">
      <c r="A200" s="1">
        <f>ROW()</f>
        <v>200</v>
      </c>
      <c r="B200" s="108" t="s">
        <v>0</v>
      </c>
      <c r="C200" s="108" t="s">
        <v>1</v>
      </c>
      <c r="D200" s="108" t="s">
        <v>2</v>
      </c>
      <c r="E200" s="108" t="s">
        <v>3</v>
      </c>
      <c r="F200" s="108" t="s">
        <v>4</v>
      </c>
      <c r="G200" s="108" t="s">
        <v>5</v>
      </c>
      <c r="H200" s="108" t="s">
        <v>6</v>
      </c>
      <c r="I200" s="108" t="s">
        <v>100</v>
      </c>
      <c r="J200" s="108" t="s">
        <v>101</v>
      </c>
      <c r="K200" s="108" t="s">
        <v>7</v>
      </c>
      <c r="L200" s="108" t="s">
        <v>147</v>
      </c>
      <c r="M200" s="108" t="s">
        <v>148</v>
      </c>
      <c r="N200" s="108" t="s">
        <v>8</v>
      </c>
    </row>
    <row r="201" spans="1:14" ht="17.25">
      <c r="A201" s="1">
        <f>ROW()</f>
        <v>201</v>
      </c>
      <c r="B201" s="110" t="s">
        <v>47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</row>
    <row r="202" ht="12.75">
      <c r="A202" s="1">
        <f>ROW()</f>
        <v>202</v>
      </c>
    </row>
    <row r="203" spans="1:4" ht="12.75">
      <c r="A203" s="1">
        <f>ROW()</f>
        <v>203</v>
      </c>
      <c r="B203" t="s">
        <v>12</v>
      </c>
      <c r="D203" s="4">
        <f>DATE(2000,1,1)</f>
        <v>36526</v>
      </c>
    </row>
    <row r="204" spans="1:4" ht="12.75">
      <c r="A204" s="1">
        <f>ROW()</f>
        <v>204</v>
      </c>
      <c r="B204" t="s">
        <v>16</v>
      </c>
      <c r="D204" s="4">
        <f>DATE(2010,1,1)</f>
        <v>40179</v>
      </c>
    </row>
    <row r="205" spans="1:4" ht="12.75">
      <c r="A205" s="1">
        <f>ROW()</f>
        <v>205</v>
      </c>
      <c r="B205" t="s">
        <v>21</v>
      </c>
      <c r="D205" s="7">
        <v>0.08</v>
      </c>
    </row>
    <row r="206" spans="1:4" ht="12.75">
      <c r="A206" s="1">
        <f>ROW()</f>
        <v>206</v>
      </c>
      <c r="B206" t="s">
        <v>49</v>
      </c>
      <c r="D206">
        <v>110</v>
      </c>
    </row>
    <row r="207" spans="1:4" ht="12.75">
      <c r="A207" s="1">
        <f>ROW()</f>
        <v>207</v>
      </c>
      <c r="B207" t="s">
        <v>50</v>
      </c>
      <c r="D207">
        <v>100</v>
      </c>
    </row>
    <row r="208" spans="1:4" ht="12.75">
      <c r="A208" s="1">
        <f>ROW()</f>
        <v>208</v>
      </c>
      <c r="B208" t="s">
        <v>51</v>
      </c>
      <c r="D208">
        <v>2</v>
      </c>
    </row>
    <row r="209" ht="12.75">
      <c r="A209" s="1">
        <f>ROW()</f>
        <v>209</v>
      </c>
    </row>
    <row r="210" spans="1:5" ht="12.75">
      <c r="A210" s="1">
        <f>ROW()</f>
        <v>210</v>
      </c>
      <c r="B210" t="s">
        <v>22</v>
      </c>
      <c r="D210" s="33">
        <f>YIELD(D203,D204,D205,D206,D207,D208)</f>
        <v>0.06617048546134967</v>
      </c>
      <c r="E210" s="77" t="s">
        <v>53</v>
      </c>
    </row>
    <row r="211" ht="12.75" thickBot="1">
      <c r="A211" s="1">
        <f>ROW()</f>
        <v>211</v>
      </c>
    </row>
    <row r="212" spans="1:6" ht="12.75" thickBot="1">
      <c r="A212" s="1">
        <f>ROW()</f>
        <v>212</v>
      </c>
      <c r="C212" s="15" t="s">
        <v>37</v>
      </c>
      <c r="D212" s="16"/>
      <c r="E212" s="16"/>
      <c r="F212" s="17"/>
    </row>
    <row r="213" spans="1:6" ht="25.5" thickBot="1">
      <c r="A213" s="1">
        <f>ROW()</f>
        <v>213</v>
      </c>
      <c r="C213" s="18" t="s">
        <v>40</v>
      </c>
      <c r="D213" s="19" t="s">
        <v>41</v>
      </c>
      <c r="E213" s="19" t="s">
        <v>42</v>
      </c>
      <c r="F213" s="20" t="s">
        <v>43</v>
      </c>
    </row>
    <row r="214" spans="1:6" ht="12.75">
      <c r="A214" s="1">
        <f>ROW()</f>
        <v>214</v>
      </c>
      <c r="C214" s="21">
        <v>0</v>
      </c>
      <c r="D214" s="22"/>
      <c r="E214" s="22"/>
      <c r="F214" s="23">
        <f>-D206*10</f>
        <v>-1100</v>
      </c>
    </row>
    <row r="215" spans="1:6" ht="12.75">
      <c r="A215" s="1">
        <f>ROW()</f>
        <v>215</v>
      </c>
      <c r="C215" s="24">
        <v>1</v>
      </c>
      <c r="D215" s="25">
        <f>+$D$205/2*1000</f>
        <v>40</v>
      </c>
      <c r="E215" s="26">
        <v>0</v>
      </c>
      <c r="F215" s="27">
        <f>+E215+D215</f>
        <v>40</v>
      </c>
    </row>
    <row r="216" spans="1:6" ht="12.75">
      <c r="A216" s="1">
        <f>ROW()</f>
        <v>216</v>
      </c>
      <c r="C216" s="24">
        <f>+C215+1</f>
        <v>2</v>
      </c>
      <c r="D216" s="25">
        <f>+$D$205/2*1000</f>
        <v>40</v>
      </c>
      <c r="E216" s="26">
        <v>0</v>
      </c>
      <c r="F216" s="27">
        <f aca="true" t="shared" si="15" ref="F216:F222">+E216+D216</f>
        <v>40</v>
      </c>
    </row>
    <row r="217" spans="1:6" ht="12.75">
      <c r="A217" s="1">
        <f>ROW()</f>
        <v>217</v>
      </c>
      <c r="C217" s="24">
        <f aca="true" t="shared" si="16" ref="C217:C222">+C216+1</f>
        <v>3</v>
      </c>
      <c r="D217" s="25">
        <f>+$D$205/2*1000</f>
        <v>40</v>
      </c>
      <c r="E217" s="26">
        <v>0</v>
      </c>
      <c r="F217" s="27">
        <f t="shared" si="15"/>
        <v>40</v>
      </c>
    </row>
    <row r="218" spans="1:6" ht="12.75">
      <c r="A218" s="1">
        <f>ROW()</f>
        <v>218</v>
      </c>
      <c r="C218" s="24">
        <f t="shared" si="16"/>
        <v>4</v>
      </c>
      <c r="D218" s="25">
        <f>+$D$205/2*1000</f>
        <v>40</v>
      </c>
      <c r="E218" s="26">
        <v>0</v>
      </c>
      <c r="F218" s="27">
        <f t="shared" si="15"/>
        <v>40</v>
      </c>
    </row>
    <row r="219" spans="1:6" ht="12.75">
      <c r="A219" s="1">
        <f>ROW()</f>
        <v>219</v>
      </c>
      <c r="C219" s="24">
        <f t="shared" si="16"/>
        <v>5</v>
      </c>
      <c r="D219" s="25">
        <f>+$D$205/2*1000</f>
        <v>40</v>
      </c>
      <c r="E219" s="26">
        <v>0</v>
      </c>
      <c r="F219" s="27">
        <f t="shared" si="15"/>
        <v>40</v>
      </c>
    </row>
    <row r="220" spans="1:6" ht="12.75">
      <c r="A220" s="1">
        <f>ROW()</f>
        <v>220</v>
      </c>
      <c r="C220" s="24">
        <f t="shared" si="16"/>
        <v>6</v>
      </c>
      <c r="D220" s="25">
        <f>+$D$205/2*1000</f>
        <v>40</v>
      </c>
      <c r="E220" s="26">
        <v>0</v>
      </c>
      <c r="F220" s="27">
        <f t="shared" si="15"/>
        <v>40</v>
      </c>
    </row>
    <row r="221" spans="1:6" ht="12.75">
      <c r="A221" s="1">
        <f>ROW()</f>
        <v>221</v>
      </c>
      <c r="C221" s="24">
        <f t="shared" si="16"/>
        <v>7</v>
      </c>
      <c r="D221" s="25">
        <f>+$D$205/2*1000</f>
        <v>40</v>
      </c>
      <c r="E221" s="26">
        <v>0</v>
      </c>
      <c r="F221" s="27">
        <f t="shared" si="15"/>
        <v>40</v>
      </c>
    </row>
    <row r="222" spans="1:6" ht="12.75">
      <c r="A222" s="1">
        <f>ROW()</f>
        <v>222</v>
      </c>
      <c r="C222" s="24">
        <f t="shared" si="16"/>
        <v>8</v>
      </c>
      <c r="D222" s="25">
        <f>+$D$205/2*1000</f>
        <v>40</v>
      </c>
      <c r="E222" s="26">
        <v>0</v>
      </c>
      <c r="F222" s="27">
        <f t="shared" si="15"/>
        <v>40</v>
      </c>
    </row>
    <row r="223" spans="1:6" ht="12.75">
      <c r="A223" s="1">
        <f>ROW()</f>
        <v>223</v>
      </c>
      <c r="C223" s="24">
        <f aca="true" t="shared" si="17" ref="C223:C234">+C222+1</f>
        <v>9</v>
      </c>
      <c r="D223" s="25">
        <f>+$D$205/2*1000</f>
        <v>40</v>
      </c>
      <c r="E223" s="26">
        <v>0</v>
      </c>
      <c r="F223" s="27">
        <f aca="true" t="shared" si="18" ref="F223:F234">+E223+D223</f>
        <v>40</v>
      </c>
    </row>
    <row r="224" spans="1:6" ht="12.75">
      <c r="A224" s="1">
        <f>ROW()</f>
        <v>224</v>
      </c>
      <c r="C224" s="24">
        <f t="shared" si="17"/>
        <v>10</v>
      </c>
      <c r="D224" s="25">
        <f>+$D$205/2*1000</f>
        <v>40</v>
      </c>
      <c r="E224" s="26">
        <v>0</v>
      </c>
      <c r="F224" s="27">
        <f t="shared" si="18"/>
        <v>40</v>
      </c>
    </row>
    <row r="225" spans="1:6" ht="12.75">
      <c r="A225" s="1">
        <f>ROW()</f>
        <v>225</v>
      </c>
      <c r="C225" s="24">
        <f t="shared" si="17"/>
        <v>11</v>
      </c>
      <c r="D225" s="25">
        <f>+$D$205/2*1000</f>
        <v>40</v>
      </c>
      <c r="E225" s="26">
        <v>0</v>
      </c>
      <c r="F225" s="27">
        <f t="shared" si="18"/>
        <v>40</v>
      </c>
    </row>
    <row r="226" spans="1:6" ht="12.75">
      <c r="A226" s="1">
        <f>ROW()</f>
        <v>226</v>
      </c>
      <c r="C226" s="24">
        <f t="shared" si="17"/>
        <v>12</v>
      </c>
      <c r="D226" s="25">
        <f>+$D$205/2*1000</f>
        <v>40</v>
      </c>
      <c r="E226" s="26">
        <v>0</v>
      </c>
      <c r="F226" s="27">
        <f t="shared" si="18"/>
        <v>40</v>
      </c>
    </row>
    <row r="227" spans="1:6" ht="12.75">
      <c r="A227" s="1">
        <f>ROW()</f>
        <v>227</v>
      </c>
      <c r="C227" s="24">
        <f t="shared" si="17"/>
        <v>13</v>
      </c>
      <c r="D227" s="25">
        <f>+$D$205/2*1000</f>
        <v>40</v>
      </c>
      <c r="E227" s="26">
        <v>0</v>
      </c>
      <c r="F227" s="27">
        <f t="shared" si="18"/>
        <v>40</v>
      </c>
    </row>
    <row r="228" spans="1:6" ht="12.75">
      <c r="A228" s="1">
        <f>ROW()</f>
        <v>228</v>
      </c>
      <c r="C228" s="24">
        <f t="shared" si="17"/>
        <v>14</v>
      </c>
      <c r="D228" s="25">
        <f>+$D$205/2*1000</f>
        <v>40</v>
      </c>
      <c r="E228" s="26">
        <v>0</v>
      </c>
      <c r="F228" s="27">
        <f t="shared" si="18"/>
        <v>40</v>
      </c>
    </row>
    <row r="229" spans="1:6" ht="12.75">
      <c r="A229" s="1">
        <f>ROW()</f>
        <v>229</v>
      </c>
      <c r="C229" s="24">
        <f t="shared" si="17"/>
        <v>15</v>
      </c>
      <c r="D229" s="25">
        <f>+$D$205/2*1000</f>
        <v>40</v>
      </c>
      <c r="E229" s="26">
        <v>0</v>
      </c>
      <c r="F229" s="27">
        <f t="shared" si="18"/>
        <v>40</v>
      </c>
    </row>
    <row r="230" spans="1:6" ht="12.75">
      <c r="A230" s="1">
        <f>ROW()</f>
        <v>230</v>
      </c>
      <c r="C230" s="24">
        <f t="shared" si="17"/>
        <v>16</v>
      </c>
      <c r="D230" s="25">
        <f>+$D$205/2*1000</f>
        <v>40</v>
      </c>
      <c r="E230" s="26">
        <v>0</v>
      </c>
      <c r="F230" s="27">
        <f t="shared" si="18"/>
        <v>40</v>
      </c>
    </row>
    <row r="231" spans="1:6" ht="12.75">
      <c r="A231" s="1">
        <f>ROW()</f>
        <v>231</v>
      </c>
      <c r="C231" s="24">
        <f t="shared" si="17"/>
        <v>17</v>
      </c>
      <c r="D231" s="25">
        <f>+$D$205/2*1000</f>
        <v>40</v>
      </c>
      <c r="E231" s="26">
        <v>0</v>
      </c>
      <c r="F231" s="27">
        <f t="shared" si="18"/>
        <v>40</v>
      </c>
    </row>
    <row r="232" spans="1:6" ht="12.75">
      <c r="A232" s="1">
        <f>ROW()</f>
        <v>232</v>
      </c>
      <c r="C232" s="24">
        <f t="shared" si="17"/>
        <v>18</v>
      </c>
      <c r="D232" s="25">
        <f>+$D$205/2*1000</f>
        <v>40</v>
      </c>
      <c r="E232" s="26">
        <v>0</v>
      </c>
      <c r="F232" s="27">
        <f t="shared" si="18"/>
        <v>40</v>
      </c>
    </row>
    <row r="233" spans="1:6" ht="12.75">
      <c r="A233" s="1">
        <f>ROW()</f>
        <v>233</v>
      </c>
      <c r="C233" s="24">
        <f t="shared" si="17"/>
        <v>19</v>
      </c>
      <c r="D233" s="25">
        <f>+$D$205/2*1000</f>
        <v>40</v>
      </c>
      <c r="E233" s="26">
        <v>0</v>
      </c>
      <c r="F233" s="27">
        <f t="shared" si="18"/>
        <v>40</v>
      </c>
    </row>
    <row r="234" spans="1:6" ht="12.75" thickBot="1">
      <c r="A234" s="1">
        <f>ROW()</f>
        <v>234</v>
      </c>
      <c r="C234" s="24">
        <f t="shared" si="17"/>
        <v>20</v>
      </c>
      <c r="D234" s="25">
        <f>+$D$205/2*1000</f>
        <v>40</v>
      </c>
      <c r="E234" s="26">
        <v>1000</v>
      </c>
      <c r="F234" s="27">
        <f t="shared" si="18"/>
        <v>1040</v>
      </c>
    </row>
    <row r="235" spans="1:7" ht="12.75" thickBot="1">
      <c r="A235" s="1">
        <f>ROW()</f>
        <v>235</v>
      </c>
      <c r="C235" s="39" t="s">
        <v>46</v>
      </c>
      <c r="D235" s="40"/>
      <c r="E235" s="40"/>
      <c r="F235" s="41">
        <f>IRR(F214:F234)</f>
        <v>0.03308524273127289</v>
      </c>
      <c r="G235" s="42">
        <f>+F235*2</f>
        <v>0.06617048546254578</v>
      </c>
    </row>
  </sheetData>
  <sheetProtection/>
  <mergeCells count="4">
    <mergeCell ref="D57:E57"/>
    <mergeCell ref="D59:E59"/>
    <mergeCell ref="E9:F9"/>
    <mergeCell ref="E10:F10"/>
  </mergeCells>
  <printOptions/>
  <pageMargins left="0.75" right="0.75" top="1" bottom="1" header="0.5" footer="0.5"/>
  <pageSetup horizontalDpi="600" verticalDpi="600" orientation="portrait" scale="65" r:id="rId2"/>
  <rowBreaks count="2" manualBreakCount="2">
    <brk id="93" max="255" man="1"/>
    <brk id="133" max="25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2010-12-29T15:35:07Z</cp:lastPrinted>
  <dcterms:created xsi:type="dcterms:W3CDTF">2009-12-10T15:45:13Z</dcterms:created>
  <dcterms:modified xsi:type="dcterms:W3CDTF">2019-02-01T22:13:35Z</dcterms:modified>
  <cp:category/>
  <cp:version/>
  <cp:contentType/>
  <cp:contentStatus/>
</cp:coreProperties>
</file>