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790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'Sheet1'!$B$1:$Y$125</definedName>
  </definedNames>
  <calcPr fullCalcOnLoad="1"/>
</workbook>
</file>

<file path=xl/sharedStrings.xml><?xml version="1.0" encoding="utf-8"?>
<sst xmlns="http://schemas.openxmlformats.org/spreadsheetml/2006/main" count="187" uniqueCount="120">
  <si>
    <t>B</t>
  </si>
  <si>
    <t>C</t>
  </si>
  <si>
    <t>D</t>
  </si>
  <si>
    <t>E</t>
  </si>
  <si>
    <t>F</t>
  </si>
  <si>
    <t>G</t>
  </si>
  <si>
    <t>H</t>
  </si>
  <si>
    <t>K</t>
  </si>
  <si>
    <t>N</t>
  </si>
  <si>
    <t>O</t>
  </si>
  <si>
    <t>P</t>
  </si>
  <si>
    <t>BOND PRICING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</si>
  <si>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</si>
  <si>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</si>
  <si>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</si>
  <si>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</si>
  <si>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</si>
  <si>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</si>
  <si>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</si>
  <si>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</si>
  <si>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</si>
  <si>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</si>
  <si>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</si>
  <si>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</si>
  <si>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</si>
  <si>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</si>
  <si>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</si>
  <si>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</si>
  <si>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</si>
  <si>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</si>
  <si>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</si>
  <si>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</si>
  <si>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</si>
  <si>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</si>
  <si>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</si>
  <si>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</si>
  <si>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</si>
  <si>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</si>
  <si>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</si>
  <si>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</si>
  <si>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</si>
  <si>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</si>
  <si>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</si>
  <si>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</si>
  <si>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</si>
  <si>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</si>
  <si>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</si>
  <si>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</si>
  <si>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</si>
  <si>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Q</t>
  </si>
  <si>
    <t>YIELD TO MATURITY</t>
  </si>
  <si>
    <t>YTC</t>
  </si>
  <si>
    <t>YTM</t>
  </si>
  <si>
    <t>Maturity Date / Call Date=</t>
  </si>
  <si>
    <t>Bond Pricing=</t>
  </si>
  <si>
    <t>Redemption Value=</t>
  </si>
  <si>
    <t>Coupon Pmt =</t>
  </si>
  <si>
    <t>Coupon pmts per yr=</t>
  </si>
  <si>
    <t>Number of semiannual</t>
  </si>
  <si>
    <t>periods</t>
  </si>
  <si>
    <t>Call Provision</t>
  </si>
  <si>
    <t>=YIELD(D84,D85,D86,D87,D88,D89)</t>
  </si>
  <si>
    <t>Final Payment</t>
  </si>
  <si>
    <t>Price</t>
  </si>
  <si>
    <t>Int.Rate =</t>
  </si>
  <si>
    <t>Time  until</t>
  </si>
  <si>
    <t>%</t>
  </si>
  <si>
    <t>Duration</t>
  </si>
  <si>
    <t>Payments</t>
  </si>
  <si>
    <t>Weight</t>
  </si>
  <si>
    <t>R</t>
  </si>
  <si>
    <t>Sensitivity to interest rate movements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</si>
  <si>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</si>
  <si>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</si>
  <si>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</si>
  <si>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</si>
  <si>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</si>
  <si>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</si>
  <si>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</si>
  <si>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</si>
  <si>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</si>
  <si>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</si>
  <si>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</si>
  <si>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</si>
  <si>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</si>
  <si>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</si>
  <si>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</si>
  <si>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</si>
  <si>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</si>
  <si>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S</t>
  </si>
  <si>
    <t>T</t>
  </si>
  <si>
    <t>Coup. Rate=</t>
  </si>
  <si>
    <t>t + t^2</t>
  </si>
  <si>
    <t>PV of CF</t>
  </si>
  <si>
    <t>CF</t>
  </si>
  <si>
    <t>Convexity =</t>
  </si>
  <si>
    <t>Duration=</t>
  </si>
  <si>
    <t>Price=</t>
  </si>
  <si>
    <t>PRICE, ANNUAL DURATION AND CONVEXITY</t>
  </si>
  <si>
    <t>YTM=</t>
  </si>
  <si>
    <t>YTC=</t>
  </si>
  <si>
    <t>YTW=</t>
  </si>
  <si>
    <t>VALUING BONDS - MARKET PRICE/INVOICE PRICE</t>
  </si>
  <si>
    <t xml:space="preserve">Market Price = </t>
  </si>
  <si>
    <t>I</t>
  </si>
  <si>
    <t>J</t>
  </si>
  <si>
    <t>Face Value =</t>
  </si>
  <si>
    <t>Frequency =</t>
  </si>
  <si>
    <t>(t+t^2) x PV(CF)</t>
  </si>
  <si>
    <t>BOND VALUATION &amp; ANALYSIS</t>
  </si>
  <si>
    <t>Years=</t>
  </si>
  <si>
    <t xml:space="preserve">SEMI-ANNUAL </t>
  </si>
  <si>
    <t>U</t>
  </si>
  <si>
    <t>MACAULAY DURATION AND CONVEXITY</t>
  </si>
  <si>
    <t>CALCULATING THE PRICE</t>
  </si>
  <si>
    <t>CALCULATING THE YTM</t>
  </si>
  <si>
    <t>Current Yield =</t>
  </si>
  <si>
    <t>Yield to Maturity (YTM) =</t>
  </si>
  <si>
    <t>Current Yield (CY) =</t>
  </si>
  <si>
    <t>YIELD TO CALL , YIELD TO MATURITY, YIELD TO WORSE and CURRENT YIELD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</si>
</sst>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  <numFmt numFmtId="175" formatCode="0.0"/>
    <numFmt numFmtId="176" formatCode="_(* #,##0.000_);_(* \(#,##0.000\);_(* &quot;-&quot;??_);_(@_)"/>
    <numFmt numFmtId="177" formatCode="_(* #,##0.0_);_(* \(#,##0.0\);_(* &quot;-&quot;??_);_(@_)"/>
  </numFmts>
  <fonts count="5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4" fontId="0" fillId="0" borderId="0" xfId="44" applyFont="1" applyAlignment="1">
      <alignment/>
    </xf>
    <xf numFmtId="10" fontId="0" fillId="0" borderId="0" xfId="60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60" applyNumberFormat="1" applyFont="1" applyAlignment="1">
      <alignment/>
    </xf>
    <xf numFmtId="8" fontId="0" fillId="0" borderId="0" xfId="0" applyNumberFormat="1" applyAlignment="1" quotePrefix="1">
      <alignment/>
    </xf>
    <xf numFmtId="8" fontId="1" fillId="0" borderId="0" xfId="0" applyNumberFormat="1" applyFont="1" applyAlignment="1" quotePrefix="1">
      <alignment/>
    </xf>
    <xf numFmtId="8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 quotePrefix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4" fontId="2" fillId="0" borderId="20" xfId="44" applyFont="1" applyBorder="1" applyAlignment="1">
      <alignment/>
    </xf>
    <xf numFmtId="0" fontId="0" fillId="0" borderId="21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22" xfId="0" applyNumberFormat="1" applyBorder="1" applyAlignment="1">
      <alignment/>
    </xf>
    <xf numFmtId="14" fontId="0" fillId="0" borderId="0" xfId="0" applyNumberFormat="1" applyFont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0" fontId="2" fillId="34" borderId="14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0" fillId="0" borderId="0" xfId="44" applyFont="1" applyAlignment="1">
      <alignment horizontal="center"/>
    </xf>
    <xf numFmtId="43" fontId="0" fillId="0" borderId="0" xfId="42" applyFont="1" applyAlignment="1">
      <alignment/>
    </xf>
    <xf numFmtId="164" fontId="0" fillId="0" borderId="0" xfId="60" applyNumberFormat="1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23" xfId="60" applyNumberFormat="1" applyFont="1" applyBorder="1" applyAlignment="1">
      <alignment/>
    </xf>
    <xf numFmtId="164" fontId="0" fillId="0" borderId="14" xfId="60" applyNumberFormat="1" applyFont="1" applyBorder="1" applyAlignment="1">
      <alignment/>
    </xf>
    <xf numFmtId="0" fontId="4" fillId="0" borderId="0" xfId="0" applyFont="1" applyAlignment="1">
      <alignment/>
    </xf>
    <xf numFmtId="8" fontId="5" fillId="0" borderId="0" xfId="57" applyNumberFormat="1" applyFont="1" applyAlignment="1" quotePrefix="1">
      <alignment/>
      <protection/>
    </xf>
    <xf numFmtId="0" fontId="6" fillId="0" borderId="0" xfId="57">
      <alignment/>
      <protection/>
    </xf>
    <xf numFmtId="8" fontId="6" fillId="0" borderId="0" xfId="57" applyNumberFormat="1" applyFont="1" quotePrefix="1">
      <alignment/>
      <protection/>
    </xf>
    <xf numFmtId="0" fontId="7" fillId="0" borderId="11" xfId="57" applyFont="1" applyBorder="1">
      <alignment/>
      <protection/>
    </xf>
    <xf numFmtId="10" fontId="8" fillId="0" borderId="11" xfId="57" applyNumberFormat="1" applyFont="1" applyBorder="1" applyProtection="1">
      <alignment/>
      <protection locked="0"/>
    </xf>
    <xf numFmtId="168" fontId="8" fillId="0" borderId="0" xfId="42" applyNumberFormat="1" applyFont="1" applyAlignment="1" applyProtection="1">
      <alignment/>
      <protection locked="0"/>
    </xf>
    <xf numFmtId="0" fontId="9" fillId="0" borderId="0" xfId="57" applyFont="1" applyAlignment="1" applyProtection="1">
      <alignment/>
      <protection locked="0"/>
    </xf>
    <xf numFmtId="4" fontId="6" fillId="0" borderId="0" xfId="42" applyNumberFormat="1" applyFont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8" fillId="0" borderId="0" xfId="57" applyNumberFormat="1" applyFont="1" applyProtection="1">
      <alignment/>
      <protection locked="0"/>
    </xf>
    <xf numFmtId="9" fontId="9" fillId="0" borderId="0" xfId="57" applyNumberFormat="1" applyFont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57" applyFont="1" applyProtection="1">
      <alignment/>
      <protection locked="0"/>
    </xf>
    <xf numFmtId="4" fontId="6" fillId="0" borderId="11" xfId="42" applyNumberFormat="1" applyFont="1" applyBorder="1" applyAlignment="1" quotePrefix="1">
      <alignment/>
    </xf>
    <xf numFmtId="4" fontId="5" fillId="0" borderId="11" xfId="42" applyNumberFormat="1" applyFont="1" applyBorder="1" applyAlignment="1" quotePrefix="1">
      <alignment/>
    </xf>
    <xf numFmtId="4" fontId="6" fillId="0" borderId="0" xfId="57" applyNumberFormat="1" applyFont="1" quotePrefix="1">
      <alignment/>
      <protection/>
    </xf>
    <xf numFmtId="4" fontId="5" fillId="0" borderId="0" xfId="57" applyNumberFormat="1" applyFont="1" quotePrefix="1">
      <alignment/>
      <protection/>
    </xf>
    <xf numFmtId="0" fontId="5" fillId="0" borderId="0" xfId="57" applyFont="1" applyAlignment="1">
      <alignment/>
      <protection/>
    </xf>
    <xf numFmtId="43" fontId="6" fillId="0" borderId="0" xfId="42" applyFont="1" applyAlignment="1" quotePrefix="1">
      <alignment/>
    </xf>
    <xf numFmtId="8" fontId="6" fillId="0" borderId="11" xfId="57" applyNumberFormat="1" applyFont="1" applyBorder="1" quotePrefix="1">
      <alignment/>
      <protection/>
    </xf>
    <xf numFmtId="8" fontId="10" fillId="35" borderId="0" xfId="0" applyNumberFormat="1" applyFont="1" applyFill="1" applyAlignment="1" quotePrefix="1">
      <alignment/>
    </xf>
    <xf numFmtId="165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164" fontId="10" fillId="0" borderId="0" xfId="60" applyNumberFormat="1" applyFont="1" applyAlignment="1" quotePrefix="1">
      <alignment/>
    </xf>
    <xf numFmtId="0" fontId="6" fillId="0" borderId="0" xfId="57" applyFont="1">
      <alignment/>
      <protection/>
    </xf>
    <xf numFmtId="0" fontId="0" fillId="0" borderId="0" xfId="0" applyFont="1" applyAlignment="1">
      <alignment/>
    </xf>
    <xf numFmtId="8" fontId="5" fillId="0" borderId="0" xfId="57" applyNumberFormat="1" applyFont="1" quotePrefix="1">
      <alignment/>
      <protection/>
    </xf>
    <xf numFmtId="8" fontId="5" fillId="0" borderId="11" xfId="57" applyNumberFormat="1" applyFont="1" applyBorder="1" quotePrefix="1">
      <alignment/>
      <protection/>
    </xf>
    <xf numFmtId="4" fontId="13" fillId="0" borderId="0" xfId="42" applyNumberFormat="1" applyFont="1" applyAlignment="1" quotePrefix="1">
      <alignment/>
    </xf>
    <xf numFmtId="10" fontId="6" fillId="0" borderId="0" xfId="60" applyNumberFormat="1" applyFont="1" applyAlignment="1" quotePrefix="1">
      <alignment/>
    </xf>
    <xf numFmtId="168" fontId="5" fillId="0" borderId="0" xfId="42" applyNumberFormat="1" applyFont="1" applyAlignment="1" applyProtection="1">
      <alignment/>
      <protection locked="0"/>
    </xf>
    <xf numFmtId="8" fontId="5" fillId="0" borderId="0" xfId="42" applyNumberFormat="1" applyFont="1" applyAlignment="1" applyProtection="1">
      <alignment/>
      <protection locked="0"/>
    </xf>
    <xf numFmtId="167" fontId="2" fillId="36" borderId="23" xfId="0" applyNumberFormat="1" applyFont="1" applyFill="1" applyBorder="1" applyAlignment="1">
      <alignment/>
    </xf>
    <xf numFmtId="165" fontId="2" fillId="36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27" xfId="0" applyNumberForma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5" fontId="2" fillId="36" borderId="23" xfId="0" applyNumberFormat="1" applyFont="1" applyFill="1" applyBorder="1" applyAlignment="1">
      <alignment horizontal="center"/>
    </xf>
    <xf numFmtId="0" fontId="2" fillId="34" borderId="16" xfId="0" applyFont="1" applyFill="1" applyBorder="1" applyAlignment="1" quotePrefix="1">
      <alignment horizontal="center"/>
    </xf>
    <xf numFmtId="166" fontId="2" fillId="36" borderId="10" xfId="60" applyNumberFormat="1" applyFont="1" applyFill="1" applyBorder="1" applyAlignment="1">
      <alignment/>
    </xf>
    <xf numFmtId="166" fontId="2" fillId="36" borderId="10" xfId="60" applyNumberFormat="1" applyFont="1" applyFill="1" applyBorder="1" applyAlignment="1" quotePrefix="1">
      <alignment/>
    </xf>
    <xf numFmtId="166" fontId="2" fillId="36" borderId="23" xfId="0" applyNumberFormat="1" applyFont="1" applyFill="1" applyBorder="1" applyAlignment="1">
      <alignment/>
    </xf>
    <xf numFmtId="165" fontId="2" fillId="36" borderId="23" xfId="0" applyNumberFormat="1" applyFont="1" applyFill="1" applyBorder="1" applyAlignment="1" quotePrefix="1">
      <alignment/>
    </xf>
    <xf numFmtId="1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76" fontId="2" fillId="0" borderId="0" xfId="42" applyNumberFormat="1" applyFont="1" applyAlignment="1">
      <alignment/>
    </xf>
    <xf numFmtId="0" fontId="14" fillId="0" borderId="0" xfId="0" applyFont="1" applyAlignment="1">
      <alignment/>
    </xf>
    <xf numFmtId="0" fontId="53" fillId="37" borderId="0" xfId="0" applyFont="1" applyFill="1" applyAlignment="1">
      <alignment/>
    </xf>
    <xf numFmtId="0" fontId="54" fillId="37" borderId="0" xfId="0" applyFont="1" applyFill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6" borderId="12" xfId="57" applyFont="1" applyFill="1" applyBorder="1">
      <alignment/>
      <protection/>
    </xf>
    <xf numFmtId="0" fontId="2" fillId="36" borderId="13" xfId="0" applyFont="1" applyFill="1" applyBorder="1" applyAlignment="1">
      <alignment/>
    </xf>
    <xf numFmtId="43" fontId="7" fillId="36" borderId="14" xfId="42" applyFont="1" applyFill="1" applyBorder="1" applyAlignment="1" quotePrefix="1">
      <alignment/>
    </xf>
    <xf numFmtId="8" fontId="7" fillId="36" borderId="14" xfId="57" applyNumberFormat="1" applyFont="1" applyFill="1" applyBorder="1" quotePrefix="1">
      <alignment/>
      <protection/>
    </xf>
    <xf numFmtId="164" fontId="2" fillId="34" borderId="23" xfId="60" applyNumberFormat="1" applyFont="1" applyFill="1" applyBorder="1" applyAlignment="1" quotePrefix="1">
      <alignment/>
    </xf>
    <xf numFmtId="168" fontId="0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36" borderId="2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15</xdr:row>
      <xdr:rowOff>85725</xdr:rowOff>
    </xdr:from>
    <xdr:to>
      <xdr:col>13</xdr:col>
      <xdr:colOff>561975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182225" y="2714625"/>
          <a:ext cx="190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342900</xdr:colOff>
      <xdr:row>44</xdr:row>
      <xdr:rowOff>152400</xdr:rowOff>
    </xdr:from>
    <xdr:to>
      <xdr:col>10</xdr:col>
      <xdr:colOff>390525</xdr:colOff>
      <xdr:row>52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7877175"/>
          <a:ext cx="2543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36</xdr:row>
      <xdr:rowOff>0</xdr:rowOff>
    </xdr:from>
    <xdr:to>
      <xdr:col>5</xdr:col>
      <xdr:colOff>266700</xdr:colOff>
      <xdr:row>37</xdr:row>
      <xdr:rowOff>133350</xdr:rowOff>
    </xdr:to>
    <xdr:sp>
      <xdr:nvSpPr>
        <xdr:cNvPr id="3" name="Straight Arrow Connector 16"/>
        <xdr:cNvSpPr>
          <a:spLocks/>
        </xdr:cNvSpPr>
      </xdr:nvSpPr>
      <xdr:spPr>
        <a:xfrm flipH="1">
          <a:off x="3371850" y="6315075"/>
          <a:ext cx="45720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5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4.28125" style="0" customWidth="1"/>
    <col min="2" max="2" width="18.28125" style="0" customWidth="1"/>
    <col min="3" max="5" width="10.28125" style="0" bestFit="1" customWidth="1"/>
    <col min="6" max="6" width="13.8515625" style="0" customWidth="1"/>
    <col min="7" max="7" width="10.7109375" style="0" customWidth="1"/>
    <col min="8" max="8" width="11.28125" style="0" bestFit="1" customWidth="1"/>
    <col min="9" max="9" width="11.7109375" style="0" customWidth="1"/>
    <col min="10" max="10" width="14.421875" style="0" customWidth="1"/>
    <col min="11" max="12" width="12.140625" style="0" customWidth="1"/>
    <col min="13" max="13" width="4.8515625" style="0" customWidth="1"/>
    <col min="14" max="14" width="11.28125" style="0" customWidth="1"/>
    <col min="15" max="15" width="12.00390625" style="0" customWidth="1"/>
    <col min="16" max="16" width="12.28125" style="0" customWidth="1"/>
    <col min="17" max="17" width="11.00390625" style="0" customWidth="1"/>
    <col min="18" max="18" width="10.8515625" style="0" customWidth="1"/>
    <col min="19" max="19" width="12.00390625" style="0" customWidth="1"/>
    <col min="20" max="20" width="14.8515625" style="0" customWidth="1"/>
    <col min="21" max="21" width="13.7109375" style="0" customWidth="1"/>
    <col min="22" max="22" width="13.8515625" style="0" customWidth="1"/>
    <col min="26" max="26" width="12.57421875" style="0" customWidth="1"/>
    <col min="27" max="27" width="13.140625" style="0" customWidth="1"/>
  </cols>
  <sheetData>
    <row r="1" ht="24" customHeight="1">
      <c r="A1" s="109" t="s">
        <v>109</v>
      </c>
    </row>
    <row r="2" ht="9.75" customHeight="1"/>
    <row r="3" spans="1:20" ht="12.75">
      <c r="A3" s="1">
        <f>ROW()</f>
        <v>3</v>
      </c>
      <c r="B3" s="99" t="s">
        <v>0</v>
      </c>
      <c r="C3" s="99" t="s">
        <v>1</v>
      </c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104</v>
      </c>
      <c r="J3" s="99" t="s">
        <v>105</v>
      </c>
      <c r="K3" s="99" t="s">
        <v>7</v>
      </c>
      <c r="M3" s="1">
        <f>ROW()</f>
        <v>3</v>
      </c>
      <c r="N3" s="99" t="s">
        <v>8</v>
      </c>
      <c r="O3" s="99" t="s">
        <v>9</v>
      </c>
      <c r="P3" s="99" t="s">
        <v>10</v>
      </c>
      <c r="Q3" s="99" t="s">
        <v>49</v>
      </c>
      <c r="R3" s="99" t="s">
        <v>70</v>
      </c>
      <c r="S3" s="99" t="s">
        <v>89</v>
      </c>
      <c r="T3" s="99" t="s">
        <v>90</v>
      </c>
    </row>
    <row r="4" spans="1:20" ht="18">
      <c r="A4" s="1">
        <f>ROW()</f>
        <v>4</v>
      </c>
      <c r="B4" s="110" t="s">
        <v>102</v>
      </c>
      <c r="C4" s="111"/>
      <c r="D4" s="111"/>
      <c r="E4" s="111"/>
      <c r="F4" s="111"/>
      <c r="G4" s="111"/>
      <c r="H4" s="111"/>
      <c r="I4" s="111"/>
      <c r="J4" s="111"/>
      <c r="K4" s="111"/>
      <c r="M4" s="1">
        <f>ROW()</f>
        <v>4</v>
      </c>
      <c r="N4" s="110" t="s">
        <v>11</v>
      </c>
      <c r="O4" s="111"/>
      <c r="P4" s="111"/>
      <c r="Q4" s="111"/>
      <c r="R4" s="111"/>
      <c r="S4" s="111"/>
      <c r="T4" s="111"/>
    </row>
    <row r="5" spans="1:13" ht="12.75">
      <c r="A5" s="1"/>
      <c r="M5" s="1"/>
    </row>
    <row r="6" spans="1:13" ht="12.75">
      <c r="A6" s="1"/>
      <c r="B6" s="127" t="s">
        <v>114</v>
      </c>
      <c r="F6" s="127" t="s">
        <v>115</v>
      </c>
      <c r="M6" s="1"/>
    </row>
    <row r="7" spans="1:19" ht="12.75">
      <c r="A7" s="1">
        <f>ROW()</f>
        <v>7</v>
      </c>
      <c r="B7" t="s">
        <v>14</v>
      </c>
      <c r="D7" s="4">
        <f>DATE(2015,3,15)</f>
        <v>42078</v>
      </c>
      <c r="F7" t="s">
        <v>14</v>
      </c>
      <c r="H7" s="106">
        <f>+D7</f>
        <v>42078</v>
      </c>
      <c r="M7" s="1">
        <f>ROW()</f>
        <v>7</v>
      </c>
      <c r="N7" t="s">
        <v>12</v>
      </c>
      <c r="O7" s="2">
        <v>1000</v>
      </c>
      <c r="Q7" t="s">
        <v>13</v>
      </c>
      <c r="S7" s="3">
        <f>+O8/2</f>
        <v>0.04</v>
      </c>
    </row>
    <row r="8" spans="1:20" ht="12.75">
      <c r="A8" s="1">
        <f>ROW()</f>
        <v>8</v>
      </c>
      <c r="B8" t="s">
        <v>18</v>
      </c>
      <c r="D8" s="4">
        <f>DATE(2025,1,15)</f>
        <v>45672</v>
      </c>
      <c r="F8" t="s">
        <v>18</v>
      </c>
      <c r="H8" s="28">
        <f>+D8</f>
        <v>45672</v>
      </c>
      <c r="M8" s="1">
        <f>ROW()</f>
        <v>8</v>
      </c>
      <c r="N8" t="s">
        <v>15</v>
      </c>
      <c r="O8" s="5">
        <v>0.08</v>
      </c>
      <c r="Q8" t="s">
        <v>16</v>
      </c>
      <c r="S8" s="6">
        <f>+O8*$O$7/2</f>
        <v>40</v>
      </c>
      <c r="T8" t="s">
        <v>17</v>
      </c>
    </row>
    <row r="9" spans="1:20" ht="12.75">
      <c r="A9" s="1">
        <f>ROW()</f>
        <v>9</v>
      </c>
      <c r="B9" t="s">
        <v>23</v>
      </c>
      <c r="D9" s="7">
        <v>0.0425</v>
      </c>
      <c r="F9" t="s">
        <v>23</v>
      </c>
      <c r="H9" s="7">
        <f>+D9</f>
        <v>0.0425</v>
      </c>
      <c r="M9" s="1">
        <f>ROW()</f>
        <v>9</v>
      </c>
      <c r="N9" t="s">
        <v>19</v>
      </c>
      <c r="O9">
        <v>20</v>
      </c>
      <c r="P9" t="s">
        <v>20</v>
      </c>
      <c r="Q9" t="s">
        <v>21</v>
      </c>
      <c r="S9">
        <f>+O9*2</f>
        <v>40</v>
      </c>
      <c r="T9" t="s">
        <v>22</v>
      </c>
    </row>
    <row r="10" spans="1:13" ht="12.75">
      <c r="A10" s="1">
        <f>ROW()</f>
        <v>10</v>
      </c>
      <c r="B10" s="33" t="s">
        <v>24</v>
      </c>
      <c r="C10" s="33"/>
      <c r="D10" s="107">
        <v>0.0474</v>
      </c>
      <c r="F10" s="33" t="s">
        <v>103</v>
      </c>
      <c r="G10" s="33"/>
      <c r="H10" s="108">
        <f>+D14</f>
        <v>96.17853020101003</v>
      </c>
      <c r="M10" s="1">
        <f>ROW()</f>
        <v>10</v>
      </c>
    </row>
    <row r="11" spans="1:18" ht="12.75">
      <c r="A11" s="1">
        <f>ROW()</f>
        <v>11</v>
      </c>
      <c r="B11" t="s">
        <v>27</v>
      </c>
      <c r="D11">
        <v>100</v>
      </c>
      <c r="F11" t="s">
        <v>27</v>
      </c>
      <c r="H11">
        <v>100</v>
      </c>
      <c r="M11" s="1">
        <f>ROW()</f>
        <v>11</v>
      </c>
      <c r="N11" t="s">
        <v>25</v>
      </c>
      <c r="Q11" s="8">
        <f>PV(O8/2,S9,-S8)</f>
        <v>791.710955337059</v>
      </c>
      <c r="R11" s="70" t="s">
        <v>26</v>
      </c>
    </row>
    <row r="12" spans="1:18" ht="12.75">
      <c r="A12" s="1">
        <f>ROW()</f>
        <v>12</v>
      </c>
      <c r="B12" t="s">
        <v>30</v>
      </c>
      <c r="D12">
        <v>2</v>
      </c>
      <c r="F12" t="s">
        <v>30</v>
      </c>
      <c r="H12">
        <v>2</v>
      </c>
      <c r="M12" s="1">
        <f>ROW()</f>
        <v>12</v>
      </c>
      <c r="N12" t="s">
        <v>28</v>
      </c>
      <c r="Q12" s="8">
        <f>PV(O8/2,S9,0,-O7,0)</f>
        <v>208.28904466294102</v>
      </c>
      <c r="R12" s="70" t="s">
        <v>29</v>
      </c>
    </row>
    <row r="13" spans="1:18" ht="13.5" thickBot="1">
      <c r="A13" s="1">
        <f>ROW()</f>
        <v>13</v>
      </c>
      <c r="M13" s="1">
        <f>ROW()</f>
        <v>13</v>
      </c>
      <c r="N13" t="s">
        <v>31</v>
      </c>
      <c r="Q13" s="10">
        <f>SUM(Q11:Q12)</f>
        <v>1000</v>
      </c>
      <c r="R13" s="8"/>
    </row>
    <row r="14" spans="1:13" ht="14.25" thickBot="1" thickTop="1">
      <c r="A14" s="1">
        <f>ROW()</f>
        <v>14</v>
      </c>
      <c r="B14" s="126" t="s">
        <v>32</v>
      </c>
      <c r="C14" s="33"/>
      <c r="D14" s="105">
        <f>PRICE(D7,D8,D9,D10,D11,D12)</f>
        <v>96.17853020101003</v>
      </c>
      <c r="E14" s="71" t="s">
        <v>33</v>
      </c>
      <c r="F14" s="126" t="s">
        <v>117</v>
      </c>
      <c r="H14" s="120">
        <f>YIELD(H7,H8,H9,H10,H11,H12,)</f>
        <v>0.04739999999999842</v>
      </c>
      <c r="M14" s="1">
        <f>ROW()</f>
        <v>14</v>
      </c>
    </row>
    <row r="15" spans="1:18" ht="12.75">
      <c r="A15" s="1">
        <f>ROW()</f>
        <v>15</v>
      </c>
      <c r="B15" t="s">
        <v>35</v>
      </c>
      <c r="D15" s="13">
        <f>COUPDAYBS(D7,D8,2,1)</f>
        <v>59</v>
      </c>
      <c r="E15" s="72" t="s">
        <v>36</v>
      </c>
      <c r="M15" s="1">
        <f>ROW()</f>
        <v>15</v>
      </c>
      <c r="N15" t="s">
        <v>34</v>
      </c>
      <c r="O15" s="11"/>
      <c r="P15" s="12">
        <f>NPV($O$8/2,P20:P59)</f>
        <v>999.9999999999991</v>
      </c>
      <c r="Q15" s="12">
        <f>NPV($O$8/2,Q20:Q59)</f>
        <v>0</v>
      </c>
      <c r="R15" s="12">
        <f>NPV($O$8/2,R20:R59)</f>
        <v>999.9999999999991</v>
      </c>
    </row>
    <row r="16" spans="1:18" ht="13.5" thickBot="1">
      <c r="A16" s="1">
        <f>ROW()</f>
        <v>16</v>
      </c>
      <c r="B16" t="s">
        <v>37</v>
      </c>
      <c r="D16" s="13">
        <f>COUPDAYS(D7,D8,2,1)</f>
        <v>181</v>
      </c>
      <c r="E16" s="72" t="s">
        <v>38</v>
      </c>
      <c r="M16" s="1">
        <f>ROW()</f>
        <v>16</v>
      </c>
      <c r="P16" s="9"/>
      <c r="Q16" s="14"/>
      <c r="R16" s="14"/>
    </row>
    <row r="17" spans="1:18" ht="13.5" thickBot="1">
      <c r="A17" s="1">
        <f>ROW()</f>
        <v>17</v>
      </c>
      <c r="B17" t="s">
        <v>40</v>
      </c>
      <c r="D17" s="13">
        <f>(D15/D16)*D9*100/2</f>
        <v>0.6926795580110497</v>
      </c>
      <c r="E17" s="72" t="s">
        <v>41</v>
      </c>
      <c r="M17" s="1">
        <f>ROW()</f>
        <v>17</v>
      </c>
      <c r="O17" s="15" t="s">
        <v>39</v>
      </c>
      <c r="P17" s="16"/>
      <c r="Q17" s="16"/>
      <c r="R17" s="17"/>
    </row>
    <row r="18" spans="1:18" ht="26.25" thickBot="1">
      <c r="A18" s="1">
        <f>ROW()</f>
        <v>18</v>
      </c>
      <c r="B18" s="33" t="s">
        <v>46</v>
      </c>
      <c r="C18" s="33"/>
      <c r="D18" s="105">
        <f>+D14+D17</f>
        <v>96.87120975902108</v>
      </c>
      <c r="E18" s="71" t="s">
        <v>47</v>
      </c>
      <c r="M18" s="1">
        <f>ROW()</f>
        <v>18</v>
      </c>
      <c r="O18" s="18" t="s">
        <v>42</v>
      </c>
      <c r="P18" s="19" t="s">
        <v>43</v>
      </c>
      <c r="Q18" s="19" t="s">
        <v>44</v>
      </c>
      <c r="R18" s="20" t="s">
        <v>45</v>
      </c>
    </row>
    <row r="19" spans="1:18" ht="12.75">
      <c r="A19" s="1">
        <f>ROW()</f>
        <v>19</v>
      </c>
      <c r="M19" s="1">
        <f>ROW()</f>
        <v>19</v>
      </c>
      <c r="O19" s="21">
        <v>0</v>
      </c>
      <c r="P19" s="22"/>
      <c r="Q19" s="22"/>
      <c r="R19" s="23">
        <f>-O7</f>
        <v>-1000</v>
      </c>
    </row>
    <row r="20" spans="1:18" ht="13.5" thickBot="1">
      <c r="A20" s="1">
        <f>ROW()</f>
        <v>20</v>
      </c>
      <c r="M20" s="1">
        <f>ROW()</f>
        <v>20</v>
      </c>
      <c r="O20" s="24">
        <v>1</v>
      </c>
      <c r="P20" s="25">
        <f aca="true" t="shared" si="0" ref="P20:P58">+$S$8</f>
        <v>40</v>
      </c>
      <c r="Q20" s="26">
        <v>0</v>
      </c>
      <c r="R20" s="27">
        <f aca="true" t="shared" si="1" ref="R20:R59">+Q20+P20</f>
        <v>40</v>
      </c>
    </row>
    <row r="21" spans="1:18" ht="13.5" thickBot="1">
      <c r="A21" s="1">
        <f>ROW()</f>
        <v>21</v>
      </c>
      <c r="B21" s="126" t="s">
        <v>116</v>
      </c>
      <c r="D21" s="120">
        <f>+(D9*1000)/(D14*10)</f>
        <v>0.04418865614932602</v>
      </c>
      <c r="M21" s="1">
        <f>ROW()</f>
        <v>21</v>
      </c>
      <c r="O21" s="24">
        <f aca="true" t="shared" si="2" ref="O21:O59">+O20+1</f>
        <v>2</v>
      </c>
      <c r="P21" s="25">
        <f t="shared" si="0"/>
        <v>40</v>
      </c>
      <c r="Q21" s="26">
        <v>0</v>
      </c>
      <c r="R21" s="27">
        <f t="shared" si="1"/>
        <v>40</v>
      </c>
    </row>
    <row r="22" spans="1:18" ht="12.75">
      <c r="A22" s="1">
        <f>ROW()</f>
        <v>22</v>
      </c>
      <c r="M22" s="1">
        <f>ROW()</f>
        <v>22</v>
      </c>
      <c r="O22" s="24">
        <f t="shared" si="2"/>
        <v>3</v>
      </c>
      <c r="P22" s="25">
        <f t="shared" si="0"/>
        <v>40</v>
      </c>
      <c r="Q22" s="26">
        <v>0</v>
      </c>
      <c r="R22" s="27">
        <f t="shared" si="1"/>
        <v>40</v>
      </c>
    </row>
    <row r="23" spans="1:18" ht="12.75">
      <c r="A23" s="1">
        <f>ROW()</f>
        <v>23</v>
      </c>
      <c r="B23" s="99" t="s">
        <v>0</v>
      </c>
      <c r="C23" s="99" t="s">
        <v>1</v>
      </c>
      <c r="D23" s="99" t="s">
        <v>2</v>
      </c>
      <c r="E23" s="99" t="s">
        <v>3</v>
      </c>
      <c r="F23" s="99" t="s">
        <v>4</v>
      </c>
      <c r="G23" s="99" t="s">
        <v>5</v>
      </c>
      <c r="H23" s="99" t="s">
        <v>6</v>
      </c>
      <c r="I23" s="99" t="s">
        <v>104</v>
      </c>
      <c r="J23" s="99" t="s">
        <v>105</v>
      </c>
      <c r="K23" s="99" t="s">
        <v>7</v>
      </c>
      <c r="M23" s="1">
        <f>ROW()</f>
        <v>23</v>
      </c>
      <c r="O23" s="24">
        <f t="shared" si="2"/>
        <v>4</v>
      </c>
      <c r="P23" s="25">
        <f t="shared" si="0"/>
        <v>40</v>
      </c>
      <c r="Q23" s="26">
        <v>0</v>
      </c>
      <c r="R23" s="27">
        <f t="shared" si="1"/>
        <v>40</v>
      </c>
    </row>
    <row r="24" spans="1:18" ht="18">
      <c r="A24" s="1">
        <f>ROW()</f>
        <v>24</v>
      </c>
      <c r="B24" s="110" t="s">
        <v>119</v>
      </c>
      <c r="C24" s="111"/>
      <c r="D24" s="111"/>
      <c r="E24" s="111"/>
      <c r="F24" s="111"/>
      <c r="G24" s="111"/>
      <c r="H24" s="111"/>
      <c r="I24" s="111"/>
      <c r="J24" s="111"/>
      <c r="K24" s="111"/>
      <c r="M24" s="1">
        <f>ROW()</f>
        <v>24</v>
      </c>
      <c r="O24" s="24">
        <f t="shared" si="2"/>
        <v>5</v>
      </c>
      <c r="P24" s="25">
        <f t="shared" si="0"/>
        <v>40</v>
      </c>
      <c r="Q24" s="26">
        <v>0</v>
      </c>
      <c r="R24" s="27">
        <f t="shared" si="1"/>
        <v>40</v>
      </c>
    </row>
    <row r="25" spans="1:18" ht="12.75">
      <c r="A25" s="1">
        <f>ROW()</f>
        <v>25</v>
      </c>
      <c r="M25" s="1">
        <f>ROW()</f>
        <v>25</v>
      </c>
      <c r="O25" s="24">
        <f t="shared" si="2"/>
        <v>6</v>
      </c>
      <c r="P25" s="25">
        <f t="shared" si="0"/>
        <v>40</v>
      </c>
      <c r="Q25" s="26">
        <v>0</v>
      </c>
      <c r="R25" s="27">
        <f t="shared" si="1"/>
        <v>40</v>
      </c>
    </row>
    <row r="26" spans="1:18" ht="12.75">
      <c r="A26" s="1">
        <f>ROW()</f>
        <v>26</v>
      </c>
      <c r="D26" s="32" t="s">
        <v>52</v>
      </c>
      <c r="E26" s="33"/>
      <c r="F26" s="32" t="s">
        <v>51</v>
      </c>
      <c r="M26" s="1">
        <f>ROW()</f>
        <v>26</v>
      </c>
      <c r="O26" s="24">
        <f t="shared" si="2"/>
        <v>7</v>
      </c>
      <c r="P26" s="25">
        <f t="shared" si="0"/>
        <v>40</v>
      </c>
      <c r="Q26" s="26">
        <v>0</v>
      </c>
      <c r="R26" s="27">
        <f t="shared" si="1"/>
        <v>40</v>
      </c>
    </row>
    <row r="27" spans="1:18" ht="12.75">
      <c r="A27" s="1">
        <f>ROW()</f>
        <v>27</v>
      </c>
      <c r="B27" t="s">
        <v>14</v>
      </c>
      <c r="D27" s="4">
        <f>DATE(2018,1,15)</f>
        <v>43115</v>
      </c>
      <c r="F27" s="4">
        <f>+D27</f>
        <v>43115</v>
      </c>
      <c r="M27" s="1">
        <f>ROW()</f>
        <v>27</v>
      </c>
      <c r="O27" s="24">
        <f t="shared" si="2"/>
        <v>8</v>
      </c>
      <c r="P27" s="25">
        <f t="shared" si="0"/>
        <v>40</v>
      </c>
      <c r="Q27" s="26">
        <v>0</v>
      </c>
      <c r="R27" s="27">
        <f t="shared" si="1"/>
        <v>40</v>
      </c>
    </row>
    <row r="28" spans="1:18" ht="12.75">
      <c r="A28" s="1">
        <f>ROW()</f>
        <v>28</v>
      </c>
      <c r="B28" t="s">
        <v>53</v>
      </c>
      <c r="D28" s="4">
        <f>DATE(2028,1,15)</f>
        <v>46767</v>
      </c>
      <c r="F28" s="4">
        <f>DATE(2023,1,15)</f>
        <v>44941</v>
      </c>
      <c r="M28" s="1">
        <f>ROW()</f>
        <v>28</v>
      </c>
      <c r="O28" s="24">
        <f t="shared" si="2"/>
        <v>9</v>
      </c>
      <c r="P28" s="25">
        <f t="shared" si="0"/>
        <v>40</v>
      </c>
      <c r="Q28" s="26">
        <v>0</v>
      </c>
      <c r="R28" s="27">
        <f t="shared" si="1"/>
        <v>40</v>
      </c>
    </row>
    <row r="29" spans="1:18" ht="12.75">
      <c r="A29" s="1">
        <f>ROW()</f>
        <v>29</v>
      </c>
      <c r="B29" t="s">
        <v>23</v>
      </c>
      <c r="D29" s="5">
        <v>0.08</v>
      </c>
      <c r="F29" s="5">
        <v>0.08</v>
      </c>
      <c r="M29" s="1">
        <f>ROW()</f>
        <v>29</v>
      </c>
      <c r="O29" s="24">
        <f t="shared" si="2"/>
        <v>10</v>
      </c>
      <c r="P29" s="25">
        <f t="shared" si="0"/>
        <v>40</v>
      </c>
      <c r="Q29" s="26">
        <v>0</v>
      </c>
      <c r="R29" s="27">
        <f t="shared" si="1"/>
        <v>40</v>
      </c>
    </row>
    <row r="30" spans="1:18" ht="12.75">
      <c r="A30" s="1">
        <f>ROW()</f>
        <v>30</v>
      </c>
      <c r="B30" t="s">
        <v>56</v>
      </c>
      <c r="D30" s="34">
        <f>+D29*500</f>
        <v>40</v>
      </c>
      <c r="E30" s="34"/>
      <c r="F30" s="34">
        <f>+F29*500</f>
        <v>40</v>
      </c>
      <c r="M30" s="1">
        <f>ROW()</f>
        <v>30</v>
      </c>
      <c r="O30" s="24">
        <f t="shared" si="2"/>
        <v>11</v>
      </c>
      <c r="P30" s="25">
        <f t="shared" si="0"/>
        <v>40</v>
      </c>
      <c r="Q30" s="26">
        <v>0</v>
      </c>
      <c r="R30" s="27">
        <f t="shared" si="1"/>
        <v>40</v>
      </c>
    </row>
    <row r="31" spans="1:18" ht="12.75">
      <c r="A31" s="1">
        <f>ROW()</f>
        <v>31</v>
      </c>
      <c r="B31" t="s">
        <v>58</v>
      </c>
      <c r="D31">
        <v>20</v>
      </c>
      <c r="E31" t="s">
        <v>59</v>
      </c>
      <c r="F31">
        <v>20</v>
      </c>
      <c r="G31" t="s">
        <v>59</v>
      </c>
      <c r="M31" s="1">
        <f>ROW()</f>
        <v>31</v>
      </c>
      <c r="O31" s="24">
        <f t="shared" si="2"/>
        <v>12</v>
      </c>
      <c r="P31" s="25">
        <f t="shared" si="0"/>
        <v>40</v>
      </c>
      <c r="Q31" s="26">
        <v>0</v>
      </c>
      <c r="R31" s="27">
        <f t="shared" si="1"/>
        <v>40</v>
      </c>
    </row>
    <row r="32" spans="1:18" ht="12.75">
      <c r="A32" s="1">
        <f>ROW()</f>
        <v>32</v>
      </c>
      <c r="B32" t="s">
        <v>60</v>
      </c>
      <c r="D32" s="35">
        <v>100</v>
      </c>
      <c r="E32" s="35"/>
      <c r="F32" s="35">
        <v>105</v>
      </c>
      <c r="M32" s="1">
        <f>ROW()</f>
        <v>32</v>
      </c>
      <c r="O32" s="24">
        <f t="shared" si="2"/>
        <v>13</v>
      </c>
      <c r="P32" s="25">
        <f t="shared" si="0"/>
        <v>40</v>
      </c>
      <c r="Q32" s="26">
        <v>0</v>
      </c>
      <c r="R32" s="27">
        <f t="shared" si="1"/>
        <v>40</v>
      </c>
    </row>
    <row r="33" spans="1:18" ht="12.75">
      <c r="A33" s="1">
        <f>ROW()</f>
        <v>33</v>
      </c>
      <c r="B33" t="s">
        <v>62</v>
      </c>
      <c r="D33" s="35">
        <v>100</v>
      </c>
      <c r="E33" s="35"/>
      <c r="F33" s="35">
        <f>+F32</f>
        <v>105</v>
      </c>
      <c r="M33" s="1">
        <f>ROW()</f>
        <v>33</v>
      </c>
      <c r="O33" s="24">
        <f t="shared" si="2"/>
        <v>14</v>
      </c>
      <c r="P33" s="25">
        <f t="shared" si="0"/>
        <v>40</v>
      </c>
      <c r="Q33" s="26">
        <v>0</v>
      </c>
      <c r="R33" s="27">
        <f t="shared" si="1"/>
        <v>40</v>
      </c>
    </row>
    <row r="34" spans="1:18" ht="12.75">
      <c r="A34" s="1">
        <f>ROW()</f>
        <v>34</v>
      </c>
      <c r="B34" t="s">
        <v>63</v>
      </c>
      <c r="D34" s="35">
        <v>95</v>
      </c>
      <c r="E34" s="35"/>
      <c r="F34" s="35">
        <v>95</v>
      </c>
      <c r="M34" s="1">
        <f>ROW()</f>
        <v>34</v>
      </c>
      <c r="O34" s="24">
        <f t="shared" si="2"/>
        <v>15</v>
      </c>
      <c r="P34" s="25">
        <f t="shared" si="0"/>
        <v>40</v>
      </c>
      <c r="Q34" s="26">
        <v>0</v>
      </c>
      <c r="R34" s="27">
        <f t="shared" si="1"/>
        <v>40</v>
      </c>
    </row>
    <row r="35" spans="1:18" ht="12.75">
      <c r="A35" s="1">
        <f>ROW()</f>
        <v>35</v>
      </c>
      <c r="M35" s="1">
        <f>ROW()</f>
        <v>35</v>
      </c>
      <c r="O35" s="24">
        <f t="shared" si="2"/>
        <v>16</v>
      </c>
      <c r="P35" s="25">
        <f t="shared" si="0"/>
        <v>40</v>
      </c>
      <c r="Q35" s="26">
        <v>0</v>
      </c>
      <c r="R35" s="27">
        <f t="shared" si="1"/>
        <v>40</v>
      </c>
    </row>
    <row r="36" spans="1:18" ht="13.5" thickBot="1">
      <c r="A36" s="1">
        <f>ROW()</f>
        <v>36</v>
      </c>
      <c r="C36" s="128" t="s">
        <v>99</v>
      </c>
      <c r="D36" s="102">
        <f>YIELD(D27,D28,D29,D34,D33,2)</f>
        <v>0.08760815568251093</v>
      </c>
      <c r="E36" s="128" t="s">
        <v>100</v>
      </c>
      <c r="F36" s="103">
        <f>YIELD(F27,F28,F29,F34,F33,2)</f>
        <v>0.1009127118833462</v>
      </c>
      <c r="M36" s="1">
        <f>ROW()</f>
        <v>36</v>
      </c>
      <c r="O36" s="24">
        <f t="shared" si="2"/>
        <v>17</v>
      </c>
      <c r="P36" s="25">
        <f t="shared" si="0"/>
        <v>40</v>
      </c>
      <c r="Q36" s="26">
        <v>0</v>
      </c>
      <c r="R36" s="27">
        <f t="shared" si="1"/>
        <v>40</v>
      </c>
    </row>
    <row r="37" spans="1:18" ht="13.5" thickTop="1">
      <c r="A37" s="1">
        <f>ROW()</f>
        <v>37</v>
      </c>
      <c r="M37" s="1">
        <f>ROW()</f>
        <v>37</v>
      </c>
      <c r="O37" s="24">
        <f t="shared" si="2"/>
        <v>18</v>
      </c>
      <c r="P37" s="25">
        <f t="shared" si="0"/>
        <v>40</v>
      </c>
      <c r="Q37" s="26">
        <v>0</v>
      </c>
      <c r="R37" s="27">
        <f t="shared" si="1"/>
        <v>40</v>
      </c>
    </row>
    <row r="38" spans="1:18" ht="13.5" thickBot="1">
      <c r="A38" s="1">
        <f>ROW()</f>
        <v>38</v>
      </c>
      <c r="M38" s="1">
        <f>ROW()</f>
        <v>38</v>
      </c>
      <c r="O38" s="24">
        <f t="shared" si="2"/>
        <v>19</v>
      </c>
      <c r="P38" s="25">
        <f t="shared" si="0"/>
        <v>40</v>
      </c>
      <c r="Q38" s="26">
        <v>0</v>
      </c>
      <c r="R38" s="27">
        <f t="shared" si="1"/>
        <v>40</v>
      </c>
    </row>
    <row r="39" spans="1:18" ht="13.5" thickBot="1">
      <c r="A39" s="1">
        <f>ROW()</f>
        <v>39</v>
      </c>
      <c r="D39" s="128" t="s">
        <v>101</v>
      </c>
      <c r="E39" s="104">
        <f>MIN(D36,F36)</f>
        <v>0.08760815568251093</v>
      </c>
      <c r="M39" s="1">
        <f>ROW()</f>
        <v>39</v>
      </c>
      <c r="O39" s="24">
        <f t="shared" si="2"/>
        <v>20</v>
      </c>
      <c r="P39" s="25">
        <f t="shared" si="0"/>
        <v>40</v>
      </c>
      <c r="Q39" s="26">
        <v>0</v>
      </c>
      <c r="R39" s="27">
        <f t="shared" si="1"/>
        <v>40</v>
      </c>
    </row>
    <row r="40" spans="1:18" ht="13.5" thickBot="1">
      <c r="A40" s="1">
        <f>ROW()</f>
        <v>40</v>
      </c>
      <c r="M40" s="1">
        <f>ROW()</f>
        <v>40</v>
      </c>
      <c r="O40" s="24">
        <f t="shared" si="2"/>
        <v>21</v>
      </c>
      <c r="P40" s="25">
        <f t="shared" si="0"/>
        <v>40</v>
      </c>
      <c r="Q40" s="26">
        <v>0</v>
      </c>
      <c r="R40" s="27">
        <f t="shared" si="1"/>
        <v>40</v>
      </c>
    </row>
    <row r="41" spans="1:18" ht="13.5" thickBot="1">
      <c r="A41" s="1">
        <f>ROW()</f>
        <v>41</v>
      </c>
      <c r="D41" s="128" t="s">
        <v>118</v>
      </c>
      <c r="E41" s="104">
        <f>+(D29*1000)/(D34*10)</f>
        <v>0.08421052631578947</v>
      </c>
      <c r="M41" s="1">
        <f>ROW()</f>
        <v>41</v>
      </c>
      <c r="O41" s="24">
        <f t="shared" si="2"/>
        <v>22</v>
      </c>
      <c r="P41" s="25">
        <f t="shared" si="0"/>
        <v>40</v>
      </c>
      <c r="Q41" s="26">
        <v>0</v>
      </c>
      <c r="R41" s="27">
        <f t="shared" si="1"/>
        <v>40</v>
      </c>
    </row>
    <row r="42" spans="13:18" ht="12.75">
      <c r="M42" s="1">
        <f>ROW()</f>
        <v>42</v>
      </c>
      <c r="O42" s="24">
        <f t="shared" si="2"/>
        <v>23</v>
      </c>
      <c r="P42" s="25">
        <f t="shared" si="0"/>
        <v>40</v>
      </c>
      <c r="Q42" s="26">
        <v>0</v>
      </c>
      <c r="R42" s="27">
        <f t="shared" si="1"/>
        <v>40</v>
      </c>
    </row>
    <row r="43" spans="1:18" ht="12.75">
      <c r="A43" s="1">
        <f>ROW()</f>
        <v>43</v>
      </c>
      <c r="B43" s="99" t="s">
        <v>0</v>
      </c>
      <c r="C43" s="99" t="s">
        <v>1</v>
      </c>
      <c r="D43" s="99" t="s">
        <v>2</v>
      </c>
      <c r="E43" s="99" t="s">
        <v>3</v>
      </c>
      <c r="F43" s="99" t="s">
        <v>4</v>
      </c>
      <c r="G43" s="99" t="s">
        <v>5</v>
      </c>
      <c r="H43" s="99" t="s">
        <v>6</v>
      </c>
      <c r="I43" s="99" t="s">
        <v>104</v>
      </c>
      <c r="J43" s="99" t="s">
        <v>105</v>
      </c>
      <c r="K43" s="99" t="s">
        <v>7</v>
      </c>
      <c r="M43" s="1">
        <f>ROW()</f>
        <v>43</v>
      </c>
      <c r="O43" s="24">
        <f t="shared" si="2"/>
        <v>24</v>
      </c>
      <c r="P43" s="25">
        <f t="shared" si="0"/>
        <v>40</v>
      </c>
      <c r="Q43" s="26">
        <v>0</v>
      </c>
      <c r="R43" s="27">
        <f t="shared" si="1"/>
        <v>40</v>
      </c>
    </row>
    <row r="44" spans="1:18" ht="18">
      <c r="A44" s="1">
        <f>ROW()</f>
        <v>44</v>
      </c>
      <c r="B44" s="110" t="s">
        <v>98</v>
      </c>
      <c r="C44" s="111"/>
      <c r="D44" s="111"/>
      <c r="E44" s="111"/>
      <c r="F44" s="111"/>
      <c r="G44" s="111"/>
      <c r="H44" s="111"/>
      <c r="I44" s="111"/>
      <c r="J44" s="111"/>
      <c r="K44" s="111"/>
      <c r="M44" s="1">
        <f>ROW()</f>
        <v>44</v>
      </c>
      <c r="O44" s="24">
        <f t="shared" si="2"/>
        <v>25</v>
      </c>
      <c r="P44" s="25">
        <f t="shared" si="0"/>
        <v>40</v>
      </c>
      <c r="Q44" s="26">
        <v>0</v>
      </c>
      <c r="R44" s="27">
        <f t="shared" si="1"/>
        <v>40</v>
      </c>
    </row>
    <row r="45" spans="1:18" ht="12.75">
      <c r="A45" s="1">
        <f>ROW()</f>
        <v>45</v>
      </c>
      <c r="M45" s="1">
        <f>ROW()</f>
        <v>45</v>
      </c>
      <c r="O45" s="24">
        <f t="shared" si="2"/>
        <v>26</v>
      </c>
      <c r="P45" s="25">
        <f t="shared" si="0"/>
        <v>40</v>
      </c>
      <c r="Q45" s="26">
        <v>0</v>
      </c>
      <c r="R45" s="27">
        <f t="shared" si="1"/>
        <v>40</v>
      </c>
    </row>
    <row r="46" spans="1:18" ht="12.75">
      <c r="A46" s="1">
        <f>ROW()</f>
        <v>46</v>
      </c>
      <c r="B46" s="87" t="s">
        <v>106</v>
      </c>
      <c r="C46" s="112">
        <v>1000</v>
      </c>
      <c r="G46" s="37"/>
      <c r="H46" s="38"/>
      <c r="M46" s="1">
        <f>ROW()</f>
        <v>46</v>
      </c>
      <c r="O46" s="24">
        <f t="shared" si="2"/>
        <v>27</v>
      </c>
      <c r="P46" s="25">
        <f t="shared" si="0"/>
        <v>40</v>
      </c>
      <c r="Q46" s="26">
        <v>0</v>
      </c>
      <c r="R46" s="27">
        <f t="shared" si="1"/>
        <v>40</v>
      </c>
    </row>
    <row r="47" spans="1:18" ht="12.75">
      <c r="A47" s="1">
        <f>ROW()</f>
        <v>47</v>
      </c>
      <c r="B47" t="s">
        <v>91</v>
      </c>
      <c r="C47" s="5">
        <v>0.08</v>
      </c>
      <c r="G47" s="37"/>
      <c r="H47" s="38"/>
      <c r="M47" s="1">
        <f>ROW()</f>
        <v>47</v>
      </c>
      <c r="O47" s="24">
        <f t="shared" si="2"/>
        <v>28</v>
      </c>
      <c r="P47" s="25">
        <f t="shared" si="0"/>
        <v>40</v>
      </c>
      <c r="Q47" s="26">
        <v>0</v>
      </c>
      <c r="R47" s="27">
        <f t="shared" si="1"/>
        <v>40</v>
      </c>
    </row>
    <row r="48" spans="1:18" ht="12.75">
      <c r="A48" s="1">
        <f>ROW()</f>
        <v>48</v>
      </c>
      <c r="B48" t="s">
        <v>64</v>
      </c>
      <c r="C48" s="5">
        <v>0.1</v>
      </c>
      <c r="G48" s="37"/>
      <c r="H48" s="38"/>
      <c r="M48" s="1">
        <f>ROW()</f>
        <v>48</v>
      </c>
      <c r="O48" s="24">
        <f t="shared" si="2"/>
        <v>29</v>
      </c>
      <c r="P48" s="25">
        <f t="shared" si="0"/>
        <v>40</v>
      </c>
      <c r="Q48" s="26">
        <v>0</v>
      </c>
      <c r="R48" s="27">
        <f t="shared" si="1"/>
        <v>40</v>
      </c>
    </row>
    <row r="49" spans="1:18" ht="12.75">
      <c r="A49" s="1">
        <f>ROW()</f>
        <v>49</v>
      </c>
      <c r="B49" s="87" t="s">
        <v>107</v>
      </c>
      <c r="C49" s="115">
        <v>1</v>
      </c>
      <c r="G49" s="37"/>
      <c r="H49" s="38"/>
      <c r="M49" s="1">
        <f>ROW()</f>
        <v>49</v>
      </c>
      <c r="O49" s="24">
        <f t="shared" si="2"/>
        <v>30</v>
      </c>
      <c r="P49" s="25">
        <f t="shared" si="0"/>
        <v>40</v>
      </c>
      <c r="Q49" s="26">
        <v>0</v>
      </c>
      <c r="R49" s="27">
        <f t="shared" si="1"/>
        <v>40</v>
      </c>
    </row>
    <row r="50" spans="1:18" ht="12.75">
      <c r="A50" s="1">
        <f>ROW()</f>
        <v>50</v>
      </c>
      <c r="C50" s="5"/>
      <c r="G50" s="37"/>
      <c r="H50" s="38"/>
      <c r="M50" s="1">
        <f>ROW()</f>
        <v>50</v>
      </c>
      <c r="O50" s="24">
        <f t="shared" si="2"/>
        <v>31</v>
      </c>
      <c r="P50" s="25">
        <f t="shared" si="0"/>
        <v>40</v>
      </c>
      <c r="Q50" s="26">
        <v>0</v>
      </c>
      <c r="R50" s="27">
        <f t="shared" si="1"/>
        <v>40</v>
      </c>
    </row>
    <row r="51" spans="1:18" ht="12.75">
      <c r="A51" s="1">
        <f>ROW()</f>
        <v>51</v>
      </c>
      <c r="C51" s="5"/>
      <c r="G51" s="37"/>
      <c r="H51" s="38"/>
      <c r="M51" s="1">
        <f>ROW()</f>
        <v>51</v>
      </c>
      <c r="O51" s="24">
        <f t="shared" si="2"/>
        <v>32</v>
      </c>
      <c r="P51" s="25">
        <f t="shared" si="0"/>
        <v>40</v>
      </c>
      <c r="Q51" s="26">
        <v>0</v>
      </c>
      <c r="R51" s="27">
        <f t="shared" si="1"/>
        <v>40</v>
      </c>
    </row>
    <row r="52" spans="1:18" ht="12.75">
      <c r="A52" s="1">
        <f>ROW()</f>
        <v>52</v>
      </c>
      <c r="C52" s="5"/>
      <c r="G52" s="37"/>
      <c r="H52" s="38"/>
      <c r="M52" s="1">
        <f>ROW()</f>
        <v>52</v>
      </c>
      <c r="O52" s="24">
        <f t="shared" si="2"/>
        <v>33</v>
      </c>
      <c r="P52" s="25">
        <f t="shared" si="0"/>
        <v>40</v>
      </c>
      <c r="Q52" s="26">
        <v>0</v>
      </c>
      <c r="R52" s="27">
        <f t="shared" si="1"/>
        <v>40</v>
      </c>
    </row>
    <row r="53" spans="1:18" ht="12.75">
      <c r="A53" s="1">
        <f>ROW()</f>
        <v>53</v>
      </c>
      <c r="C53" s="5"/>
      <c r="G53" s="37"/>
      <c r="H53" s="38"/>
      <c r="M53" s="1">
        <f>ROW()</f>
        <v>53</v>
      </c>
      <c r="O53" s="24">
        <f t="shared" si="2"/>
        <v>34</v>
      </c>
      <c r="P53" s="25">
        <f t="shared" si="0"/>
        <v>40</v>
      </c>
      <c r="Q53" s="26">
        <v>0</v>
      </c>
      <c r="R53" s="27">
        <f t="shared" si="1"/>
        <v>40</v>
      </c>
    </row>
    <row r="54" spans="1:18" ht="12.75">
      <c r="A54" s="1">
        <f>ROW()</f>
        <v>54</v>
      </c>
      <c r="C54" s="5"/>
      <c r="G54" s="37"/>
      <c r="H54" s="38"/>
      <c r="M54" s="1">
        <f>ROW()</f>
        <v>54</v>
      </c>
      <c r="O54" s="24">
        <f t="shared" si="2"/>
        <v>35</v>
      </c>
      <c r="P54" s="25">
        <f t="shared" si="0"/>
        <v>40</v>
      </c>
      <c r="Q54" s="26">
        <v>0</v>
      </c>
      <c r="R54" s="27">
        <f t="shared" si="1"/>
        <v>40</v>
      </c>
    </row>
    <row r="55" spans="1:18" ht="12.75">
      <c r="A55" s="1">
        <f>ROW()</f>
        <v>55</v>
      </c>
      <c r="B55" s="91" t="s">
        <v>65</v>
      </c>
      <c r="C55" s="92" t="s">
        <v>94</v>
      </c>
      <c r="D55" s="92" t="s">
        <v>93</v>
      </c>
      <c r="E55" s="33"/>
      <c r="F55" s="93" t="s">
        <v>66</v>
      </c>
      <c r="G55" s="94"/>
      <c r="H55" s="33"/>
      <c r="I55" s="95"/>
      <c r="J55" s="95"/>
      <c r="M55" s="1">
        <f>ROW()</f>
        <v>55</v>
      </c>
      <c r="O55" s="24">
        <f t="shared" si="2"/>
        <v>36</v>
      </c>
      <c r="P55" s="25">
        <f t="shared" si="0"/>
        <v>40</v>
      </c>
      <c r="Q55" s="26">
        <v>0</v>
      </c>
      <c r="R55" s="27">
        <f t="shared" si="1"/>
        <v>40</v>
      </c>
    </row>
    <row r="56" spans="1:18" ht="13.5" thickBot="1">
      <c r="A56" s="1">
        <f>ROW()</f>
        <v>56</v>
      </c>
      <c r="B56" s="96" t="s">
        <v>68</v>
      </c>
      <c r="C56" s="97"/>
      <c r="D56" s="96"/>
      <c r="E56" s="33"/>
      <c r="F56" s="98" t="s">
        <v>69</v>
      </c>
      <c r="G56" s="96" t="s">
        <v>67</v>
      </c>
      <c r="H56" s="33"/>
      <c r="I56" s="97" t="s">
        <v>92</v>
      </c>
      <c r="J56" s="101" t="s">
        <v>108</v>
      </c>
      <c r="M56" s="1">
        <f>ROW()</f>
        <v>56</v>
      </c>
      <c r="O56" s="24">
        <f t="shared" si="2"/>
        <v>37</v>
      </c>
      <c r="P56" s="25">
        <f t="shared" si="0"/>
        <v>40</v>
      </c>
      <c r="Q56" s="26">
        <v>0</v>
      </c>
      <c r="R56" s="27">
        <f t="shared" si="1"/>
        <v>40</v>
      </c>
    </row>
    <row r="57" spans="1:18" ht="12.75">
      <c r="A57" s="1">
        <f>ROW()</f>
        <v>57</v>
      </c>
      <c r="B57" s="37">
        <v>1</v>
      </c>
      <c r="C57" s="84">
        <f>+$C$46*$C$47</f>
        <v>80</v>
      </c>
      <c r="D57" s="39">
        <f>+C57/(1+$C$48)^B57</f>
        <v>72.72727272727272</v>
      </c>
      <c r="F57" s="40">
        <f>+D57/$D$68</f>
        <v>0.08291706172706947</v>
      </c>
      <c r="G57" s="41">
        <f aca="true" t="shared" si="3" ref="G57:G66">+F57*B57</f>
        <v>0.08291706172706947</v>
      </c>
      <c r="I57" s="85">
        <f aca="true" t="shared" si="4" ref="I57:I66">+B57+B57^2</f>
        <v>2</v>
      </c>
      <c r="J57" s="86">
        <f aca="true" t="shared" si="5" ref="J57:J66">+I57*D57</f>
        <v>145.45454545454544</v>
      </c>
      <c r="M57" s="1">
        <f>ROW()</f>
        <v>57</v>
      </c>
      <c r="O57" s="24">
        <f t="shared" si="2"/>
        <v>38</v>
      </c>
      <c r="P57" s="25">
        <f t="shared" si="0"/>
        <v>40</v>
      </c>
      <c r="Q57" s="26">
        <v>0</v>
      </c>
      <c r="R57" s="27">
        <f t="shared" si="1"/>
        <v>40</v>
      </c>
    </row>
    <row r="58" spans="1:18" ht="12.75">
      <c r="A58" s="1">
        <f>ROW()</f>
        <v>58</v>
      </c>
      <c r="B58" s="37">
        <v>2</v>
      </c>
      <c r="C58" s="84">
        <f>+$C$46*$C$47</f>
        <v>80</v>
      </c>
      <c r="D58" s="39">
        <f>+C58/(1+$C$48)^B58</f>
        <v>66.11570247933884</v>
      </c>
      <c r="F58" s="40">
        <f>+D58/$D$68</f>
        <v>0.07537914702460861</v>
      </c>
      <c r="G58" s="41">
        <f t="shared" si="3"/>
        <v>0.15075829404921723</v>
      </c>
      <c r="I58" s="85">
        <f t="shared" si="4"/>
        <v>6</v>
      </c>
      <c r="J58" s="86">
        <f t="shared" si="5"/>
        <v>396.694214876033</v>
      </c>
      <c r="M58" s="1">
        <f>ROW()</f>
        <v>58</v>
      </c>
      <c r="O58" s="24">
        <f t="shared" si="2"/>
        <v>39</v>
      </c>
      <c r="P58" s="25">
        <f t="shared" si="0"/>
        <v>40</v>
      </c>
      <c r="Q58" s="26">
        <v>0</v>
      </c>
      <c r="R58" s="27">
        <f t="shared" si="1"/>
        <v>40</v>
      </c>
    </row>
    <row r="59" spans="1:18" ht="13.5" thickBot="1">
      <c r="A59" s="1">
        <f>ROW()</f>
        <v>59</v>
      </c>
      <c r="B59" s="37">
        <v>3</v>
      </c>
      <c r="C59" s="84">
        <f>+$C$46*$C$47</f>
        <v>80</v>
      </c>
      <c r="D59" s="39">
        <f>+C59/(1+$C$48)^B59</f>
        <v>60.1051840721262</v>
      </c>
      <c r="F59" s="40">
        <f>+D59/$D$68</f>
        <v>0.06852649729509872</v>
      </c>
      <c r="G59" s="41">
        <f t="shared" si="3"/>
        <v>0.20557949188529615</v>
      </c>
      <c r="I59" s="85">
        <f t="shared" si="4"/>
        <v>12</v>
      </c>
      <c r="J59" s="86">
        <f t="shared" si="5"/>
        <v>721.2622088655144</v>
      </c>
      <c r="M59" s="1">
        <f>ROW()</f>
        <v>59</v>
      </c>
      <c r="O59" s="24">
        <f t="shared" si="2"/>
        <v>40</v>
      </c>
      <c r="P59" s="25">
        <f>+$S$8+O7</f>
        <v>1040</v>
      </c>
      <c r="Q59" s="26">
        <v>0</v>
      </c>
      <c r="R59" s="27">
        <f t="shared" si="1"/>
        <v>1040</v>
      </c>
    </row>
    <row r="60" spans="1:18" ht="13.5" thickBot="1">
      <c r="A60" s="1">
        <f>ROW()</f>
        <v>60</v>
      </c>
      <c r="B60" s="37">
        <v>4</v>
      </c>
      <c r="C60" s="84">
        <f>+$C$46*$C$47</f>
        <v>80</v>
      </c>
      <c r="D60" s="39">
        <f>+C60/(1+$C$48)^B60</f>
        <v>54.64107642920564</v>
      </c>
      <c r="F60" s="40">
        <f>+D60/$D$68</f>
        <v>0.06229681572281702</v>
      </c>
      <c r="G60" s="41">
        <f t="shared" si="3"/>
        <v>0.24918726289126808</v>
      </c>
      <c r="I60" s="85">
        <f t="shared" si="4"/>
        <v>20</v>
      </c>
      <c r="J60" s="86">
        <f t="shared" si="5"/>
        <v>1092.821528584113</v>
      </c>
      <c r="M60" s="1">
        <f>ROW()</f>
        <v>60</v>
      </c>
      <c r="O60" s="29" t="s">
        <v>48</v>
      </c>
      <c r="P60" s="30"/>
      <c r="Q60" s="30"/>
      <c r="R60" s="31">
        <f>IRR(R19:R59)</f>
        <v>0.03999999999564863</v>
      </c>
    </row>
    <row r="61" spans="1:10" ht="12.75">
      <c r="A61" s="1">
        <f>ROW()</f>
        <v>61</v>
      </c>
      <c r="B61" s="37">
        <v>5</v>
      </c>
      <c r="C61" s="84">
        <f>+$C$46*$C$47</f>
        <v>80</v>
      </c>
      <c r="D61" s="39">
        <f>+C61/(1+$C$48)^B61</f>
        <v>49.673705844732396</v>
      </c>
      <c r="F61" s="40">
        <f>+D61/$D$68</f>
        <v>0.05663346883892456</v>
      </c>
      <c r="G61" s="41">
        <f t="shared" si="3"/>
        <v>0.2831673441946228</v>
      </c>
      <c r="I61" s="85">
        <f t="shared" si="4"/>
        <v>30</v>
      </c>
      <c r="J61" s="86">
        <f t="shared" si="5"/>
        <v>1490.211175341972</v>
      </c>
    </row>
    <row r="62" spans="1:18" ht="12.75">
      <c r="A62" s="1">
        <f>ROW()</f>
        <v>62</v>
      </c>
      <c r="B62" s="37">
        <v>6</v>
      </c>
      <c r="C62" s="84">
        <f>+$C$46*$C$47</f>
        <v>80</v>
      </c>
      <c r="D62" s="39">
        <f>+C62/(1+$C$48)^B62</f>
        <v>45.157914404302176</v>
      </c>
      <c r="F62" s="40">
        <f>+D62/$D$68</f>
        <v>0.0514849716717496</v>
      </c>
      <c r="G62" s="41">
        <f t="shared" si="3"/>
        <v>0.3089098300304976</v>
      </c>
      <c r="I62" s="85">
        <f t="shared" si="4"/>
        <v>42</v>
      </c>
      <c r="J62" s="86">
        <f t="shared" si="5"/>
        <v>1896.6324049806913</v>
      </c>
      <c r="O62" s="114"/>
      <c r="P62" s="25"/>
      <c r="Q62" s="26"/>
      <c r="R62" s="25"/>
    </row>
    <row r="63" spans="1:21" ht="12.75">
      <c r="A63" s="1">
        <f>ROW()</f>
        <v>63</v>
      </c>
      <c r="B63" s="37">
        <v>7</v>
      </c>
      <c r="C63" s="84">
        <f>+$C$46*$C$47</f>
        <v>80</v>
      </c>
      <c r="D63" s="39">
        <f>+C63/(1+$C$48)^B63</f>
        <v>41.052649458456514</v>
      </c>
      <c r="F63" s="40">
        <f>+D63/$D$68</f>
        <v>0.04680451970159053</v>
      </c>
      <c r="G63" s="41">
        <f t="shared" si="3"/>
        <v>0.3276316379111337</v>
      </c>
      <c r="I63" s="85">
        <f t="shared" si="4"/>
        <v>56</v>
      </c>
      <c r="J63" s="86">
        <f t="shared" si="5"/>
        <v>2298.9483696735647</v>
      </c>
      <c r="M63" s="1">
        <f>ROW()</f>
        <v>63</v>
      </c>
      <c r="N63" s="99" t="s">
        <v>8</v>
      </c>
      <c r="O63" s="99" t="s">
        <v>9</v>
      </c>
      <c r="P63" s="99" t="s">
        <v>10</v>
      </c>
      <c r="Q63" s="99" t="s">
        <v>49</v>
      </c>
      <c r="R63" s="99" t="s">
        <v>70</v>
      </c>
      <c r="S63" s="99" t="s">
        <v>89</v>
      </c>
      <c r="T63" s="99" t="s">
        <v>90</v>
      </c>
      <c r="U63" s="99" t="s">
        <v>112</v>
      </c>
    </row>
    <row r="64" spans="1:21" ht="18">
      <c r="A64" s="1">
        <f>ROW()</f>
        <v>64</v>
      </c>
      <c r="B64" s="37">
        <v>8</v>
      </c>
      <c r="C64" s="84">
        <f>+$C$46*$C$47</f>
        <v>80</v>
      </c>
      <c r="D64" s="39">
        <f>+C64/(1+$C$48)^B64</f>
        <v>37.32059041677866</v>
      </c>
      <c r="F64" s="40">
        <f>+D64/$D$68</f>
        <v>0.04254956336508231</v>
      </c>
      <c r="G64" s="41">
        <f t="shared" si="3"/>
        <v>0.3403965069206585</v>
      </c>
      <c r="I64" s="85">
        <f t="shared" si="4"/>
        <v>72</v>
      </c>
      <c r="J64" s="86">
        <f t="shared" si="5"/>
        <v>2687.0825100080633</v>
      </c>
      <c r="M64" s="1">
        <f>ROW()</f>
        <v>64</v>
      </c>
      <c r="N64" s="110" t="s">
        <v>50</v>
      </c>
      <c r="O64" s="111"/>
      <c r="P64" s="111"/>
      <c r="Q64" s="111"/>
      <c r="R64" s="111"/>
      <c r="S64" s="111"/>
      <c r="T64" s="111"/>
      <c r="U64" s="111"/>
    </row>
    <row r="65" spans="1:13" ht="12.75">
      <c r="A65" s="1">
        <f>ROW()</f>
        <v>65</v>
      </c>
      <c r="B65" s="37">
        <v>9</v>
      </c>
      <c r="C65" s="84">
        <f>+$C$46*$C$47</f>
        <v>80</v>
      </c>
      <c r="D65" s="39">
        <f>+C65/(1+$C$48)^B65</f>
        <v>33.927809469798774</v>
      </c>
      <c r="F65" s="40">
        <f>+D65/$D$68</f>
        <v>0.038681421240983914</v>
      </c>
      <c r="G65" s="41">
        <f t="shared" si="3"/>
        <v>0.3481327911688552</v>
      </c>
      <c r="I65" s="85">
        <f t="shared" si="4"/>
        <v>90</v>
      </c>
      <c r="J65" s="86">
        <f t="shared" si="5"/>
        <v>3053.50285228189</v>
      </c>
      <c r="M65" s="1">
        <f>ROW()</f>
        <v>65</v>
      </c>
    </row>
    <row r="66" spans="1:21" ht="26.25" thickBot="1">
      <c r="A66" s="1">
        <f>ROW()</f>
        <v>66</v>
      </c>
      <c r="B66" s="37">
        <v>10</v>
      </c>
      <c r="C66" s="113">
        <f>+$C$46*$C$47+C46</f>
        <v>1080</v>
      </c>
      <c r="D66" s="39">
        <f>+C66/(1+$C$48)^B66</f>
        <v>416.386752583894</v>
      </c>
      <c r="F66" s="40">
        <f>+D66/$D$68</f>
        <v>0.47472653341207527</v>
      </c>
      <c r="G66" s="41">
        <f t="shared" si="3"/>
        <v>4.747265334120753</v>
      </c>
      <c r="I66" s="85">
        <f t="shared" si="4"/>
        <v>110</v>
      </c>
      <c r="J66" s="86">
        <f t="shared" si="5"/>
        <v>45802.54278422834</v>
      </c>
      <c r="M66" s="1">
        <f>ROW()</f>
        <v>66</v>
      </c>
      <c r="N66" t="s">
        <v>14</v>
      </c>
      <c r="P66" s="4">
        <f>DATE(2000,1,1)</f>
        <v>36526</v>
      </c>
      <c r="R66" s="18" t="s">
        <v>42</v>
      </c>
      <c r="S66" s="19" t="s">
        <v>43</v>
      </c>
      <c r="T66" s="19" t="s">
        <v>44</v>
      </c>
      <c r="U66" s="20" t="s">
        <v>45</v>
      </c>
    </row>
    <row r="67" spans="1:21" ht="13.5" thickBot="1">
      <c r="A67" s="1">
        <f>ROW()</f>
        <v>67</v>
      </c>
      <c r="F67" s="88">
        <f>SUM(F57:F66)</f>
        <v>1</v>
      </c>
      <c r="J67" s="86">
        <f>SUM(J57:J66)</f>
        <v>59585.15259429473</v>
      </c>
      <c r="M67" s="1">
        <f>ROW()</f>
        <v>67</v>
      </c>
      <c r="N67" t="s">
        <v>18</v>
      </c>
      <c r="P67" s="4">
        <f>DATE(2010,1,1)</f>
        <v>40179</v>
      </c>
      <c r="R67" s="21">
        <v>0</v>
      </c>
      <c r="S67" s="22"/>
      <c r="T67" s="22"/>
      <c r="U67" s="23">
        <f>-P69*10</f>
        <v>-1100</v>
      </c>
    </row>
    <row r="68" spans="1:21" ht="13.5" thickBot="1">
      <c r="A68" s="1">
        <f>ROW()</f>
        <v>68</v>
      </c>
      <c r="C68" s="90" t="s">
        <v>97</v>
      </c>
      <c r="D68" s="83">
        <f>SUM(D57:D66)</f>
        <v>877.1086578859059</v>
      </c>
      <c r="F68" s="90" t="s">
        <v>96</v>
      </c>
      <c r="G68" s="82">
        <f>SUM(G57:G66)</f>
        <v>7.043945554899372</v>
      </c>
      <c r="I68" s="89" t="s">
        <v>95</v>
      </c>
      <c r="J68" s="100">
        <f>+J67*(1/(D68*(1+C48)^2))</f>
        <v>56.14347472361351</v>
      </c>
      <c r="M68" s="1">
        <f>ROW()</f>
        <v>68</v>
      </c>
      <c r="N68" t="s">
        <v>23</v>
      </c>
      <c r="P68" s="7">
        <v>0.08</v>
      </c>
      <c r="R68" s="24">
        <v>1</v>
      </c>
      <c r="S68" s="25">
        <f aca="true" t="shared" si="6" ref="S68:S87">+$P$68/2*1000</f>
        <v>40</v>
      </c>
      <c r="T68" s="26">
        <v>0</v>
      </c>
      <c r="U68" s="27">
        <f>+T68+S68</f>
        <v>40</v>
      </c>
    </row>
    <row r="69" spans="1:21" ht="12.75">
      <c r="A69" s="1">
        <f>ROW()</f>
        <v>69</v>
      </c>
      <c r="M69" s="1">
        <f>ROW()</f>
        <v>69</v>
      </c>
      <c r="N69" t="s">
        <v>54</v>
      </c>
      <c r="P69">
        <v>110</v>
      </c>
      <c r="R69" s="24">
        <f>+R68+1</f>
        <v>2</v>
      </c>
      <c r="S69" s="25">
        <f t="shared" si="6"/>
        <v>40</v>
      </c>
      <c r="T69" s="26">
        <v>0</v>
      </c>
      <c r="U69" s="27">
        <f aca="true" t="shared" si="7" ref="U69:U75">+T69+S69</f>
        <v>40</v>
      </c>
    </row>
    <row r="70" spans="1:21" ht="12.75">
      <c r="A70" s="1">
        <f>ROW()</f>
        <v>70</v>
      </c>
      <c r="B70" s="33" t="s">
        <v>111</v>
      </c>
      <c r="M70" s="1">
        <f>ROW()</f>
        <v>70</v>
      </c>
      <c r="N70" t="s">
        <v>55</v>
      </c>
      <c r="P70">
        <v>100</v>
      </c>
      <c r="R70" s="24">
        <f aca="true" t="shared" si="8" ref="R70:R75">+R69+1</f>
        <v>3</v>
      </c>
      <c r="S70" s="25">
        <f t="shared" si="6"/>
        <v>40</v>
      </c>
      <c r="T70" s="26">
        <v>0</v>
      </c>
      <c r="U70" s="27">
        <f t="shared" si="7"/>
        <v>40</v>
      </c>
    </row>
    <row r="71" spans="1:21" ht="12.75">
      <c r="A71" s="1">
        <f>ROW()</f>
        <v>71</v>
      </c>
      <c r="B71" s="91" t="s">
        <v>65</v>
      </c>
      <c r="C71" s="92" t="s">
        <v>94</v>
      </c>
      <c r="D71" s="92" t="s">
        <v>93</v>
      </c>
      <c r="E71" s="33"/>
      <c r="F71" s="93" t="s">
        <v>66</v>
      </c>
      <c r="G71" s="94"/>
      <c r="H71" s="33"/>
      <c r="I71" s="95"/>
      <c r="J71" s="95"/>
      <c r="M71" s="1">
        <f>ROW()</f>
        <v>71</v>
      </c>
      <c r="N71" t="s">
        <v>57</v>
      </c>
      <c r="P71">
        <v>2</v>
      </c>
      <c r="R71" s="24">
        <f t="shared" si="8"/>
        <v>4</v>
      </c>
      <c r="S71" s="25">
        <f t="shared" si="6"/>
        <v>40</v>
      </c>
      <c r="T71" s="26">
        <v>0</v>
      </c>
      <c r="U71" s="27">
        <f t="shared" si="7"/>
        <v>40</v>
      </c>
    </row>
    <row r="72" spans="1:21" ht="13.5" thickBot="1">
      <c r="A72" s="1">
        <f>ROW()</f>
        <v>72</v>
      </c>
      <c r="B72" s="96" t="s">
        <v>68</v>
      </c>
      <c r="C72" s="97"/>
      <c r="D72" s="96"/>
      <c r="E72" s="33"/>
      <c r="F72" s="98" t="s">
        <v>69</v>
      </c>
      <c r="G72" s="96" t="s">
        <v>67</v>
      </c>
      <c r="H72" s="33"/>
      <c r="I72" s="97" t="s">
        <v>92</v>
      </c>
      <c r="J72" s="101" t="s">
        <v>108</v>
      </c>
      <c r="M72" s="1">
        <f>ROW()</f>
        <v>72</v>
      </c>
      <c r="R72" s="24">
        <f t="shared" si="8"/>
        <v>5</v>
      </c>
      <c r="S72" s="25">
        <f t="shared" si="6"/>
        <v>40</v>
      </c>
      <c r="T72" s="26">
        <v>0</v>
      </c>
      <c r="U72" s="27">
        <f t="shared" si="7"/>
        <v>40</v>
      </c>
    </row>
    <row r="73" spans="1:21" ht="12.75">
      <c r="A73" s="1">
        <f>ROW()</f>
        <v>73</v>
      </c>
      <c r="B73" s="37">
        <v>1</v>
      </c>
      <c r="C73" s="121">
        <f>+$C$47/2*$C$46</f>
        <v>40</v>
      </c>
      <c r="D73" s="124">
        <f>+C73/((1+($C$48/2))^B73)</f>
        <v>38.095238095238095</v>
      </c>
      <c r="F73" s="40">
        <f>+D73/$D$94</f>
        <v>0.04351862006603865</v>
      </c>
      <c r="G73" s="41">
        <f>+F73*B73</f>
        <v>0.04351862006603865</v>
      </c>
      <c r="I73" s="85">
        <f>+B73+B73^2</f>
        <v>2</v>
      </c>
      <c r="J73" s="86">
        <f>+I73*D73</f>
        <v>76.19047619047619</v>
      </c>
      <c r="M73" s="1">
        <f>ROW()</f>
        <v>73</v>
      </c>
      <c r="N73" t="s">
        <v>24</v>
      </c>
      <c r="P73" s="36">
        <f>YIELD(P66,P67,P68,P69,P70,P71)</f>
        <v>0.06617048546134967</v>
      </c>
      <c r="Q73" s="73" t="s">
        <v>61</v>
      </c>
      <c r="R73" s="24">
        <f t="shared" si="8"/>
        <v>6</v>
      </c>
      <c r="S73" s="25">
        <f t="shared" si="6"/>
        <v>40</v>
      </c>
      <c r="T73" s="26">
        <v>0</v>
      </c>
      <c r="U73" s="27">
        <f t="shared" si="7"/>
        <v>40</v>
      </c>
    </row>
    <row r="74" spans="1:21" ht="13.5" thickBot="1">
      <c r="A74" s="1">
        <f>ROW()</f>
        <v>74</v>
      </c>
      <c r="B74" s="37">
        <v>2</v>
      </c>
      <c r="C74" s="121">
        <f>+$C$47/2*$C$46</f>
        <v>40</v>
      </c>
      <c r="D74" s="124">
        <f>+C74/((1+($C$48/2))^B74)</f>
        <v>36.281179138321995</v>
      </c>
      <c r="F74" s="40">
        <f>+D74/$D$94</f>
        <v>0.04144630482479871</v>
      </c>
      <c r="G74" s="41">
        <f aca="true" t="shared" si="9" ref="G74:G92">+F74*B74</f>
        <v>0.08289260964959742</v>
      </c>
      <c r="I74" s="85">
        <f aca="true" t="shared" si="10" ref="I74:I92">+B74+B74^2</f>
        <v>6</v>
      </c>
      <c r="J74" s="86">
        <f aca="true" t="shared" si="11" ref="J74:J92">+I74*D74</f>
        <v>217.687074829932</v>
      </c>
      <c r="M74" s="1">
        <f>ROW()</f>
        <v>74</v>
      </c>
      <c r="R74" s="24">
        <f t="shared" si="8"/>
        <v>7</v>
      </c>
      <c r="S74" s="25">
        <f t="shared" si="6"/>
        <v>40</v>
      </c>
      <c r="T74" s="26">
        <v>0</v>
      </c>
      <c r="U74" s="27">
        <f t="shared" si="7"/>
        <v>40</v>
      </c>
    </row>
    <row r="75" spans="1:21" ht="13.5" thickBot="1">
      <c r="A75" s="1">
        <f>ROW()</f>
        <v>75</v>
      </c>
      <c r="B75" s="37">
        <v>3</v>
      </c>
      <c r="C75" s="121">
        <f>+$C$47/2*$C$46</f>
        <v>40</v>
      </c>
      <c r="D75" s="124">
        <f>+C75/((1+($C$48/2))^B75)</f>
        <v>34.55350394125904</v>
      </c>
      <c r="F75" s="40">
        <f>+D75/$D$94</f>
        <v>0.039472671261713055</v>
      </c>
      <c r="G75" s="41">
        <f t="shared" si="9"/>
        <v>0.11841801378513916</v>
      </c>
      <c r="I75" s="85">
        <f t="shared" si="10"/>
        <v>12</v>
      </c>
      <c r="J75" s="86">
        <f t="shared" si="11"/>
        <v>414.64204729510845</v>
      </c>
      <c r="M75" s="1">
        <f>ROW()</f>
        <v>75</v>
      </c>
      <c r="O75" s="15" t="s">
        <v>39</v>
      </c>
      <c r="P75" s="16"/>
      <c r="Q75" s="16"/>
      <c r="R75" s="24">
        <f t="shared" si="8"/>
        <v>8</v>
      </c>
      <c r="S75" s="25">
        <f t="shared" si="6"/>
        <v>40</v>
      </c>
      <c r="T75" s="26">
        <v>0</v>
      </c>
      <c r="U75" s="27">
        <f t="shared" si="7"/>
        <v>40</v>
      </c>
    </row>
    <row r="76" spans="1:21" ht="13.5" thickBot="1">
      <c r="A76" s="1"/>
      <c r="B76" s="37">
        <v>4</v>
      </c>
      <c r="C76" s="121">
        <f>+$C$47/2*$C$46</f>
        <v>40</v>
      </c>
      <c r="D76" s="124">
        <f>+C76/((1+($C$48/2))^B76)</f>
        <v>32.90809899167528</v>
      </c>
      <c r="F76" s="40">
        <f>+D76/$D$94</f>
        <v>0.037593020249250535</v>
      </c>
      <c r="G76" s="41">
        <f t="shared" si="9"/>
        <v>0.15037208099700214</v>
      </c>
      <c r="I76" s="85">
        <f t="shared" si="10"/>
        <v>20</v>
      </c>
      <c r="J76" s="86">
        <f t="shared" si="11"/>
        <v>658.1619798335056</v>
      </c>
      <c r="M76" s="1">
        <f>ROW()</f>
        <v>76</v>
      </c>
      <c r="O76" s="122"/>
      <c r="P76" s="123"/>
      <c r="Q76" s="123"/>
      <c r="R76" s="24">
        <f aca="true" t="shared" si="12" ref="R76:R87">+R75+1</f>
        <v>9</v>
      </c>
      <c r="S76" s="25">
        <f t="shared" si="6"/>
        <v>40</v>
      </c>
      <c r="T76" s="26">
        <v>0</v>
      </c>
      <c r="U76" s="27">
        <f aca="true" t="shared" si="13" ref="U76:U87">+T76+S76</f>
        <v>40</v>
      </c>
    </row>
    <row r="77" spans="1:21" ht="12.75">
      <c r="A77" s="1">
        <f>ROW()</f>
        <v>77</v>
      </c>
      <c r="B77" s="37">
        <v>5</v>
      </c>
      <c r="C77" s="121">
        <f>+$C$47/2*$C$46</f>
        <v>40</v>
      </c>
      <c r="D77" s="124">
        <f>+C77/((1+($C$48/2))^B77)</f>
        <v>31.341046658738357</v>
      </c>
      <c r="F77" s="40">
        <f>+D77/$D$94</f>
        <v>0.03580287642785764</v>
      </c>
      <c r="G77" s="41">
        <f t="shared" si="9"/>
        <v>0.17901438213928822</v>
      </c>
      <c r="I77" s="85">
        <f t="shared" si="10"/>
        <v>30</v>
      </c>
      <c r="J77" s="86">
        <f t="shared" si="11"/>
        <v>940.2313997621507</v>
      </c>
      <c r="M77" s="1">
        <f>ROW()</f>
        <v>77</v>
      </c>
      <c r="R77" s="24">
        <f t="shared" si="12"/>
        <v>10</v>
      </c>
      <c r="S77" s="25">
        <f t="shared" si="6"/>
        <v>40</v>
      </c>
      <c r="T77" s="26">
        <v>0</v>
      </c>
      <c r="U77" s="27">
        <f t="shared" si="13"/>
        <v>40</v>
      </c>
    </row>
    <row r="78" spans="1:21" ht="12.75">
      <c r="A78" s="1">
        <f>ROW()</f>
        <v>78</v>
      </c>
      <c r="B78" s="37">
        <v>6</v>
      </c>
      <c r="C78" s="121">
        <f>+$C$47/2*$C$46</f>
        <v>40</v>
      </c>
      <c r="D78" s="124">
        <f>+C78/((1+($C$48/2))^B78)</f>
        <v>29.848615865465106</v>
      </c>
      <c r="F78" s="40">
        <f>+D78/$D$94</f>
        <v>0.03409797755034062</v>
      </c>
      <c r="G78" s="41">
        <f t="shared" si="9"/>
        <v>0.20458786530204373</v>
      </c>
      <c r="I78" s="85">
        <f t="shared" si="10"/>
        <v>42</v>
      </c>
      <c r="J78" s="86">
        <f t="shared" si="11"/>
        <v>1253.6418663495344</v>
      </c>
      <c r="M78" s="1">
        <f>ROW()</f>
        <v>78</v>
      </c>
      <c r="R78" s="24">
        <f t="shared" si="12"/>
        <v>11</v>
      </c>
      <c r="S78" s="25">
        <f t="shared" si="6"/>
        <v>40</v>
      </c>
      <c r="T78" s="26">
        <v>0</v>
      </c>
      <c r="U78" s="27">
        <f t="shared" si="13"/>
        <v>40</v>
      </c>
    </row>
    <row r="79" spans="1:21" ht="12.75">
      <c r="A79" s="1">
        <f>ROW()</f>
        <v>79</v>
      </c>
      <c r="B79" s="37">
        <v>7</v>
      </c>
      <c r="C79" s="121">
        <f>+$C$47/2*$C$46</f>
        <v>40</v>
      </c>
      <c r="D79" s="124">
        <f>+C79/((1+($C$48/2))^B79)</f>
        <v>28.42725320520486</v>
      </c>
      <c r="F79" s="40">
        <f>+D79/$D$94</f>
        <v>0.03247426433365773</v>
      </c>
      <c r="G79" s="41">
        <f t="shared" si="9"/>
        <v>0.2273198503356041</v>
      </c>
      <c r="I79" s="85">
        <f t="shared" si="10"/>
        <v>56</v>
      </c>
      <c r="J79" s="86">
        <f t="shared" si="11"/>
        <v>1591.926179491472</v>
      </c>
      <c r="M79" s="1">
        <f>ROW()</f>
        <v>79</v>
      </c>
      <c r="R79" s="24">
        <f t="shared" si="12"/>
        <v>12</v>
      </c>
      <c r="S79" s="25">
        <f t="shared" si="6"/>
        <v>40</v>
      </c>
      <c r="T79" s="26">
        <v>0</v>
      </c>
      <c r="U79" s="27">
        <f t="shared" si="13"/>
        <v>40</v>
      </c>
    </row>
    <row r="80" spans="1:21" ht="12.75">
      <c r="A80" s="1">
        <f>ROW()</f>
        <v>80</v>
      </c>
      <c r="B80" s="37">
        <v>8</v>
      </c>
      <c r="C80" s="121">
        <f>+$C$47/2*$C$46</f>
        <v>40</v>
      </c>
      <c r="D80" s="124">
        <f>+C80/((1+($C$48/2))^B80)</f>
        <v>27.07357448114749</v>
      </c>
      <c r="F80" s="40">
        <f>+D80/$D$94</f>
        <v>0.030927870793959745</v>
      </c>
      <c r="G80" s="41">
        <f t="shared" si="9"/>
        <v>0.24742296635167796</v>
      </c>
      <c r="I80" s="85">
        <f t="shared" si="10"/>
        <v>72</v>
      </c>
      <c r="J80" s="86">
        <f t="shared" si="11"/>
        <v>1949.2973626426192</v>
      </c>
      <c r="M80" s="1">
        <f>ROW()</f>
        <v>80</v>
      </c>
      <c r="R80" s="24">
        <f t="shared" si="12"/>
        <v>13</v>
      </c>
      <c r="S80" s="25">
        <f t="shared" si="6"/>
        <v>40</v>
      </c>
      <c r="T80" s="26">
        <v>0</v>
      </c>
      <c r="U80" s="27">
        <f t="shared" si="13"/>
        <v>40</v>
      </c>
    </row>
    <row r="81" spans="1:21" ht="12.75">
      <c r="A81" s="1">
        <f>ROW()</f>
        <v>81</v>
      </c>
      <c r="B81" s="37">
        <v>9</v>
      </c>
      <c r="C81" s="121">
        <f>+$C$47/2*$C$46</f>
        <v>40</v>
      </c>
      <c r="D81" s="124">
        <f>+C81/((1+($C$48/2))^B81)</f>
        <v>25.784356648711892</v>
      </c>
      <c r="F81" s="40">
        <f>+D81/$D$94</f>
        <v>0.029455115041866424</v>
      </c>
      <c r="G81" s="41">
        <f t="shared" si="9"/>
        <v>0.2650960353767978</v>
      </c>
      <c r="I81" s="85">
        <f t="shared" si="10"/>
        <v>90</v>
      </c>
      <c r="J81" s="86">
        <f t="shared" si="11"/>
        <v>2320.59209838407</v>
      </c>
      <c r="M81" s="1">
        <f>ROW()</f>
        <v>81</v>
      </c>
      <c r="R81" s="24">
        <f t="shared" si="12"/>
        <v>14</v>
      </c>
      <c r="S81" s="25">
        <f t="shared" si="6"/>
        <v>40</v>
      </c>
      <c r="T81" s="26">
        <v>0</v>
      </c>
      <c r="U81" s="27">
        <f t="shared" si="13"/>
        <v>40</v>
      </c>
    </row>
    <row r="82" spans="1:21" ht="12.75">
      <c r="A82" s="1">
        <f>ROW()</f>
        <v>82</v>
      </c>
      <c r="B82" s="37">
        <v>10</v>
      </c>
      <c r="C82" s="121">
        <f>+$C$47/2*$C$46</f>
        <v>40</v>
      </c>
      <c r="D82" s="124">
        <f>+C82/((1+($C$48/2))^B82)</f>
        <v>24.556530141630372</v>
      </c>
      <c r="F82" s="40">
        <f>+D82/$D$94</f>
        <v>0.028052490516063257</v>
      </c>
      <c r="G82" s="41">
        <f t="shared" si="9"/>
        <v>0.28052490516063255</v>
      </c>
      <c r="I82" s="85">
        <f t="shared" si="10"/>
        <v>110</v>
      </c>
      <c r="J82" s="86">
        <f t="shared" si="11"/>
        <v>2701.218315579341</v>
      </c>
      <c r="M82" s="1">
        <f>ROW()</f>
        <v>82</v>
      </c>
      <c r="R82" s="24">
        <f t="shared" si="12"/>
        <v>15</v>
      </c>
      <c r="S82" s="25">
        <f t="shared" si="6"/>
        <v>40</v>
      </c>
      <c r="T82" s="26">
        <v>0</v>
      </c>
      <c r="U82" s="27">
        <f t="shared" si="13"/>
        <v>40</v>
      </c>
    </row>
    <row r="83" spans="1:21" ht="12.75">
      <c r="A83" s="1">
        <f>ROW()</f>
        <v>83</v>
      </c>
      <c r="B83" s="37">
        <v>11</v>
      </c>
      <c r="C83" s="121">
        <f>+$C$47/2*$C$46</f>
        <v>40</v>
      </c>
      <c r="D83" s="124">
        <f>+C83/((1+($C$48/2))^B83)</f>
        <v>23.387171563457496</v>
      </c>
      <c r="F83" s="40">
        <f>+D83/$D$94</f>
        <v>0.02671665763434596</v>
      </c>
      <c r="G83" s="41">
        <f t="shared" si="9"/>
        <v>0.2938832339778055</v>
      </c>
      <c r="I83" s="85">
        <f t="shared" si="10"/>
        <v>132</v>
      </c>
      <c r="J83" s="86">
        <f t="shared" si="11"/>
        <v>3087.1066463763896</v>
      </c>
      <c r="M83" s="1">
        <f>ROW()</f>
        <v>83</v>
      </c>
      <c r="R83" s="24">
        <f t="shared" si="12"/>
        <v>16</v>
      </c>
      <c r="S83" s="25">
        <f t="shared" si="6"/>
        <v>40</v>
      </c>
      <c r="T83" s="26">
        <v>0</v>
      </c>
      <c r="U83" s="27">
        <f t="shared" si="13"/>
        <v>40</v>
      </c>
    </row>
    <row r="84" spans="1:21" ht="12.75">
      <c r="A84" s="1">
        <f>ROW()</f>
        <v>84</v>
      </c>
      <c r="B84" s="37">
        <v>12</v>
      </c>
      <c r="C84" s="121">
        <f>+$C$47/2*$C$46</f>
        <v>40</v>
      </c>
      <c r="D84" s="124">
        <f>+C84/((1+($C$48/2))^B84)</f>
        <v>22.27349672710238</v>
      </c>
      <c r="F84" s="40">
        <f>+D84/$D$94</f>
        <v>0.02544443584223425</v>
      </c>
      <c r="G84" s="41">
        <f t="shared" si="9"/>
        <v>0.305333230106811</v>
      </c>
      <c r="I84" s="85">
        <f t="shared" si="10"/>
        <v>156</v>
      </c>
      <c r="J84" s="86">
        <f t="shared" si="11"/>
        <v>3474.6654894279714</v>
      </c>
      <c r="M84" s="1">
        <f>ROW()</f>
        <v>84</v>
      </c>
      <c r="R84" s="24">
        <f t="shared" si="12"/>
        <v>17</v>
      </c>
      <c r="S84" s="25">
        <f t="shared" si="6"/>
        <v>40</v>
      </c>
      <c r="T84" s="26">
        <v>0</v>
      </c>
      <c r="U84" s="27">
        <f t="shared" si="13"/>
        <v>40</v>
      </c>
    </row>
    <row r="85" spans="1:21" ht="12.75">
      <c r="A85" s="1">
        <f>ROW()</f>
        <v>85</v>
      </c>
      <c r="B85" s="37">
        <v>13</v>
      </c>
      <c r="C85" s="121">
        <f>+$C$47/2*$C$46</f>
        <v>40</v>
      </c>
      <c r="D85" s="124">
        <f>+C85/((1+($C$48/2))^B85)</f>
        <v>21.212854025811787</v>
      </c>
      <c r="F85" s="40">
        <f>+D85/$D$94</f>
        <v>0.02423279604022309</v>
      </c>
      <c r="G85" s="41">
        <f t="shared" si="9"/>
        <v>0.3150263485229002</v>
      </c>
      <c r="I85" s="85">
        <f t="shared" si="10"/>
        <v>182</v>
      </c>
      <c r="J85" s="86">
        <f t="shared" si="11"/>
        <v>3860.739432697745</v>
      </c>
      <c r="M85" s="1">
        <f>ROW()</f>
        <v>85</v>
      </c>
      <c r="R85" s="24">
        <f t="shared" si="12"/>
        <v>18</v>
      </c>
      <c r="S85" s="25">
        <f t="shared" si="6"/>
        <v>40</v>
      </c>
      <c r="T85" s="26">
        <v>0</v>
      </c>
      <c r="U85" s="27">
        <f t="shared" si="13"/>
        <v>40</v>
      </c>
    </row>
    <row r="86" spans="1:21" ht="12.75">
      <c r="A86" s="1">
        <f>ROW()</f>
        <v>86</v>
      </c>
      <c r="B86" s="37">
        <v>14</v>
      </c>
      <c r="C86" s="121">
        <f>+$C$47/2*$C$46</f>
        <v>40</v>
      </c>
      <c r="D86" s="124">
        <f>+C86/((1+($C$48/2))^B86)</f>
        <v>20.202718119820755</v>
      </c>
      <c r="F86" s="40">
        <f>+D86/$D$94</f>
        <v>0.023078853371641044</v>
      </c>
      <c r="G86" s="41">
        <f t="shared" si="9"/>
        <v>0.32310394720297464</v>
      </c>
      <c r="I86" s="85">
        <f t="shared" si="10"/>
        <v>210</v>
      </c>
      <c r="J86" s="86">
        <f t="shared" si="11"/>
        <v>4242.570805162359</v>
      </c>
      <c r="M86" s="1">
        <f>ROW()</f>
        <v>86</v>
      </c>
      <c r="R86" s="24">
        <f t="shared" si="12"/>
        <v>19</v>
      </c>
      <c r="S86" s="25">
        <f t="shared" si="6"/>
        <v>40</v>
      </c>
      <c r="T86" s="26">
        <v>0</v>
      </c>
      <c r="U86" s="27">
        <f t="shared" si="13"/>
        <v>40</v>
      </c>
    </row>
    <row r="87" spans="1:21" ht="13.5" thickBot="1">
      <c r="A87" s="1">
        <f>ROW()</f>
        <v>87</v>
      </c>
      <c r="B87" s="37">
        <v>15</v>
      </c>
      <c r="C87" s="121">
        <f>+$C$47/2*$C$46</f>
        <v>40</v>
      </c>
      <c r="D87" s="124">
        <f>+C87/((1+($C$48/2))^B87)</f>
        <v>19.24068392363881</v>
      </c>
      <c r="F87" s="40">
        <f>+D87/$D$94</f>
        <v>0.021979860353943847</v>
      </c>
      <c r="G87" s="41">
        <f t="shared" si="9"/>
        <v>0.3296979053091577</v>
      </c>
      <c r="I87" s="85">
        <f t="shared" si="10"/>
        <v>240</v>
      </c>
      <c r="J87" s="86">
        <f t="shared" si="11"/>
        <v>4617.764141673314</v>
      </c>
      <c r="M87" s="1">
        <f>ROW()</f>
        <v>87</v>
      </c>
      <c r="R87" s="24">
        <f t="shared" si="12"/>
        <v>20</v>
      </c>
      <c r="S87" s="25">
        <f t="shared" si="6"/>
        <v>40</v>
      </c>
      <c r="T87" s="26">
        <v>1000</v>
      </c>
      <c r="U87" s="27">
        <f t="shared" si="13"/>
        <v>1040</v>
      </c>
    </row>
    <row r="88" spans="1:22" ht="13.5" thickBot="1">
      <c r="A88" s="1">
        <f>ROW()</f>
        <v>88</v>
      </c>
      <c r="B88" s="37">
        <v>16</v>
      </c>
      <c r="C88" s="121">
        <f>+$C$47/2*$C$46</f>
        <v>40</v>
      </c>
      <c r="D88" s="124">
        <f>+C88/((1+($C$48/2))^B88)</f>
        <v>18.32446087965601</v>
      </c>
      <c r="F88" s="40">
        <f>+D88/$D$94</f>
        <v>0.020933200337089376</v>
      </c>
      <c r="G88" s="41">
        <f t="shared" si="9"/>
        <v>0.33493120539343</v>
      </c>
      <c r="I88" s="85">
        <f t="shared" si="10"/>
        <v>272</v>
      </c>
      <c r="J88" s="86">
        <f t="shared" si="11"/>
        <v>4984.253359266434</v>
      </c>
      <c r="M88" s="1">
        <f>ROW()</f>
        <v>88</v>
      </c>
      <c r="R88" s="42" t="s">
        <v>48</v>
      </c>
      <c r="S88" s="43"/>
      <c r="T88" s="43"/>
      <c r="U88" s="44">
        <f>IRR(U67:U87)</f>
        <v>0.03308524273127289</v>
      </c>
      <c r="V88" s="45">
        <f>+U88*2</f>
        <v>0.06617048546254578</v>
      </c>
    </row>
    <row r="89" spans="1:10" ht="12.75">
      <c r="A89" s="1">
        <f>ROW()</f>
        <v>89</v>
      </c>
      <c r="B89" s="37">
        <v>17</v>
      </c>
      <c r="C89" s="121">
        <f>+$C$47/2*$C$46</f>
        <v>40</v>
      </c>
      <c r="D89" s="124">
        <f>+C89/((1+($C$48/2))^B89)</f>
        <v>17.451867504434293</v>
      </c>
      <c r="F89" s="40">
        <f>+D89/$D$94</f>
        <v>0.019936381273418454</v>
      </c>
      <c r="G89" s="41">
        <f t="shared" si="9"/>
        <v>0.3389184816481137</v>
      </c>
      <c r="I89" s="85">
        <f t="shared" si="10"/>
        <v>306</v>
      </c>
      <c r="J89" s="86">
        <f t="shared" si="11"/>
        <v>5340.271456356893</v>
      </c>
    </row>
    <row r="90" spans="1:10" ht="12.75">
      <c r="A90" s="1">
        <f>ROW()</f>
        <v>90</v>
      </c>
      <c r="B90" s="37">
        <v>18</v>
      </c>
      <c r="C90" s="121">
        <f>+$C$47/2*$C$46</f>
        <v>40</v>
      </c>
      <c r="D90" s="124">
        <f>+C90/((1+($C$48/2))^B90)</f>
        <v>16.620826194699326</v>
      </c>
      <c r="F90" s="40">
        <f>+D90/$D$94</f>
        <v>0.01898702978420805</v>
      </c>
      <c r="G90" s="41">
        <f t="shared" si="9"/>
        <v>0.3417665361157449</v>
      </c>
      <c r="I90" s="85">
        <f t="shared" si="10"/>
        <v>342</v>
      </c>
      <c r="J90" s="86">
        <f t="shared" si="11"/>
        <v>5684.32255858717</v>
      </c>
    </row>
    <row r="91" spans="1:10" ht="12.75">
      <c r="A91" s="1">
        <f>ROW()</f>
        <v>91</v>
      </c>
      <c r="B91" s="37">
        <v>19</v>
      </c>
      <c r="C91" s="121">
        <f>+$C$47/2*$C$46</f>
        <v>40</v>
      </c>
      <c r="D91" s="124">
        <f>+C91/((1+($C$48/2))^B91)</f>
        <v>15.829358280666025</v>
      </c>
      <c r="F91" s="40">
        <f>+D91/$D$94</f>
        <v>0.01808288550876957</v>
      </c>
      <c r="G91" s="41">
        <f t="shared" si="9"/>
        <v>0.34357482466662187</v>
      </c>
      <c r="I91" s="85">
        <f t="shared" si="10"/>
        <v>380</v>
      </c>
      <c r="J91" s="86">
        <f t="shared" si="11"/>
        <v>6015.156146653089</v>
      </c>
    </row>
    <row r="92" spans="1:10" ht="12.75">
      <c r="A92" s="1">
        <f>ROW()</f>
        <v>92</v>
      </c>
      <c r="B92" s="37">
        <v>20</v>
      </c>
      <c r="C92" s="121">
        <f>+$C$47/2*$C$46+1000</f>
        <v>1040</v>
      </c>
      <c r="D92" s="124">
        <f>+C92/((1+($C$48/2))^B92)</f>
        <v>391.96506218792064</v>
      </c>
      <c r="F92" s="40">
        <f>+D92/$D$94</f>
        <v>0.4477666887885799</v>
      </c>
      <c r="G92" s="41">
        <f t="shared" si="9"/>
        <v>8.955333775771598</v>
      </c>
      <c r="I92" s="85">
        <f t="shared" si="10"/>
        <v>420</v>
      </c>
      <c r="J92" s="86">
        <f t="shared" si="11"/>
        <v>164625.32611892666</v>
      </c>
    </row>
    <row r="93" spans="1:10" ht="13.5" thickBot="1">
      <c r="A93" s="1">
        <f>ROW()</f>
        <v>93</v>
      </c>
      <c r="B93" s="37"/>
      <c r="C93" s="121"/>
      <c r="D93" s="124"/>
      <c r="F93" s="40"/>
      <c r="J93" s="86">
        <f>SUM(J73:J92)</f>
        <v>218055.76495548623</v>
      </c>
    </row>
    <row r="94" spans="1:10" ht="13.5" thickBot="1">
      <c r="A94" s="1">
        <f>ROW()</f>
        <v>94</v>
      </c>
      <c r="C94" s="90" t="s">
        <v>97</v>
      </c>
      <c r="D94" s="125">
        <f>SUM(D73:D92)</f>
        <v>875.3778965746001</v>
      </c>
      <c r="F94" s="90" t="s">
        <v>96</v>
      </c>
      <c r="G94" s="82">
        <f>SUM(G73:G92)</f>
        <v>13.680736817878978</v>
      </c>
      <c r="I94" s="89" t="s">
        <v>95</v>
      </c>
      <c r="J94" s="100">
        <f>+(J93/(1+C48/2)^2)/(D94*2^2)</f>
        <v>56.485035644685894</v>
      </c>
    </row>
    <row r="95" spans="1:7" ht="13.5" thickBot="1">
      <c r="A95" s="1">
        <f>ROW()</f>
        <v>95</v>
      </c>
      <c r="F95" s="90" t="s">
        <v>110</v>
      </c>
      <c r="G95" s="82">
        <f>+G94/2</f>
        <v>6.840368408939489</v>
      </c>
    </row>
    <row r="96" ht="12.75">
      <c r="A96" s="1">
        <f>ROW()</f>
        <v>96</v>
      </c>
    </row>
    <row r="97" spans="1:11" ht="12.75">
      <c r="A97" s="1">
        <f>ROW()</f>
        <v>97</v>
      </c>
      <c r="B97" s="99" t="s">
        <v>0</v>
      </c>
      <c r="C97" s="99" t="s">
        <v>1</v>
      </c>
      <c r="D97" s="99" t="s">
        <v>2</v>
      </c>
      <c r="E97" s="99" t="s">
        <v>3</v>
      </c>
      <c r="F97" s="99" t="s">
        <v>4</v>
      </c>
      <c r="G97" s="99" t="s">
        <v>5</v>
      </c>
      <c r="H97" s="99" t="s">
        <v>6</v>
      </c>
      <c r="I97" s="99" t="s">
        <v>104</v>
      </c>
      <c r="J97" s="99" t="s">
        <v>105</v>
      </c>
      <c r="K97" s="99" t="s">
        <v>7</v>
      </c>
    </row>
    <row r="98" spans="1:11" ht="18">
      <c r="A98" s="1">
        <f>ROW()</f>
        <v>98</v>
      </c>
      <c r="B98" s="110" t="s">
        <v>113</v>
      </c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2" ht="15.75">
      <c r="A99" s="1">
        <f>ROW()</f>
        <v>99</v>
      </c>
      <c r="B99" s="46" t="s">
        <v>71</v>
      </c>
    </row>
    <row r="100" spans="1:10" ht="15.75">
      <c r="A100" s="1">
        <f>ROW()</f>
        <v>100</v>
      </c>
      <c r="B100" s="46"/>
      <c r="E100" s="47"/>
      <c r="J100" s="54"/>
    </row>
    <row r="101" spans="1:10" ht="15">
      <c r="A101" s="1">
        <f>ROW()</f>
        <v>101</v>
      </c>
      <c r="B101" s="48" t="s">
        <v>74</v>
      </c>
      <c r="D101" s="52">
        <v>1000</v>
      </c>
      <c r="E101" s="47"/>
      <c r="G101" s="50" t="s">
        <v>73</v>
      </c>
      <c r="H101" s="50"/>
      <c r="I101" s="51">
        <v>0.01</v>
      </c>
      <c r="J101" s="50"/>
    </row>
    <row r="102" spans="2:10" ht="15">
      <c r="B102" s="48" t="s">
        <v>76</v>
      </c>
      <c r="D102" s="58">
        <v>0.08</v>
      </c>
      <c r="E102" s="53"/>
      <c r="G102" s="48" t="s">
        <v>75</v>
      </c>
      <c r="H102" s="48"/>
      <c r="I102" s="54">
        <f>-(D106+PV((D104+I101)/D105,D103*D105,D102*D101/D105,D101))</f>
        <v>-54.63363384852448</v>
      </c>
      <c r="J102" s="79">
        <f>+I102/D106</f>
        <v>-0.062411484299876405</v>
      </c>
    </row>
    <row r="103" spans="2:10" ht="15">
      <c r="B103" s="48" t="s">
        <v>77</v>
      </c>
      <c r="D103" s="62">
        <v>10</v>
      </c>
      <c r="E103" s="59"/>
      <c r="G103" s="48"/>
      <c r="H103" s="48"/>
      <c r="I103" s="48"/>
      <c r="J103" s="78"/>
    </row>
    <row r="104" spans="1:10" ht="15">
      <c r="A104" s="1">
        <f>ROW()</f>
        <v>104</v>
      </c>
      <c r="B104" s="48" t="s">
        <v>79</v>
      </c>
      <c r="D104" s="58">
        <v>0.1</v>
      </c>
      <c r="E104" s="80"/>
      <c r="G104" s="48" t="s">
        <v>78</v>
      </c>
      <c r="H104" s="48"/>
      <c r="I104" s="54">
        <f>(-D109*I101*D106)</f>
        <v>-57.02768866297899</v>
      </c>
      <c r="J104" s="54"/>
    </row>
    <row r="105" spans="1:10" ht="15.75" thickBot="1">
      <c r="A105" s="1">
        <f>ROW()</f>
        <v>105</v>
      </c>
      <c r="B105" s="48" t="s">
        <v>81</v>
      </c>
      <c r="D105" s="62">
        <v>2</v>
      </c>
      <c r="E105" s="81"/>
      <c r="G105" s="48" t="s">
        <v>80</v>
      </c>
      <c r="H105" s="48"/>
      <c r="I105" s="63">
        <f>0.5*D110*I101^2*D106</f>
        <v>2.4722875845293224</v>
      </c>
      <c r="J105" s="64"/>
    </row>
    <row r="106" spans="1:10" ht="15.75" thickBot="1">
      <c r="A106" s="1">
        <f>ROW()</f>
        <v>106</v>
      </c>
      <c r="B106" s="116" t="s">
        <v>72</v>
      </c>
      <c r="C106" s="117"/>
      <c r="D106" s="119">
        <f>-PV(D104/D105,D103*D105,D102*D101/D105,D101)</f>
        <v>875.3778965746001</v>
      </c>
      <c r="E106" s="53">
        <v>2</v>
      </c>
      <c r="G106" s="48" t="s">
        <v>82</v>
      </c>
      <c r="H106" s="48"/>
      <c r="I106" s="65">
        <f>+I104+I105</f>
        <v>-54.55540107844966</v>
      </c>
      <c r="J106" s="66"/>
    </row>
    <row r="107" spans="1:10" ht="15.75" thickBot="1">
      <c r="A107" s="1">
        <f>ROW()</f>
        <v>107</v>
      </c>
      <c r="E107" s="67"/>
      <c r="G107" s="48"/>
      <c r="H107" s="48"/>
      <c r="I107" s="48"/>
      <c r="J107" s="74"/>
    </row>
    <row r="108" spans="1:10" ht="15.75" thickBot="1">
      <c r="A108" s="1">
        <f>ROW()</f>
        <v>108</v>
      </c>
      <c r="B108" s="116" t="s">
        <v>83</v>
      </c>
      <c r="C108" s="117"/>
      <c r="D108" s="118">
        <f>+G95</f>
        <v>6.840368408939489</v>
      </c>
      <c r="E108" s="67"/>
      <c r="G108" s="48" t="s">
        <v>84</v>
      </c>
      <c r="H108" s="48"/>
      <c r="I108" s="49">
        <f>-PV((D104+I101)/D105,D103*D105,D102*D101/D105,D101)</f>
        <v>820.7442627260756</v>
      </c>
      <c r="J108" s="76"/>
    </row>
    <row r="109" spans="1:11" ht="15.75" thickBot="1">
      <c r="A109" s="1">
        <f>ROW()</f>
        <v>109</v>
      </c>
      <c r="B109" s="48" t="s">
        <v>85</v>
      </c>
      <c r="D109" s="68">
        <f>+D108/(1+D104/D105)</f>
        <v>6.51463657994237</v>
      </c>
      <c r="E109" s="67"/>
      <c r="G109" s="48" t="s">
        <v>86</v>
      </c>
      <c r="H109" s="48"/>
      <c r="I109" s="69">
        <f>+D106+I106</f>
        <v>820.8224954961504</v>
      </c>
      <c r="J109" s="77"/>
      <c r="K109" s="75"/>
    </row>
    <row r="110" spans="1:11" ht="15.75" thickBot="1">
      <c r="A110" s="1">
        <f>ROW()</f>
        <v>110</v>
      </c>
      <c r="B110" s="116" t="s">
        <v>87</v>
      </c>
      <c r="C110" s="117"/>
      <c r="D110" s="118">
        <f>+J94</f>
        <v>56.485035644685894</v>
      </c>
      <c r="E110" s="67"/>
      <c r="G110" s="48" t="s">
        <v>88</v>
      </c>
      <c r="H110" s="48"/>
      <c r="I110" s="49">
        <f>+I109-I108</f>
        <v>0.07823277007480556</v>
      </c>
      <c r="J110" s="76"/>
      <c r="K110" s="75"/>
    </row>
    <row r="111" spans="1:11" ht="15">
      <c r="A111" s="1">
        <f>ROW()</f>
        <v>111</v>
      </c>
      <c r="B111" s="48"/>
      <c r="C111" s="48"/>
      <c r="D111" s="48"/>
      <c r="E111" s="74"/>
      <c r="F111" s="48"/>
      <c r="G111" s="48"/>
      <c r="H111" s="48"/>
      <c r="J111" s="75"/>
      <c r="K111" s="75"/>
    </row>
    <row r="112" ht="12.75">
      <c r="A112" s="1">
        <f>ROW()</f>
        <v>112</v>
      </c>
    </row>
    <row r="113" ht="12.75">
      <c r="A113" s="1">
        <f>ROW()</f>
        <v>113</v>
      </c>
    </row>
    <row r="114" ht="12.75">
      <c r="A114" s="1">
        <f>ROW()</f>
        <v>114</v>
      </c>
    </row>
    <row r="115" ht="12.75">
      <c r="A115" s="1">
        <f>ROW()</f>
        <v>115</v>
      </c>
    </row>
    <row r="116" ht="12.75">
      <c r="A116" s="1">
        <f>ROW()</f>
        <v>116</v>
      </c>
    </row>
    <row r="117" ht="12.75">
      <c r="A117" s="1">
        <f>ROW()</f>
        <v>117</v>
      </c>
    </row>
    <row r="118" ht="13.5" thickBot="1">
      <c r="A118" s="1">
        <f>ROW()</f>
        <v>118</v>
      </c>
    </row>
    <row r="119" spans="14:43" ht="15">
      <c r="N119" s="48"/>
      <c r="AM119" s="55"/>
      <c r="AN119" s="56"/>
      <c r="AO119" s="56"/>
      <c r="AP119" s="56"/>
      <c r="AQ119" s="57"/>
    </row>
    <row r="120" spans="14:43" ht="15">
      <c r="N120" s="48"/>
      <c r="AM120" s="60"/>
      <c r="AN120" s="38"/>
      <c r="AO120" s="38"/>
      <c r="AP120" s="38"/>
      <c r="AQ120" s="61"/>
    </row>
    <row r="121" spans="14:43" ht="15">
      <c r="N121" s="48"/>
      <c r="AM121" s="60"/>
      <c r="AN121" s="38"/>
      <c r="AO121" s="38"/>
      <c r="AP121" s="38"/>
      <c r="AQ121" s="61"/>
    </row>
    <row r="122" spans="39:43" ht="12.75">
      <c r="AM122" s="60"/>
      <c r="AN122" s="38"/>
      <c r="AO122" s="38"/>
      <c r="AP122" s="38"/>
      <c r="AQ122" s="61"/>
    </row>
    <row r="123" spans="39:43" ht="12.75">
      <c r="AM123" s="60"/>
      <c r="AN123" s="38"/>
      <c r="AO123" s="38"/>
      <c r="AP123" s="38"/>
      <c r="AQ123" s="61"/>
    </row>
    <row r="124" spans="39:43" ht="12.75">
      <c r="AM124" s="60"/>
      <c r="AN124" s="38"/>
      <c r="AO124" s="38"/>
      <c r="AP124" s="38"/>
      <c r="AQ124" s="61"/>
    </row>
    <row r="125" spans="39:43" ht="12.75">
      <c r="AM125" s="60"/>
      <c r="AN125" s="38"/>
      <c r="AO125" s="38"/>
      <c r="AP125" s="38"/>
      <c r="AQ125" s="61"/>
    </row>
  </sheetData>
  <sheetProtection/>
  <printOptions/>
  <pageMargins left="0.75" right="0.75" top="1" bottom="1" header="0.5" footer="0.5"/>
  <pageSetup horizontalDpi="600" verticalDpi="600" orientation="portrait" scale="65" r:id="rId2"/>
  <rowBreaks count="1" manualBreakCount="1">
    <brk id="71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Administrator</cp:lastModifiedBy>
  <cp:lastPrinted>2010-12-29T15:35:07Z</cp:lastPrinted>
  <dcterms:created xsi:type="dcterms:W3CDTF">2009-12-10T15:45:13Z</dcterms:created>
  <dcterms:modified xsi:type="dcterms:W3CDTF">2018-10-15T20:24:10Z</dcterms:modified>
  <cp:category/>
  <cp:version/>
  <cp:contentType/>
  <cp:contentStatus/>
</cp:coreProperties>
</file>