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Valuation" sheetId="1" r:id="rId1"/>
    <sheet name="Sheet3" sheetId="2" r:id="rId2"/>
    <sheet name="Sheet4" sheetId="3" r:id="rId3"/>
    <sheet name="Sheet5" sheetId="4" r:id="rId4"/>
  </sheets>
  <externalReferences>
    <externalReference r:id="rId7"/>
  </externalReferences>
  <definedNames>
    <definedName name="_xlnm.Print_Area" localSheetId="0">'Valuation'!$A$1:$L$126</definedName>
  </definedNames>
  <calcPr fullCalcOnLoad="1"/>
</workbook>
</file>

<file path=xl/sharedStrings.xml><?xml version="1.0" encoding="utf-8"?>
<sst xmlns="http://schemas.openxmlformats.org/spreadsheetml/2006/main" count="175" uniqueCount="147">
  <si>
    <t>Operating Expenses</t>
  </si>
  <si>
    <t>EBITDA</t>
  </si>
  <si>
    <t>CORPORATE VALUATIONS - Public Companies</t>
  </si>
  <si>
    <t xml:space="preserve">METHOD #1 - Stock Price </t>
  </si>
  <si>
    <t>Calculations</t>
  </si>
  <si>
    <t>SP</t>
  </si>
  <si>
    <t>SO</t>
  </si>
  <si>
    <t>SP * SO = EQ</t>
  </si>
  <si>
    <t>D</t>
  </si>
  <si>
    <t>EQ + D = EV</t>
  </si>
  <si>
    <t>Company</t>
  </si>
  <si>
    <t>Symbol</t>
  </si>
  <si>
    <t>Stocks Outstanding ($mm)</t>
  </si>
  <si>
    <t>Equity Value
 ($mm)</t>
  </si>
  <si>
    <t>Enterprise Value 
($mm)</t>
  </si>
  <si>
    <t>Choice Hotels International</t>
  </si>
  <si>
    <t>CHH</t>
  </si>
  <si>
    <t>Fairmont Hotels &amp; Resorts</t>
  </si>
  <si>
    <t>FHR</t>
  </si>
  <si>
    <t>Hilton Hotels</t>
  </si>
  <si>
    <t>HLT</t>
  </si>
  <si>
    <t>John Q. Hammons Hotels</t>
  </si>
  <si>
    <t>JQH</t>
  </si>
  <si>
    <t>La-Quinta Corp</t>
  </si>
  <si>
    <t>LQI</t>
  </si>
  <si>
    <t>Marcus Corporation</t>
  </si>
  <si>
    <t>MCS</t>
  </si>
  <si>
    <t>Marriott International</t>
  </si>
  <si>
    <t>MAR</t>
  </si>
  <si>
    <t>Orient Express Hotels Ltd</t>
  </si>
  <si>
    <t>OEH</t>
  </si>
  <si>
    <t xml:space="preserve">METHOD #2 - EBITDA Multiples </t>
  </si>
  <si>
    <t>E</t>
  </si>
  <si>
    <t>EV / E</t>
  </si>
  <si>
    <t>EBITDA Multiple</t>
  </si>
  <si>
    <t>Average</t>
  </si>
  <si>
    <t>EBITDA * Average Multiple</t>
  </si>
  <si>
    <t>METHOD #3 - Transaction Comparative Analysis</t>
  </si>
  <si>
    <t>AP</t>
  </si>
  <si>
    <t>AP * SO = EQ</t>
  </si>
  <si>
    <t>Date Anouncement</t>
  </si>
  <si>
    <t xml:space="preserve">Target </t>
  </si>
  <si>
    <t>Acquisition Price /Share</t>
  </si>
  <si>
    <t>Shares Outstanding</t>
  </si>
  <si>
    <t>Equity Value ($mm)</t>
  </si>
  <si>
    <t>Total Debt ($mm)</t>
  </si>
  <si>
    <t>Enterpised Value (EV)</t>
  </si>
  <si>
    <t>EBITDA (last reported)</t>
  </si>
  <si>
    <t>METHOD #4 - Discount Cash Flow Valuation Analysis</t>
  </si>
  <si>
    <t>Discout Cash Flow Valuation Analysis</t>
  </si>
  <si>
    <t>Input Actual</t>
  </si>
  <si>
    <t>EXIT YEAR</t>
  </si>
  <si>
    <t>Assumptions</t>
  </si>
  <si>
    <t>Revenues</t>
  </si>
  <si>
    <t xml:space="preserve">  Revenue Growth</t>
  </si>
  <si>
    <t>Cost of Revenues (CoGS)</t>
  </si>
  <si>
    <t xml:space="preserve"> EBIT</t>
  </si>
  <si>
    <t>Less Taxes / % of EBIT</t>
  </si>
  <si>
    <t>Plus Depreciation</t>
  </si>
  <si>
    <t>Cash Flow</t>
  </si>
  <si>
    <t>Terminal Value</t>
  </si>
  <si>
    <t xml:space="preserve">  EBITDA Multiple Method</t>
  </si>
  <si>
    <t xml:space="preserve">  Perpetuity Method </t>
  </si>
  <si>
    <t>Equity Cash Flows</t>
  </si>
  <si>
    <t>x</t>
  </si>
  <si>
    <t>PV Table</t>
  </si>
  <si>
    <t>=</t>
  </si>
  <si>
    <t>PV (1) =</t>
  </si>
  <si>
    <t>PV (2) =</t>
  </si>
  <si>
    <t>PV (3) =</t>
  </si>
  <si>
    <t>PV (4) =</t>
  </si>
  <si>
    <t>PV (5) =</t>
  </si>
  <si>
    <t>NPV=</t>
  </si>
  <si>
    <t>Enteprise Value =</t>
  </si>
  <si>
    <t>PV of Equity + PV of Debt</t>
  </si>
  <si>
    <t xml:space="preserve">PV of Equity = </t>
  </si>
  <si>
    <t xml:space="preserve">+ PV of Debt = </t>
  </si>
  <si>
    <t>ENTEPRISE VALUATION ANALYSIS</t>
  </si>
  <si>
    <t>Method #2</t>
  </si>
  <si>
    <t>Method #3</t>
  </si>
  <si>
    <t>Method #4</t>
  </si>
  <si>
    <t xml:space="preserve">Less Capex </t>
  </si>
  <si>
    <t>Equity Value at Terminal</t>
  </si>
  <si>
    <t>EV</t>
  </si>
  <si>
    <t>Debt</t>
  </si>
  <si>
    <t>Eq Value</t>
  </si>
  <si>
    <t>Shares Outs</t>
  </si>
  <si>
    <t>Stock Price</t>
  </si>
  <si>
    <t>Method #1 - Current Market Price</t>
  </si>
  <si>
    <t>Acquirer</t>
  </si>
  <si>
    <t>Less Debt Outstanding (at Exit)</t>
  </si>
  <si>
    <t>Cash</t>
  </si>
  <si>
    <t xml:space="preserve">  Average of other methods</t>
  </si>
  <si>
    <t>Stocks Outstanding (000)</t>
  </si>
  <si>
    <t>Equity Value (000)</t>
  </si>
  <si>
    <t>Debt  (000)</t>
  </si>
  <si>
    <t>Enterprise Value 
(000)</t>
  </si>
  <si>
    <t>EBITDA (000)</t>
  </si>
  <si>
    <t>Beta</t>
  </si>
  <si>
    <t>PNK</t>
  </si>
  <si>
    <t>MGM Mirage</t>
  </si>
  <si>
    <t>MGM</t>
  </si>
  <si>
    <t>Las Vegas Sands</t>
  </si>
  <si>
    <t>LVS</t>
  </si>
  <si>
    <t>Station Casinos</t>
  </si>
  <si>
    <t>Boyd Gaming</t>
  </si>
  <si>
    <t>BYD</t>
  </si>
  <si>
    <t>GAMING COMPARABLES</t>
  </si>
  <si>
    <t>Ca</t>
  </si>
  <si>
    <t>EQ + D + Ca = EV</t>
  </si>
  <si>
    <t>Cash
($mm)</t>
  </si>
  <si>
    <t>Harrah's</t>
  </si>
  <si>
    <t>Texas Pacific Group/Apollo</t>
  </si>
  <si>
    <t>Argosy Baton Rouge</t>
  </si>
  <si>
    <t>Columbia Sussex</t>
  </si>
  <si>
    <t>5/11/2005</t>
  </si>
  <si>
    <t>Reno Hilton (Ceasars)</t>
  </si>
  <si>
    <t>Grand Siera Resort</t>
  </si>
  <si>
    <t>3/23/2005</t>
  </si>
  <si>
    <t>MotorCity (Mandalay)</t>
  </si>
  <si>
    <t>Marion</t>
  </si>
  <si>
    <t>02/04/2005</t>
  </si>
  <si>
    <t>Golden Nuggett</t>
  </si>
  <si>
    <t>Landry's</t>
  </si>
  <si>
    <t>11/03/2004</t>
  </si>
  <si>
    <t>Argosy Gaming</t>
  </si>
  <si>
    <t>Penn National</t>
  </si>
  <si>
    <t>10/25/2004</t>
  </si>
  <si>
    <t>Mandalay Resort</t>
  </si>
  <si>
    <t>07/15/2004</t>
  </si>
  <si>
    <t>Caesars</t>
  </si>
  <si>
    <t>Pinnacle Entertainment</t>
  </si>
  <si>
    <t>10/30/2007</t>
  </si>
  <si>
    <t>CtW Investment</t>
  </si>
  <si>
    <t>-  PV of Cash =</t>
  </si>
  <si>
    <t>Wynn Resorts</t>
  </si>
  <si>
    <t>Outliers</t>
  </si>
  <si>
    <t>Penn National Gaming</t>
  </si>
  <si>
    <t>PENN</t>
  </si>
  <si>
    <t>WYNN</t>
  </si>
  <si>
    <t>(2015 EBITDA x Current EBITDA Multiple)</t>
  </si>
  <si>
    <t>(2016 Cash Flow / Discount Rate - 2016 Growth)</t>
  </si>
  <si>
    <t>(5% per year payment)</t>
  </si>
  <si>
    <t>Debt (ST&amp;LT)
($mm)
as of 12/31/12</t>
  </si>
  <si>
    <t>Cash
 ($mm)
as of 
12/31/12</t>
  </si>
  <si>
    <t>Stock Price (as of 11/18/2013)</t>
  </si>
  <si>
    <t>LTM 9/2013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</si>
</sst>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0\x"/>
    <numFmt numFmtId="174" formatCode="0.0%"/>
    <numFmt numFmtId="175" formatCode="0.000%"/>
    <numFmt numFmtId="176" formatCode="_(* #,##0.000_);_(* \(#,##0.000\);_(* &quot;-&quot;??_);_(@_)"/>
    <numFmt numFmtId="177" formatCode="0.0\x"/>
    <numFmt numFmtId="178" formatCode="_(* #,##0.0000000_);_(* \(#,##0.0000000\);_(* &quot;-&quot;??_);_(@_)"/>
    <numFmt numFmtId="179" formatCode="_(* #,##0.0_);_(* \(#,##0.0\);_(* &quot;-&quot;??_);_(@_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0.0"/>
  </numFmts>
  <fonts count="55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Arial"/>
      <family val="2"/>
    </font>
    <font>
      <b/>
      <u val="singleAccounting"/>
      <sz val="10"/>
      <color indexed="12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  <font>
      <b/>
      <i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42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6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 quotePrefix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4" fillId="33" borderId="11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44" fontId="2" fillId="0" borderId="13" xfId="44" applyFont="1" applyBorder="1" applyAlignment="1">
      <alignment/>
    </xf>
    <xf numFmtId="176" fontId="2" fillId="0" borderId="13" xfId="42" applyNumberFormat="1" applyFont="1" applyBorder="1" applyAlignment="1">
      <alignment/>
    </xf>
    <xf numFmtId="43" fontId="2" fillId="0" borderId="13" xfId="42" applyNumberFormat="1" applyFont="1" applyBorder="1" applyAlignment="1">
      <alignment/>
    </xf>
    <xf numFmtId="43" fontId="2" fillId="0" borderId="14" xfId="42" applyNumberFormat="1" applyFont="1" applyBorder="1" applyAlignment="1">
      <alignment/>
    </xf>
    <xf numFmtId="43" fontId="3" fillId="33" borderId="15" xfId="42" applyNumberFormat="1" applyFont="1" applyFill="1" applyBorder="1" applyAlignment="1">
      <alignment/>
    </xf>
    <xf numFmtId="0" fontId="8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44" fontId="2" fillId="0" borderId="10" xfId="44" applyFont="1" applyBorder="1" applyAlignment="1">
      <alignment/>
    </xf>
    <xf numFmtId="176" fontId="2" fillId="0" borderId="10" xfId="42" applyNumberFormat="1" applyFont="1" applyBorder="1" applyAlignment="1">
      <alignment/>
    </xf>
    <xf numFmtId="43" fontId="2" fillId="0" borderId="17" xfId="42" applyNumberFormat="1" applyFont="1" applyBorder="1" applyAlignment="1">
      <alignment/>
    </xf>
    <xf numFmtId="43" fontId="3" fillId="33" borderId="18" xfId="42" applyNumberFormat="1" applyFont="1" applyFill="1" applyBorder="1" applyAlignment="1">
      <alignment/>
    </xf>
    <xf numFmtId="44" fontId="2" fillId="0" borderId="10" xfId="44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3" borderId="11" xfId="0" applyFont="1" applyFill="1" applyBorder="1" applyAlignment="1">
      <alignment wrapText="1"/>
    </xf>
    <xf numFmtId="173" fontId="3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33" borderId="19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right"/>
    </xf>
    <xf numFmtId="9" fontId="0" fillId="0" borderId="0" xfId="0" applyNumberFormat="1" applyAlignment="1">
      <alignment/>
    </xf>
    <xf numFmtId="172" fontId="0" fillId="0" borderId="0" xfId="42" applyNumberFormat="1" applyFont="1" applyBorder="1" applyAlignment="1">
      <alignment/>
    </xf>
    <xf numFmtId="172" fontId="0" fillId="0" borderId="21" xfId="42" applyNumberFormat="1" applyFont="1" applyBorder="1" applyAlignment="1">
      <alignment/>
    </xf>
    <xf numFmtId="174" fontId="0" fillId="0" borderId="0" xfId="0" applyNumberFormat="1" applyAlignment="1">
      <alignment/>
    </xf>
    <xf numFmtId="174" fontId="2" fillId="0" borderId="0" xfId="59" applyNumberFormat="1" applyFont="1" applyBorder="1" applyAlignment="1">
      <alignment/>
    </xf>
    <xf numFmtId="174" fontId="2" fillId="0" borderId="21" xfId="59" applyNumberFormat="1" applyFont="1" applyBorder="1" applyAlignment="1">
      <alignment/>
    </xf>
    <xf numFmtId="172" fontId="4" fillId="0" borderId="22" xfId="42" applyNumberFormat="1" applyFont="1" applyBorder="1" applyAlignment="1">
      <alignment/>
    </xf>
    <xf numFmtId="172" fontId="4" fillId="0" borderId="23" xfId="42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10" fillId="0" borderId="0" xfId="0" applyFont="1" applyAlignment="1">
      <alignment/>
    </xf>
    <xf numFmtId="177" fontId="0" fillId="0" borderId="0" xfId="0" applyNumberFormat="1" applyBorder="1" applyAlignment="1">
      <alignment/>
    </xf>
    <xf numFmtId="0" fontId="0" fillId="0" borderId="0" xfId="0" applyBorder="1" applyAlignment="1" quotePrefix="1">
      <alignment/>
    </xf>
    <xf numFmtId="172" fontId="0" fillId="0" borderId="21" xfId="0" applyNumberFormat="1" applyBorder="1" applyAlignment="1">
      <alignment/>
    </xf>
    <xf numFmtId="175" fontId="0" fillId="0" borderId="0" xfId="0" applyNumberFormat="1" applyBorder="1" applyAlignment="1">
      <alignment/>
    </xf>
    <xf numFmtId="172" fontId="0" fillId="0" borderId="22" xfId="42" applyNumberFormat="1" applyFont="1" applyBorder="1" applyAlignment="1">
      <alignment/>
    </xf>
    <xf numFmtId="172" fontId="0" fillId="0" borderId="0" xfId="0" applyNumberFormat="1" applyBorder="1" applyAlignment="1">
      <alignment/>
    </xf>
    <xf numFmtId="178" fontId="4" fillId="0" borderId="0" xfId="42" applyNumberFormat="1" applyFont="1" applyBorder="1" applyAlignment="1">
      <alignment horizontal="right"/>
    </xf>
    <xf numFmtId="178" fontId="4" fillId="0" borderId="21" xfId="42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78" fontId="4" fillId="0" borderId="0" xfId="42" applyNumberFormat="1" applyFont="1" applyBorder="1" applyAlignment="1">
      <alignment horizontal="center"/>
    </xf>
    <xf numFmtId="6" fontId="4" fillId="0" borderId="0" xfId="0" applyNumberFormat="1" applyFont="1" applyAlignment="1">
      <alignment/>
    </xf>
    <xf numFmtId="43" fontId="0" fillId="0" borderId="0" xfId="0" applyNumberFormat="1" applyAlignment="1">
      <alignment/>
    </xf>
    <xf numFmtId="6" fontId="4" fillId="0" borderId="23" xfId="0" applyNumberFormat="1" applyFont="1" applyBorder="1" applyAlignment="1">
      <alignment/>
    </xf>
    <xf numFmtId="0" fontId="0" fillId="0" borderId="0" xfId="0" applyAlignment="1" quotePrefix="1">
      <alignment/>
    </xf>
    <xf numFmtId="6" fontId="4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6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172" fontId="4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172" fontId="0" fillId="0" borderId="30" xfId="42" applyNumberFormat="1" applyFont="1" applyBorder="1" applyAlignment="1">
      <alignment/>
    </xf>
    <xf numFmtId="172" fontId="0" fillId="0" borderId="15" xfId="42" applyNumberFormat="1" applyFont="1" applyBorder="1" applyAlignment="1">
      <alignment/>
    </xf>
    <xf numFmtId="172" fontId="2" fillId="0" borderId="13" xfId="42" applyNumberFormat="1" applyFont="1" applyBorder="1" applyAlignment="1">
      <alignment/>
    </xf>
    <xf numFmtId="172" fontId="3" fillId="33" borderId="18" xfId="42" applyNumberFormat="1" applyFont="1" applyFill="1" applyBorder="1" applyAlignment="1">
      <alignment/>
    </xf>
    <xf numFmtId="172" fontId="0" fillId="0" borderId="30" xfId="0" applyNumberFormat="1" applyBorder="1" applyAlignment="1">
      <alignment/>
    </xf>
    <xf numFmtId="172" fontId="0" fillId="0" borderId="31" xfId="0" applyNumberFormat="1" applyBorder="1" applyAlignment="1">
      <alignment/>
    </xf>
    <xf numFmtId="172" fontId="4" fillId="0" borderId="23" xfId="0" applyNumberFormat="1" applyFont="1" applyBorder="1" applyAlignment="1">
      <alignment/>
    </xf>
    <xf numFmtId="0" fontId="11" fillId="0" borderId="24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27" xfId="0" applyFont="1" applyBorder="1" applyAlignment="1">
      <alignment/>
    </xf>
    <xf numFmtId="44" fontId="0" fillId="0" borderId="15" xfId="44" applyNumberFormat="1" applyFont="1" applyBorder="1" applyAlignment="1">
      <alignment/>
    </xf>
    <xf numFmtId="44" fontId="4" fillId="0" borderId="34" xfId="44" applyNumberFormat="1" applyFont="1" applyBorder="1" applyAlignment="1">
      <alignment/>
    </xf>
    <xf numFmtId="43" fontId="2" fillId="0" borderId="30" xfId="42" applyNumberFormat="1" applyFont="1" applyBorder="1" applyAlignment="1">
      <alignment/>
    </xf>
    <xf numFmtId="43" fontId="2" fillId="0" borderId="31" xfId="42" applyNumberFormat="1" applyFont="1" applyBorder="1" applyAlignment="1">
      <alignment/>
    </xf>
    <xf numFmtId="0" fontId="9" fillId="34" borderId="35" xfId="0" applyFont="1" applyFill="1" applyBorder="1" applyAlignment="1">
      <alignment horizontal="left" vertical="center" wrapText="1"/>
    </xf>
    <xf numFmtId="0" fontId="0" fillId="34" borderId="36" xfId="0" applyFill="1" applyBorder="1" applyAlignment="1">
      <alignment/>
    </xf>
    <xf numFmtId="172" fontId="4" fillId="34" borderId="37" xfId="0" applyNumberFormat="1" applyFont="1" applyFill="1" applyBorder="1" applyAlignment="1">
      <alignment/>
    </xf>
    <xf numFmtId="0" fontId="4" fillId="34" borderId="38" xfId="0" applyFont="1" applyFill="1" applyBorder="1" applyAlignment="1">
      <alignment/>
    </xf>
    <xf numFmtId="0" fontId="4" fillId="34" borderId="39" xfId="0" applyFont="1" applyFill="1" applyBorder="1" applyAlignment="1">
      <alignment/>
    </xf>
    <xf numFmtId="0" fontId="4" fillId="34" borderId="39" xfId="0" applyFont="1" applyFill="1" applyBorder="1" applyAlignment="1">
      <alignment horizontal="center" wrapText="1"/>
    </xf>
    <xf numFmtId="0" fontId="4" fillId="34" borderId="40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right"/>
    </xf>
    <xf numFmtId="0" fontId="4" fillId="34" borderId="41" xfId="0" applyFont="1" applyFill="1" applyBorder="1" applyAlignment="1">
      <alignment horizontal="center"/>
    </xf>
    <xf numFmtId="178" fontId="15" fillId="0" borderId="0" xfId="42" applyNumberFormat="1" applyFont="1" applyBorder="1" applyAlignment="1">
      <alignment/>
    </xf>
    <xf numFmtId="178" fontId="15" fillId="0" borderId="42" xfId="42" applyNumberFormat="1" applyFont="1" applyBorder="1" applyAlignment="1">
      <alignment/>
    </xf>
    <xf numFmtId="172" fontId="0" fillId="0" borderId="21" xfId="42" applyNumberFormat="1" applyFont="1" applyBorder="1" applyAlignment="1">
      <alignment/>
    </xf>
    <xf numFmtId="0" fontId="4" fillId="34" borderId="2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44" fontId="2" fillId="35" borderId="10" xfId="44" applyFont="1" applyFill="1" applyBorder="1" applyAlignment="1">
      <alignment/>
    </xf>
    <xf numFmtId="172" fontId="2" fillId="35" borderId="10" xfId="42" applyNumberFormat="1" applyFont="1" applyFill="1" applyBorder="1" applyAlignment="1">
      <alignment/>
    </xf>
    <xf numFmtId="172" fontId="2" fillId="35" borderId="17" xfId="42" applyNumberFormat="1" applyFont="1" applyFill="1" applyBorder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 quotePrefix="1">
      <alignment horizontal="left"/>
    </xf>
    <xf numFmtId="0" fontId="0" fillId="0" borderId="0" xfId="0" applyFill="1" applyAlignment="1" quotePrefix="1">
      <alignment horizontal="left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9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44" fontId="14" fillId="0" borderId="10" xfId="44" applyFont="1" applyBorder="1" applyAlignment="1">
      <alignment/>
    </xf>
    <xf numFmtId="172" fontId="14" fillId="0" borderId="10" xfId="42" applyNumberFormat="1" applyFont="1" applyBorder="1" applyAlignment="1">
      <alignment/>
    </xf>
    <xf numFmtId="172" fontId="2" fillId="0" borderId="10" xfId="42" applyNumberFormat="1" applyFont="1" applyBorder="1" applyAlignment="1">
      <alignment/>
    </xf>
    <xf numFmtId="172" fontId="14" fillId="0" borderId="31" xfId="42" applyNumberFormat="1" applyFont="1" applyBorder="1" applyAlignment="1">
      <alignment/>
    </xf>
    <xf numFmtId="172" fontId="3" fillId="0" borderId="18" xfId="42" applyNumberFormat="1" applyFont="1" applyFill="1" applyBorder="1" applyAlignment="1">
      <alignment/>
    </xf>
    <xf numFmtId="172" fontId="14" fillId="0" borderId="17" xfId="42" applyNumberFormat="1" applyFont="1" applyBorder="1" applyAlignment="1">
      <alignment/>
    </xf>
    <xf numFmtId="173" fontId="3" fillId="33" borderId="18" xfId="42" applyNumberFormat="1" applyFont="1" applyFill="1" applyBorder="1" applyAlignment="1">
      <alignment/>
    </xf>
    <xf numFmtId="173" fontId="14" fillId="0" borderId="43" xfId="42" applyNumberFormat="1" applyFont="1" applyBorder="1" applyAlignment="1">
      <alignment/>
    </xf>
    <xf numFmtId="0" fontId="0" fillId="36" borderId="0" xfId="0" applyFill="1" applyAlignment="1">
      <alignment/>
    </xf>
    <xf numFmtId="0" fontId="4" fillId="33" borderId="38" xfId="0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center" wrapText="1"/>
    </xf>
    <xf numFmtId="173" fontId="0" fillId="0" borderId="0" xfId="0" applyNumberFormat="1" applyBorder="1" applyAlignment="1">
      <alignment/>
    </xf>
    <xf numFmtId="172" fontId="17" fillId="0" borderId="21" xfId="42" applyNumberFormat="1" applyFont="1" applyBorder="1" applyAlignment="1">
      <alignment/>
    </xf>
    <xf numFmtId="174" fontId="0" fillId="0" borderId="0" xfId="59" applyNumberFormat="1" applyFont="1" applyAlignment="1">
      <alignment/>
    </xf>
    <xf numFmtId="172" fontId="17" fillId="0" borderId="15" xfId="42" applyNumberFormat="1" applyFont="1" applyBorder="1" applyAlignment="1">
      <alignment/>
    </xf>
    <xf numFmtId="174" fontId="17" fillId="0" borderId="0" xfId="0" applyNumberFormat="1" applyFont="1" applyAlignment="1">
      <alignment/>
    </xf>
    <xf numFmtId="9" fontId="17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5" fontId="18" fillId="34" borderId="20" xfId="0" applyNumberFormat="1" applyFont="1" applyFill="1" applyBorder="1" applyAlignment="1">
      <alignment horizontal="right"/>
    </xf>
    <xf numFmtId="15" fontId="18" fillId="34" borderId="42" xfId="0" applyNumberFormat="1" applyFont="1" applyFill="1" applyBorder="1" applyAlignment="1">
      <alignment horizontal="right"/>
    </xf>
    <xf numFmtId="172" fontId="0" fillId="0" borderId="0" xfId="0" applyNumberFormat="1" applyBorder="1" applyAlignment="1" quotePrefix="1">
      <alignment/>
    </xf>
    <xf numFmtId="172" fontId="17" fillId="0" borderId="44" xfId="0" applyNumberFormat="1" applyFont="1" applyBorder="1" applyAlignment="1">
      <alignment/>
    </xf>
    <xf numFmtId="0" fontId="4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73" fontId="3" fillId="0" borderId="0" xfId="0" applyNumberFormat="1" applyFont="1" applyFill="1" applyAlignment="1">
      <alignment/>
    </xf>
    <xf numFmtId="10" fontId="17" fillId="0" borderId="0" xfId="0" applyNumberFormat="1" applyFont="1" applyAlignment="1">
      <alignment/>
    </xf>
    <xf numFmtId="0" fontId="19" fillId="0" borderId="0" xfId="0" applyFont="1" applyAlignment="1">
      <alignment/>
    </xf>
    <xf numFmtId="176" fontId="18" fillId="0" borderId="37" xfId="42" applyNumberFormat="1" applyFont="1" applyBorder="1" applyAlignment="1">
      <alignment horizontal="center"/>
    </xf>
    <xf numFmtId="172" fontId="2" fillId="0" borderId="10" xfId="42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1" fillId="0" borderId="0" xfId="0" applyFont="1" applyFill="1" applyAlignment="1">
      <alignment/>
    </xf>
    <xf numFmtId="14" fontId="2" fillId="0" borderId="12" xfId="0" applyNumberFormat="1" applyFont="1" applyBorder="1" applyAlignment="1">
      <alignment horizontal="left"/>
    </xf>
    <xf numFmtId="44" fontId="14" fillId="0" borderId="13" xfId="44" applyFont="1" applyBorder="1" applyAlignment="1">
      <alignment/>
    </xf>
    <xf numFmtId="173" fontId="2" fillId="0" borderId="45" xfId="0" applyNumberFormat="1" applyFont="1" applyBorder="1" applyAlignment="1">
      <alignment/>
    </xf>
    <xf numFmtId="0" fontId="2" fillId="0" borderId="12" xfId="0" applyFont="1" applyBorder="1" applyAlignment="1" quotePrefix="1">
      <alignment/>
    </xf>
    <xf numFmtId="14" fontId="2" fillId="0" borderId="16" xfId="0" applyNumberFormat="1" applyFont="1" applyBorder="1" applyAlignment="1" quotePrefix="1">
      <alignment/>
    </xf>
    <xf numFmtId="173" fontId="2" fillId="0" borderId="46" xfId="0" applyNumberFormat="1" applyFont="1" applyBorder="1" applyAlignment="1">
      <alignment/>
    </xf>
    <xf numFmtId="0" fontId="2" fillId="0" borderId="33" xfId="0" applyFont="1" applyBorder="1" applyAlignment="1" quotePrefix="1">
      <alignment/>
    </xf>
    <xf numFmtId="0" fontId="2" fillId="0" borderId="12" xfId="0" applyFont="1" applyBorder="1" applyAlignment="1">
      <alignment/>
    </xf>
    <xf numFmtId="0" fontId="2" fillId="0" borderId="47" xfId="0" applyFont="1" applyBorder="1" applyAlignment="1" quotePrefix="1">
      <alignment/>
    </xf>
    <xf numFmtId="0" fontId="2" fillId="0" borderId="48" xfId="0" applyFont="1" applyBorder="1" applyAlignment="1">
      <alignment/>
    </xf>
    <xf numFmtId="44" fontId="2" fillId="0" borderId="48" xfId="44" applyFont="1" applyBorder="1" applyAlignment="1">
      <alignment/>
    </xf>
    <xf numFmtId="172" fontId="2" fillId="0" borderId="48" xfId="42" applyNumberFormat="1" applyFont="1" applyBorder="1" applyAlignment="1">
      <alignment/>
    </xf>
    <xf numFmtId="44" fontId="2" fillId="0" borderId="48" xfId="0" applyNumberFormat="1" applyFont="1" applyBorder="1" applyAlignment="1">
      <alignment/>
    </xf>
    <xf numFmtId="173" fontId="2" fillId="0" borderId="49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35" xfId="0" applyFont="1" applyBorder="1" applyAlignment="1">
      <alignment/>
    </xf>
    <xf numFmtId="173" fontId="3" fillId="0" borderId="37" xfId="0" applyNumberFormat="1" applyFont="1" applyBorder="1" applyAlignment="1">
      <alignment/>
    </xf>
    <xf numFmtId="14" fontId="2" fillId="0" borderId="12" xfId="0" applyNumberFormat="1" applyFont="1" applyBorder="1" applyAlignment="1" quotePrefix="1">
      <alignment horizontal="left"/>
    </xf>
    <xf numFmtId="181" fontId="2" fillId="0" borderId="13" xfId="0" applyNumberFormat="1" applyFont="1" applyBorder="1" applyAlignment="1">
      <alignment/>
    </xf>
    <xf numFmtId="181" fontId="2" fillId="0" borderId="13" xfId="44" applyNumberFormat="1" applyFont="1" applyBorder="1" applyAlignment="1">
      <alignment/>
    </xf>
    <xf numFmtId="181" fontId="2" fillId="0" borderId="10" xfId="0" applyNumberFormat="1" applyFont="1" applyBorder="1" applyAlignment="1">
      <alignment/>
    </xf>
    <xf numFmtId="181" fontId="2" fillId="0" borderId="10" xfId="44" applyNumberFormat="1" applyFont="1" applyBorder="1" applyAlignment="1">
      <alignment/>
    </xf>
    <xf numFmtId="0" fontId="0" fillId="0" borderId="50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ill="1" applyAlignment="1" quotePrefix="1">
      <alignment/>
    </xf>
    <xf numFmtId="14" fontId="18" fillId="34" borderId="42" xfId="0" applyNumberFormat="1" applyFont="1" applyFill="1" applyBorder="1" applyAlignment="1" quotePrefix="1">
      <alignment horizontal="right"/>
    </xf>
    <xf numFmtId="15" fontId="18" fillId="34" borderId="28" xfId="0" applyNumberFormat="1" applyFont="1" applyFill="1" applyBorder="1" applyAlignment="1">
      <alignment horizontal="right"/>
    </xf>
    <xf numFmtId="172" fontId="0" fillId="0" borderId="32" xfId="42" applyNumberFormat="1" applyFont="1" applyBorder="1" applyAlignment="1">
      <alignment/>
    </xf>
    <xf numFmtId="172" fontId="4" fillId="0" borderId="51" xfId="42" applyNumberFormat="1" applyFont="1" applyBorder="1" applyAlignment="1">
      <alignment/>
    </xf>
    <xf numFmtId="172" fontId="17" fillId="0" borderId="0" xfId="0" applyNumberFormat="1" applyFont="1" applyBorder="1" applyAlignment="1">
      <alignment/>
    </xf>
    <xf numFmtId="0" fontId="8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/>
    </xf>
    <xf numFmtId="44" fontId="2" fillId="34" borderId="13" xfId="44" applyFont="1" applyFill="1" applyBorder="1" applyAlignment="1">
      <alignment/>
    </xf>
    <xf numFmtId="172" fontId="2" fillId="34" borderId="13" xfId="42" applyNumberFormat="1" applyFont="1" applyFill="1" applyBorder="1" applyAlignment="1">
      <alignment/>
    </xf>
    <xf numFmtId="172" fontId="2" fillId="34" borderId="14" xfId="42" applyNumberFormat="1" applyFont="1" applyFill="1" applyBorder="1" applyAlignment="1">
      <alignment/>
    </xf>
    <xf numFmtId="172" fontId="2" fillId="34" borderId="30" xfId="42" applyNumberFormat="1" applyFont="1" applyFill="1" applyBorder="1" applyAlignment="1">
      <alignment/>
    </xf>
    <xf numFmtId="172" fontId="3" fillId="34" borderId="15" xfId="42" applyNumberFormat="1" applyFont="1" applyFill="1" applyBorder="1" applyAlignment="1">
      <alignment/>
    </xf>
    <xf numFmtId="173" fontId="3" fillId="34" borderId="15" xfId="42" applyNumberFormat="1" applyFont="1" applyFill="1" applyBorder="1" applyAlignment="1">
      <alignment/>
    </xf>
    <xf numFmtId="173" fontId="14" fillId="34" borderId="52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96</xdr:row>
      <xdr:rowOff>9525</xdr:rowOff>
    </xdr:from>
    <xdr:to>
      <xdr:col>5</xdr:col>
      <xdr:colOff>400050</xdr:colOff>
      <xdr:row>98</xdr:row>
      <xdr:rowOff>95250</xdr:rowOff>
    </xdr:to>
    <xdr:sp>
      <xdr:nvSpPr>
        <xdr:cNvPr id="1" name="Line 1"/>
        <xdr:cNvSpPr>
          <a:spLocks/>
        </xdr:cNvSpPr>
      </xdr:nvSpPr>
      <xdr:spPr>
        <a:xfrm>
          <a:off x="6000750" y="170021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19050</xdr:rowOff>
    </xdr:from>
    <xdr:to>
      <xdr:col>6</xdr:col>
      <xdr:colOff>352425</xdr:colOff>
      <xdr:row>99</xdr:row>
      <xdr:rowOff>104775</xdr:rowOff>
    </xdr:to>
    <xdr:sp>
      <xdr:nvSpPr>
        <xdr:cNvPr id="2" name="Line 2"/>
        <xdr:cNvSpPr>
          <a:spLocks/>
        </xdr:cNvSpPr>
      </xdr:nvSpPr>
      <xdr:spPr>
        <a:xfrm>
          <a:off x="6800850" y="170116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96</xdr:row>
      <xdr:rowOff>19050</xdr:rowOff>
    </xdr:from>
    <xdr:to>
      <xdr:col>7</xdr:col>
      <xdr:colOff>400050</xdr:colOff>
      <xdr:row>100</xdr:row>
      <xdr:rowOff>76200</xdr:rowOff>
    </xdr:to>
    <xdr:sp>
      <xdr:nvSpPr>
        <xdr:cNvPr id="3" name="Line 3"/>
        <xdr:cNvSpPr>
          <a:spLocks/>
        </xdr:cNvSpPr>
      </xdr:nvSpPr>
      <xdr:spPr>
        <a:xfrm>
          <a:off x="7562850" y="170116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96</xdr:row>
      <xdr:rowOff>38100</xdr:rowOff>
    </xdr:from>
    <xdr:to>
      <xdr:col>8</xdr:col>
      <xdr:colOff>400050</xdr:colOff>
      <xdr:row>101</xdr:row>
      <xdr:rowOff>95250</xdr:rowOff>
    </xdr:to>
    <xdr:sp>
      <xdr:nvSpPr>
        <xdr:cNvPr id="4" name="Line 4"/>
        <xdr:cNvSpPr>
          <a:spLocks/>
        </xdr:cNvSpPr>
      </xdr:nvSpPr>
      <xdr:spPr>
        <a:xfrm>
          <a:off x="8420100" y="170307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57150</xdr:rowOff>
    </xdr:from>
    <xdr:to>
      <xdr:col>4</xdr:col>
      <xdr:colOff>476250</xdr:colOff>
      <xdr:row>97</xdr:row>
      <xdr:rowOff>57150</xdr:rowOff>
    </xdr:to>
    <xdr:sp>
      <xdr:nvSpPr>
        <xdr:cNvPr id="5" name="Line 6"/>
        <xdr:cNvSpPr>
          <a:spLocks/>
        </xdr:cNvSpPr>
      </xdr:nvSpPr>
      <xdr:spPr>
        <a:xfrm flipH="1">
          <a:off x="4810125" y="17211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95250</xdr:rowOff>
    </xdr:from>
    <xdr:to>
      <xdr:col>5</xdr:col>
      <xdr:colOff>400050</xdr:colOff>
      <xdr:row>98</xdr:row>
      <xdr:rowOff>95250</xdr:rowOff>
    </xdr:to>
    <xdr:sp>
      <xdr:nvSpPr>
        <xdr:cNvPr id="6" name="Line 7"/>
        <xdr:cNvSpPr>
          <a:spLocks/>
        </xdr:cNvSpPr>
      </xdr:nvSpPr>
      <xdr:spPr>
        <a:xfrm flipH="1">
          <a:off x="4810125" y="174117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95250</xdr:rowOff>
    </xdr:from>
    <xdr:to>
      <xdr:col>6</xdr:col>
      <xdr:colOff>352425</xdr:colOff>
      <xdr:row>99</xdr:row>
      <xdr:rowOff>95250</xdr:rowOff>
    </xdr:to>
    <xdr:sp>
      <xdr:nvSpPr>
        <xdr:cNvPr id="7" name="Line 8"/>
        <xdr:cNvSpPr>
          <a:spLocks/>
        </xdr:cNvSpPr>
      </xdr:nvSpPr>
      <xdr:spPr>
        <a:xfrm flipH="1">
          <a:off x="4810125" y="175736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101</xdr:row>
      <xdr:rowOff>85725</xdr:rowOff>
    </xdr:from>
    <xdr:to>
      <xdr:col>8</xdr:col>
      <xdr:colOff>428625</xdr:colOff>
      <xdr:row>101</xdr:row>
      <xdr:rowOff>85725</xdr:rowOff>
    </xdr:to>
    <xdr:sp>
      <xdr:nvSpPr>
        <xdr:cNvPr id="8" name="Line 9"/>
        <xdr:cNvSpPr>
          <a:spLocks/>
        </xdr:cNvSpPr>
      </xdr:nvSpPr>
      <xdr:spPr>
        <a:xfrm flipH="1">
          <a:off x="4829175" y="17887950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94</xdr:row>
      <xdr:rowOff>104775</xdr:rowOff>
    </xdr:from>
    <xdr:to>
      <xdr:col>4</xdr:col>
      <xdr:colOff>0</xdr:colOff>
      <xdr:row>94</xdr:row>
      <xdr:rowOff>104775</xdr:rowOff>
    </xdr:to>
    <xdr:sp>
      <xdr:nvSpPr>
        <xdr:cNvPr id="9" name="Line 11"/>
        <xdr:cNvSpPr>
          <a:spLocks/>
        </xdr:cNvSpPr>
      </xdr:nvSpPr>
      <xdr:spPr>
        <a:xfrm>
          <a:off x="3943350" y="167354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96</xdr:row>
      <xdr:rowOff>0</xdr:rowOff>
    </xdr:from>
    <xdr:to>
      <xdr:col>4</xdr:col>
      <xdr:colOff>466725</xdr:colOff>
      <xdr:row>97</xdr:row>
      <xdr:rowOff>57150</xdr:rowOff>
    </xdr:to>
    <xdr:sp>
      <xdr:nvSpPr>
        <xdr:cNvPr id="10" name="Line 12"/>
        <xdr:cNvSpPr>
          <a:spLocks/>
        </xdr:cNvSpPr>
      </xdr:nvSpPr>
      <xdr:spPr>
        <a:xfrm>
          <a:off x="5276850" y="16992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6</xdr:row>
      <xdr:rowOff>190500</xdr:rowOff>
    </xdr:from>
    <xdr:to>
      <xdr:col>2</xdr:col>
      <xdr:colOff>523875</xdr:colOff>
      <xdr:row>6</xdr:row>
      <xdr:rowOff>190500</xdr:rowOff>
    </xdr:to>
    <xdr:sp>
      <xdr:nvSpPr>
        <xdr:cNvPr id="11" name="Line 14"/>
        <xdr:cNvSpPr>
          <a:spLocks/>
        </xdr:cNvSpPr>
      </xdr:nvSpPr>
      <xdr:spPr>
        <a:xfrm>
          <a:off x="1666875" y="13335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17</xdr:row>
      <xdr:rowOff>152400</xdr:rowOff>
    </xdr:from>
    <xdr:to>
      <xdr:col>8</xdr:col>
      <xdr:colOff>161925</xdr:colOff>
      <xdr:row>20</xdr:row>
      <xdr:rowOff>142875</xdr:rowOff>
    </xdr:to>
    <xdr:sp>
      <xdr:nvSpPr>
        <xdr:cNvPr id="12" name="Line 15"/>
        <xdr:cNvSpPr>
          <a:spLocks/>
        </xdr:cNvSpPr>
      </xdr:nvSpPr>
      <xdr:spPr>
        <a:xfrm flipV="1">
          <a:off x="3933825" y="2505075"/>
          <a:ext cx="42481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26</xdr:row>
      <xdr:rowOff>161925</xdr:rowOff>
    </xdr:from>
    <xdr:to>
      <xdr:col>2</xdr:col>
      <xdr:colOff>523875</xdr:colOff>
      <xdr:row>26</xdr:row>
      <xdr:rowOff>161925</xdr:rowOff>
    </xdr:to>
    <xdr:sp>
      <xdr:nvSpPr>
        <xdr:cNvPr id="13" name="Line 20"/>
        <xdr:cNvSpPr>
          <a:spLocks/>
        </xdr:cNvSpPr>
      </xdr:nvSpPr>
      <xdr:spPr>
        <a:xfrm>
          <a:off x="1666875" y="41338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45</xdr:row>
      <xdr:rowOff>171450</xdr:rowOff>
    </xdr:from>
    <xdr:to>
      <xdr:col>3</xdr:col>
      <xdr:colOff>0</xdr:colOff>
      <xdr:row>45</xdr:row>
      <xdr:rowOff>171450</xdr:rowOff>
    </xdr:to>
    <xdr:sp>
      <xdr:nvSpPr>
        <xdr:cNvPr id="14" name="Line 21"/>
        <xdr:cNvSpPr>
          <a:spLocks/>
        </xdr:cNvSpPr>
      </xdr:nvSpPr>
      <xdr:spPr>
        <a:xfrm>
          <a:off x="714375" y="7696200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771525</xdr:colOff>
      <xdr:row>204</xdr:row>
      <xdr:rowOff>85725</xdr:rowOff>
    </xdr:from>
    <xdr:to>
      <xdr:col>13</xdr:col>
      <xdr:colOff>228600</xdr:colOff>
      <xdr:row>204</xdr:row>
      <xdr:rowOff>85725</xdr:rowOff>
    </xdr:to>
    <xdr:sp>
      <xdr:nvSpPr>
        <xdr:cNvPr id="15" name="Line 22"/>
        <xdr:cNvSpPr>
          <a:spLocks/>
        </xdr:cNvSpPr>
      </xdr:nvSpPr>
      <xdr:spPr>
        <a:xfrm flipH="1">
          <a:off x="9753600" y="349758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885825</xdr:colOff>
      <xdr:row>100</xdr:row>
      <xdr:rowOff>66675</xdr:rowOff>
    </xdr:from>
    <xdr:to>
      <xdr:col>7</xdr:col>
      <xdr:colOff>409575</xdr:colOff>
      <xdr:row>100</xdr:row>
      <xdr:rowOff>76200</xdr:rowOff>
    </xdr:to>
    <xdr:sp>
      <xdr:nvSpPr>
        <xdr:cNvPr id="16" name="Line 23"/>
        <xdr:cNvSpPr>
          <a:spLocks/>
        </xdr:cNvSpPr>
      </xdr:nvSpPr>
      <xdr:spPr>
        <a:xfrm flipH="1">
          <a:off x="4791075" y="17706975"/>
          <a:ext cx="2781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81</xdr:row>
      <xdr:rowOff>95250</xdr:rowOff>
    </xdr:from>
    <xdr:to>
      <xdr:col>9</xdr:col>
      <xdr:colOff>304800</xdr:colOff>
      <xdr:row>87</xdr:row>
      <xdr:rowOff>85725</xdr:rowOff>
    </xdr:to>
    <xdr:sp>
      <xdr:nvSpPr>
        <xdr:cNvPr id="17" name="Line 24"/>
        <xdr:cNvSpPr>
          <a:spLocks/>
        </xdr:cNvSpPr>
      </xdr:nvSpPr>
      <xdr:spPr>
        <a:xfrm flipV="1">
          <a:off x="9020175" y="14725650"/>
          <a:ext cx="2667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leritymoment.com/Documents%20and%20Settings\cdroussiotis\My%20Documents\Personal\FDU\Valuation%20Material\Valuation%20Spreadsheet%20update%2011-07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hod #1"/>
      <sheetName val="Method #2"/>
      <sheetName val="Method #3"/>
      <sheetName val="Method #4 DCF -Public"/>
      <sheetName val="Valuation Summary"/>
      <sheetName val="Method #4 DCF-Private"/>
    </sheetNames>
    <sheetDataSet>
      <sheetData sheetId="1">
        <row r="36">
          <cell r="E36">
            <v>508610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5"/>
  <sheetViews>
    <sheetView tabSelected="1" zoomScalePageLayoutView="0" workbookViewId="0" topLeftCell="A67">
      <selection activeCell="E96" sqref="E96"/>
    </sheetView>
  </sheetViews>
  <sheetFormatPr defaultColWidth="9.140625" defaultRowHeight="12.75"/>
  <cols>
    <col min="1" max="1" width="13.57421875" style="0" customWidth="1"/>
    <col min="2" max="2" width="29.140625" style="0" customWidth="1"/>
    <col min="3" max="3" width="15.8515625" style="0" customWidth="1"/>
    <col min="4" max="4" width="13.57421875" style="0" customWidth="1"/>
    <col min="5" max="5" width="11.8515625" style="0" customWidth="1"/>
    <col min="6" max="6" width="12.7109375" style="0" customWidth="1"/>
    <col min="7" max="7" width="10.7109375" style="0" customWidth="1"/>
    <col min="8" max="8" width="12.8515625" style="0" customWidth="1"/>
    <col min="9" max="9" width="14.421875" style="0" customWidth="1"/>
    <col min="10" max="10" width="12.57421875" style="0" customWidth="1"/>
    <col min="11" max="12" width="8.140625" style="0" customWidth="1"/>
  </cols>
  <sheetData>
    <row r="1" ht="12.75">
      <c r="B1" s="5" t="s">
        <v>2</v>
      </c>
    </row>
    <row r="2" ht="12.75">
      <c r="B2" s="5"/>
    </row>
    <row r="3" spans="2:10" ht="20.25">
      <c r="B3" s="6" t="s">
        <v>3</v>
      </c>
      <c r="C3" s="7"/>
      <c r="J3" s="8"/>
    </row>
    <row r="4" spans="2:10" ht="15.75">
      <c r="B4" s="9"/>
      <c r="C4" s="7"/>
      <c r="J4" s="8"/>
    </row>
    <row r="5" spans="2:10" ht="20.25">
      <c r="B5" s="148" t="str">
        <f>+B30</f>
        <v>Pinnacle Entertainment</v>
      </c>
      <c r="C5" s="7"/>
      <c r="J5" s="8"/>
    </row>
    <row r="6" ht="8.25" customHeight="1">
      <c r="J6" s="8"/>
    </row>
    <row r="7" spans="2:10" ht="21" customHeight="1">
      <c r="B7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/>
      <c r="I7" s="11" t="s">
        <v>9</v>
      </c>
      <c r="J7" s="12"/>
    </row>
    <row r="8" spans="4:10" ht="9.75" customHeight="1" thickBot="1">
      <c r="D8" s="13"/>
      <c r="E8" s="13"/>
      <c r="F8" s="13"/>
      <c r="G8" s="13"/>
      <c r="H8" s="13"/>
      <c r="I8" s="14"/>
      <c r="J8" s="12"/>
    </row>
    <row r="9" spans="1:10" ht="64.5" customHeight="1" thickBot="1">
      <c r="A9" s="3">
        <f>+A6+1</f>
        <v>1</v>
      </c>
      <c r="B9" s="95" t="s">
        <v>10</v>
      </c>
      <c r="C9" s="96" t="s">
        <v>11</v>
      </c>
      <c r="D9" s="97" t="s">
        <v>145</v>
      </c>
      <c r="E9" s="97" t="s">
        <v>12</v>
      </c>
      <c r="F9" s="97" t="s">
        <v>13</v>
      </c>
      <c r="G9" s="98" t="s">
        <v>143</v>
      </c>
      <c r="H9" s="99" t="s">
        <v>144</v>
      </c>
      <c r="I9" s="15" t="s">
        <v>14</v>
      </c>
      <c r="J9" s="8"/>
    </row>
    <row r="10" spans="1:10" ht="15.75" customHeight="1" hidden="1">
      <c r="A10" s="3">
        <f>+A9+1</f>
        <v>2</v>
      </c>
      <c r="B10" s="16" t="s">
        <v>15</v>
      </c>
      <c r="C10" s="17" t="s">
        <v>16</v>
      </c>
      <c r="D10" s="18">
        <v>64.37</v>
      </c>
      <c r="E10" s="19">
        <v>32.696</v>
      </c>
      <c r="F10" s="20">
        <f>+E10*D10</f>
        <v>2104.64152</v>
      </c>
      <c r="G10" s="21">
        <f>10.15+318.56</f>
        <v>328.71</v>
      </c>
      <c r="H10" s="90"/>
      <c r="I10" s="22">
        <f>+F10+G10</f>
        <v>2433.35152</v>
      </c>
      <c r="J10" s="8"/>
    </row>
    <row r="11" spans="1:10" ht="15.75" customHeight="1" hidden="1">
      <c r="A11" s="3">
        <f aca="true" t="shared" si="0" ref="A11:A18">+A10+1</f>
        <v>3</v>
      </c>
      <c r="B11" s="23" t="s">
        <v>17</v>
      </c>
      <c r="C11" s="24" t="s">
        <v>18</v>
      </c>
      <c r="D11" s="25">
        <v>30.76</v>
      </c>
      <c r="E11" s="26">
        <v>74.518</v>
      </c>
      <c r="F11" s="20">
        <f aca="true" t="shared" si="1" ref="F11:F18">+E11*D11</f>
        <v>2292.1736800000003</v>
      </c>
      <c r="G11" s="27">
        <f>4.1+398</f>
        <v>402.1</v>
      </c>
      <c r="H11" s="91"/>
      <c r="I11" s="28">
        <f aca="true" t="shared" si="2" ref="I11:I17">+G11+F11</f>
        <v>2694.2736800000002</v>
      </c>
      <c r="J11" s="8"/>
    </row>
    <row r="12" spans="1:10" ht="15.75" customHeight="1" hidden="1">
      <c r="A12" s="3">
        <f t="shared" si="0"/>
        <v>4</v>
      </c>
      <c r="B12" s="23" t="s">
        <v>19</v>
      </c>
      <c r="C12" s="24" t="s">
        <v>20</v>
      </c>
      <c r="D12" s="25">
        <v>24.35</v>
      </c>
      <c r="E12" s="26">
        <v>380.965</v>
      </c>
      <c r="F12" s="20">
        <f t="shared" si="1"/>
        <v>9276.49775</v>
      </c>
      <c r="G12" s="27">
        <f>14+3633</f>
        <v>3647</v>
      </c>
      <c r="H12" s="91"/>
      <c r="I12" s="28">
        <f t="shared" si="2"/>
        <v>12923.49775</v>
      </c>
      <c r="J12" s="8"/>
    </row>
    <row r="13" spans="1:10" ht="15.75" customHeight="1" hidden="1">
      <c r="A13" s="3">
        <f t="shared" si="0"/>
        <v>5</v>
      </c>
      <c r="B13" s="23" t="s">
        <v>21</v>
      </c>
      <c r="C13" s="24" t="s">
        <v>22</v>
      </c>
      <c r="D13" s="25">
        <v>23.6</v>
      </c>
      <c r="E13" s="26">
        <v>5.253</v>
      </c>
      <c r="F13" s="20">
        <f t="shared" si="1"/>
        <v>123.97080000000001</v>
      </c>
      <c r="G13" s="27">
        <f>739.48+25.72</f>
        <v>765.2</v>
      </c>
      <c r="H13" s="91"/>
      <c r="I13" s="28">
        <f t="shared" si="2"/>
        <v>889.1708000000001</v>
      </c>
      <c r="J13" s="8"/>
    </row>
    <row r="14" spans="1:10" ht="15.75" customHeight="1" hidden="1">
      <c r="A14" s="3">
        <f t="shared" si="0"/>
        <v>6</v>
      </c>
      <c r="B14" s="23" t="s">
        <v>23</v>
      </c>
      <c r="C14" s="24" t="s">
        <v>24</v>
      </c>
      <c r="D14" s="25">
        <v>8.52</v>
      </c>
      <c r="E14" s="26">
        <v>201.8</v>
      </c>
      <c r="F14" s="20">
        <f t="shared" si="1"/>
        <v>1719.336</v>
      </c>
      <c r="G14" s="27">
        <f>115.99+809.62</f>
        <v>925.61</v>
      </c>
      <c r="H14" s="91"/>
      <c r="I14" s="28">
        <f t="shared" si="2"/>
        <v>2644.946</v>
      </c>
      <c r="J14" s="8"/>
    </row>
    <row r="15" spans="1:10" ht="15.75" customHeight="1" hidden="1">
      <c r="A15" s="3">
        <f t="shared" si="0"/>
        <v>7</v>
      </c>
      <c r="B15" s="23" t="s">
        <v>25</v>
      </c>
      <c r="C15" s="25" t="s">
        <v>26</v>
      </c>
      <c r="D15" s="25">
        <v>19.92</v>
      </c>
      <c r="E15" s="26">
        <v>21.282</v>
      </c>
      <c r="F15" s="20">
        <f t="shared" si="1"/>
        <v>423.93744000000004</v>
      </c>
      <c r="G15" s="27">
        <f>27.54+170.89</f>
        <v>198.42999999999998</v>
      </c>
      <c r="H15" s="91"/>
      <c r="I15" s="28">
        <f t="shared" si="2"/>
        <v>622.36744</v>
      </c>
      <c r="J15" s="8"/>
    </row>
    <row r="16" spans="1:10" ht="15.75" customHeight="1" hidden="1">
      <c r="A16" s="3">
        <f t="shared" si="0"/>
        <v>8</v>
      </c>
      <c r="B16" s="23" t="s">
        <v>27</v>
      </c>
      <c r="C16" s="25" t="s">
        <v>28</v>
      </c>
      <c r="D16" s="25">
        <v>67.51</v>
      </c>
      <c r="E16" s="26">
        <v>216.711</v>
      </c>
      <c r="F16" s="20">
        <f t="shared" si="1"/>
        <v>14630.159610000002</v>
      </c>
      <c r="G16" s="27">
        <f>489+836</f>
        <v>1325</v>
      </c>
      <c r="H16" s="91"/>
      <c r="I16" s="28">
        <f t="shared" si="2"/>
        <v>15955.159610000002</v>
      </c>
      <c r="J16" s="8"/>
    </row>
    <row r="17" spans="1:10" ht="15.75" customHeight="1" hidden="1">
      <c r="A17" s="3">
        <f t="shared" si="0"/>
        <v>9</v>
      </c>
      <c r="B17" s="23" t="s">
        <v>29</v>
      </c>
      <c r="C17" s="29" t="s">
        <v>30</v>
      </c>
      <c r="D17" s="25">
        <v>28.92</v>
      </c>
      <c r="E17" s="26">
        <v>31.791</v>
      </c>
      <c r="F17" s="20">
        <f t="shared" si="1"/>
        <v>919.3957200000001</v>
      </c>
      <c r="G17" s="27">
        <f>89.17+537.46</f>
        <v>626.63</v>
      </c>
      <c r="H17" s="91"/>
      <c r="I17" s="28">
        <f t="shared" si="2"/>
        <v>1546.02572</v>
      </c>
      <c r="J17" s="8"/>
    </row>
    <row r="18" spans="1:10" ht="15.75" customHeight="1">
      <c r="A18" s="3">
        <f t="shared" si="0"/>
        <v>10</v>
      </c>
      <c r="B18" s="23" t="str">
        <f>+B5</f>
        <v>Pinnacle Entertainment</v>
      </c>
      <c r="C18" s="29" t="str">
        <f>+C30</f>
        <v>PNK</v>
      </c>
      <c r="D18" s="107">
        <v>23.87</v>
      </c>
      <c r="E18" s="108">
        <v>58780</v>
      </c>
      <c r="F18" s="79">
        <f t="shared" si="1"/>
        <v>1403078.6</v>
      </c>
      <c r="G18" s="109">
        <f>1437251+3250</f>
        <v>1440501</v>
      </c>
      <c r="H18" s="109">
        <v>101792</v>
      </c>
      <c r="I18" s="80">
        <f>+G18+F18-H18</f>
        <v>2741787.6</v>
      </c>
      <c r="J18" s="8"/>
    </row>
    <row r="19" spans="4:10" ht="5.25" customHeight="1">
      <c r="D19" s="2"/>
      <c r="F19" s="2"/>
      <c r="G19" s="2"/>
      <c r="H19" s="2"/>
      <c r="I19" s="2"/>
      <c r="J19" s="8"/>
    </row>
    <row r="20" ht="13.5" thickBot="1">
      <c r="J20" s="8"/>
    </row>
    <row r="21" spans="2:10" ht="15" thickBot="1">
      <c r="B21" s="92" t="str">
        <f>+B5&amp;"  EV"</f>
        <v>Pinnacle Entertainment  EV</v>
      </c>
      <c r="C21" s="94">
        <f>+I18</f>
        <v>2741787.6</v>
      </c>
      <c r="J21" s="8"/>
    </row>
    <row r="22" spans="9:10" ht="12.75">
      <c r="I22" s="5"/>
      <c r="J22" s="30"/>
    </row>
    <row r="23" ht="12.75">
      <c r="J23" s="8"/>
    </row>
    <row r="24" ht="20.25">
      <c r="B24" s="6" t="s">
        <v>31</v>
      </c>
    </row>
    <row r="25" ht="14.25" customHeight="1">
      <c r="B25" s="6"/>
    </row>
    <row r="26" spans="2:10" ht="18">
      <c r="B26" s="110" t="str">
        <f>+B5</f>
        <v>Pinnacle Entertainment</v>
      </c>
      <c r="I26" s="111"/>
      <c r="J26" s="8"/>
    </row>
    <row r="27" spans="2:12" ht="12.75">
      <c r="B27" t="s">
        <v>4</v>
      </c>
      <c r="D27" s="112" t="s">
        <v>5</v>
      </c>
      <c r="E27" s="112" t="s">
        <v>6</v>
      </c>
      <c r="F27" s="112" t="s">
        <v>7</v>
      </c>
      <c r="G27" s="112" t="s">
        <v>8</v>
      </c>
      <c r="H27" s="112"/>
      <c r="I27" s="113" t="s">
        <v>9</v>
      </c>
      <c r="J27" s="112" t="s">
        <v>32</v>
      </c>
      <c r="K27" s="112" t="s">
        <v>33</v>
      </c>
      <c r="L27" s="13"/>
    </row>
    <row r="28" spans="4:12" ht="13.5" thickBot="1">
      <c r="D28" s="13"/>
      <c r="E28" s="13"/>
      <c r="F28" s="13"/>
      <c r="G28" s="13"/>
      <c r="H28" s="13"/>
      <c r="I28" s="114"/>
      <c r="J28" s="13"/>
      <c r="K28" s="13"/>
      <c r="L28" s="13"/>
    </row>
    <row r="29" spans="2:12" ht="39" thickBot="1">
      <c r="B29" s="115" t="s">
        <v>10</v>
      </c>
      <c r="C29" s="116" t="s">
        <v>11</v>
      </c>
      <c r="D29" s="117" t="str">
        <f>+D9</f>
        <v>Stock Price (as of 11/18/2013)</v>
      </c>
      <c r="E29" s="117" t="s">
        <v>93</v>
      </c>
      <c r="F29" s="117" t="s">
        <v>94</v>
      </c>
      <c r="G29" s="120" t="s">
        <v>95</v>
      </c>
      <c r="H29" s="118" t="s">
        <v>91</v>
      </c>
      <c r="I29" s="119" t="s">
        <v>96</v>
      </c>
      <c r="J29" s="120" t="s">
        <v>97</v>
      </c>
      <c r="K29" s="31" t="s">
        <v>34</v>
      </c>
      <c r="L29" s="149" t="s">
        <v>98</v>
      </c>
    </row>
    <row r="30" spans="2:12" ht="12.75">
      <c r="B30" s="186" t="s">
        <v>131</v>
      </c>
      <c r="C30" s="187" t="s">
        <v>99</v>
      </c>
      <c r="D30" s="188">
        <f>+D18</f>
        <v>23.87</v>
      </c>
      <c r="E30" s="189">
        <f>+E18</f>
        <v>58780</v>
      </c>
      <c r="F30" s="189">
        <f aca="true" t="shared" si="3" ref="F30:F35">+E30*D30</f>
        <v>1403078.6</v>
      </c>
      <c r="G30" s="190">
        <f>+G18</f>
        <v>1440501</v>
      </c>
      <c r="H30" s="191">
        <f>+H18</f>
        <v>101792</v>
      </c>
      <c r="I30" s="192">
        <f aca="true" t="shared" si="4" ref="I30:I35">+F30+G30-H30</f>
        <v>2741787.6</v>
      </c>
      <c r="J30" s="190">
        <f>+D84</f>
        <v>181080</v>
      </c>
      <c r="K30" s="193">
        <f aca="true" t="shared" si="5" ref="K30:K35">+I30/J30</f>
        <v>15.141305500331345</v>
      </c>
      <c r="L30" s="194">
        <v>1.47</v>
      </c>
    </row>
    <row r="31" spans="2:12" ht="12.75">
      <c r="B31" s="23" t="s">
        <v>100</v>
      </c>
      <c r="C31" s="24" t="s">
        <v>101</v>
      </c>
      <c r="D31" s="121">
        <v>19.25</v>
      </c>
      <c r="E31" s="122">
        <v>490070</v>
      </c>
      <c r="F31" s="150">
        <f t="shared" si="3"/>
        <v>9433847.5</v>
      </c>
      <c r="G31" s="126">
        <v>13030000</v>
      </c>
      <c r="H31" s="124">
        <v>1470000</v>
      </c>
      <c r="I31" s="125">
        <f t="shared" si="4"/>
        <v>20993847.5</v>
      </c>
      <c r="J31" s="126">
        <v>1930000</v>
      </c>
      <c r="K31" s="127">
        <f t="shared" si="5"/>
        <v>10.877641191709845</v>
      </c>
      <c r="L31" s="128">
        <v>2.06</v>
      </c>
    </row>
    <row r="32" spans="2:12" ht="12.75">
      <c r="B32" s="23" t="s">
        <v>135</v>
      </c>
      <c r="C32" s="24" t="s">
        <v>139</v>
      </c>
      <c r="D32" s="121">
        <v>163.59</v>
      </c>
      <c r="E32" s="122">
        <v>100680</v>
      </c>
      <c r="F32" s="150">
        <f t="shared" si="3"/>
        <v>16470241.200000001</v>
      </c>
      <c r="G32" s="126">
        <v>6010000</v>
      </c>
      <c r="H32" s="124">
        <v>2170000</v>
      </c>
      <c r="I32" s="125">
        <f t="shared" si="4"/>
        <v>20310241.200000003</v>
      </c>
      <c r="J32" s="126">
        <v>1590000</v>
      </c>
      <c r="K32" s="127">
        <f t="shared" si="5"/>
        <v>12.773736603773587</v>
      </c>
      <c r="L32" s="128">
        <v>1.63</v>
      </c>
    </row>
    <row r="33" spans="2:12" ht="12.75">
      <c r="B33" s="23" t="s">
        <v>137</v>
      </c>
      <c r="C33" s="24" t="s">
        <v>138</v>
      </c>
      <c r="D33" s="121">
        <v>15.18</v>
      </c>
      <c r="E33" s="122">
        <v>77060</v>
      </c>
      <c r="F33" s="150">
        <f t="shared" si="3"/>
        <v>1169770.8</v>
      </c>
      <c r="G33" s="126">
        <v>2400000</v>
      </c>
      <c r="H33" s="124">
        <v>267870</v>
      </c>
      <c r="I33" s="125">
        <f t="shared" si="4"/>
        <v>3301900.8</v>
      </c>
      <c r="J33" s="126">
        <v>731590</v>
      </c>
      <c r="K33" s="127">
        <f t="shared" si="5"/>
        <v>4.513321395863803</v>
      </c>
      <c r="L33" s="128">
        <v>1.17</v>
      </c>
    </row>
    <row r="34" spans="2:12" ht="12.75">
      <c r="B34" s="23" t="s">
        <v>102</v>
      </c>
      <c r="C34" s="24" t="s">
        <v>103</v>
      </c>
      <c r="D34" s="121">
        <v>70.77</v>
      </c>
      <c r="E34" s="122">
        <v>823200</v>
      </c>
      <c r="F34" s="150">
        <f t="shared" si="3"/>
        <v>58257864</v>
      </c>
      <c r="G34" s="126">
        <v>9760000</v>
      </c>
      <c r="H34" s="124">
        <v>3210000</v>
      </c>
      <c r="I34" s="125">
        <f t="shared" si="4"/>
        <v>64807864</v>
      </c>
      <c r="J34" s="126">
        <v>4300000</v>
      </c>
      <c r="K34" s="127">
        <f t="shared" si="5"/>
        <v>15.071596279069768</v>
      </c>
      <c r="L34" s="128">
        <v>1.66</v>
      </c>
    </row>
    <row r="35" spans="2:12" ht="12.75">
      <c r="B35" s="23" t="s">
        <v>105</v>
      </c>
      <c r="C35" s="24" t="s">
        <v>106</v>
      </c>
      <c r="D35" s="121">
        <v>10.05</v>
      </c>
      <c r="E35" s="122">
        <v>107820</v>
      </c>
      <c r="F35" s="150">
        <f t="shared" si="3"/>
        <v>1083591</v>
      </c>
      <c r="G35" s="126">
        <v>4340000</v>
      </c>
      <c r="H35" s="124">
        <v>166200</v>
      </c>
      <c r="I35" s="125">
        <f t="shared" si="4"/>
        <v>5257391</v>
      </c>
      <c r="J35" s="126">
        <v>540420</v>
      </c>
      <c r="K35" s="127">
        <f t="shared" si="5"/>
        <v>9.728342770437807</v>
      </c>
      <c r="L35" s="128">
        <v>2.36</v>
      </c>
    </row>
    <row r="36" ht="12.75">
      <c r="I36" s="111"/>
    </row>
    <row r="37" spans="9:12" ht="12.75">
      <c r="I37" s="5" t="s">
        <v>35</v>
      </c>
      <c r="K37" s="32">
        <f>AVERAGE(K30:K35)</f>
        <v>11.350990623531025</v>
      </c>
      <c r="L37" s="32">
        <f>AVERAGE(L34:L35)</f>
        <v>2.01</v>
      </c>
    </row>
    <row r="38" spans="9:15" ht="12.75">
      <c r="I38" s="30" t="s">
        <v>136</v>
      </c>
      <c r="J38" s="8"/>
      <c r="K38" s="32">
        <f>+(K35+K32+K31+K30)/4</f>
        <v>12.130256516563147</v>
      </c>
      <c r="L38" s="8"/>
      <c r="M38" s="8"/>
      <c r="N38" s="151"/>
      <c r="O38" s="151"/>
    </row>
    <row r="39" spans="2:11" s="111" customFormat="1" ht="12.75">
      <c r="B39" s="143" t="s">
        <v>36</v>
      </c>
      <c r="C39" s="144">
        <f>+J30</f>
        <v>181080</v>
      </c>
      <c r="D39" s="145">
        <f>+K38</f>
        <v>12.130256516563147</v>
      </c>
      <c r="F39" s="143"/>
      <c r="G39" s="146"/>
      <c r="H39" s="146"/>
      <c r="K39" s="180"/>
    </row>
    <row r="40" spans="2:8" s="111" customFormat="1" ht="13.5" thickBot="1">
      <c r="B40" s="143"/>
      <c r="C40" s="144"/>
      <c r="D40" s="145"/>
      <c r="F40" s="143"/>
      <c r="G40" s="146"/>
      <c r="H40" s="146"/>
    </row>
    <row r="41" spans="2:3" s="111" customFormat="1" ht="15" thickBot="1">
      <c r="B41" s="92" t="str">
        <f>+B21</f>
        <v>Pinnacle Entertainment  EV</v>
      </c>
      <c r="C41" s="94">
        <f>+C39*D39</f>
        <v>2196546.8500192547</v>
      </c>
    </row>
    <row r="42" s="111" customFormat="1" ht="12.75">
      <c r="B42" s="143"/>
    </row>
    <row r="43" s="111" customFormat="1" ht="20.25">
      <c r="A43" s="155" t="s">
        <v>37</v>
      </c>
    </row>
    <row r="44" spans="2:8" ht="12.75">
      <c r="B44" s="5"/>
      <c r="G44" s="5"/>
      <c r="H44" s="5"/>
    </row>
    <row r="45" ht="12.75">
      <c r="A45" s="152" t="s">
        <v>107</v>
      </c>
    </row>
    <row r="46" spans="1:10" ht="15.75" customHeight="1">
      <c r="A46" t="s">
        <v>4</v>
      </c>
      <c r="D46" s="153" t="s">
        <v>38</v>
      </c>
      <c r="E46" s="153" t="s">
        <v>6</v>
      </c>
      <c r="F46" s="153" t="s">
        <v>39</v>
      </c>
      <c r="G46" s="153" t="s">
        <v>108</v>
      </c>
      <c r="H46" s="154" t="s">
        <v>109</v>
      </c>
      <c r="I46" s="153" t="s">
        <v>32</v>
      </c>
      <c r="J46" s="153" t="s">
        <v>33</v>
      </c>
    </row>
    <row r="47" spans="4:10" ht="10.5" customHeight="1" thickBot="1">
      <c r="D47" s="13"/>
      <c r="E47" s="13"/>
      <c r="F47" s="13"/>
      <c r="G47" s="13"/>
      <c r="H47" s="34"/>
      <c r="I47" s="13"/>
      <c r="J47" s="13"/>
    </row>
    <row r="48" spans="1:11" ht="41.25" customHeight="1" thickBot="1">
      <c r="A48" s="130" t="s">
        <v>40</v>
      </c>
      <c r="B48" s="131" t="s">
        <v>41</v>
      </c>
      <c r="C48" s="131" t="s">
        <v>89</v>
      </c>
      <c r="D48" s="131" t="s">
        <v>42</v>
      </c>
      <c r="E48" s="131" t="s">
        <v>43</v>
      </c>
      <c r="F48" s="131" t="s">
        <v>44</v>
      </c>
      <c r="G48" s="131" t="s">
        <v>110</v>
      </c>
      <c r="H48" s="131" t="s">
        <v>45</v>
      </c>
      <c r="I48" s="131" t="s">
        <v>46</v>
      </c>
      <c r="J48" s="131" t="s">
        <v>47</v>
      </c>
      <c r="K48" s="35" t="s">
        <v>34</v>
      </c>
    </row>
    <row r="49" spans="1:11" ht="17.25" customHeight="1">
      <c r="A49" s="173" t="s">
        <v>132</v>
      </c>
      <c r="B49" s="17" t="s">
        <v>104</v>
      </c>
      <c r="C49" s="17" t="s">
        <v>133</v>
      </c>
      <c r="D49" s="157">
        <v>90</v>
      </c>
      <c r="E49" s="79">
        <v>57260000</v>
      </c>
      <c r="F49" s="174">
        <f>+E49*D49/1000000</f>
        <v>5153.4</v>
      </c>
      <c r="G49" s="174">
        <v>105.15</v>
      </c>
      <c r="H49" s="175">
        <v>3430</v>
      </c>
      <c r="I49" s="174">
        <f>+H49+F49-G49</f>
        <v>8478.25</v>
      </c>
      <c r="J49" s="174">
        <v>505.51</v>
      </c>
      <c r="K49" s="158">
        <f>+I49/J49</f>
        <v>16.771676129057784</v>
      </c>
    </row>
    <row r="50" spans="1:11" ht="17.25" customHeight="1">
      <c r="A50" s="156">
        <v>39156</v>
      </c>
      <c r="B50" s="17" t="s">
        <v>111</v>
      </c>
      <c r="C50" s="17" t="s">
        <v>112</v>
      </c>
      <c r="D50" s="157">
        <v>90</v>
      </c>
      <c r="E50" s="79">
        <f>+'[1]Method #2'!E36*1000</f>
        <v>508610000</v>
      </c>
      <c r="F50" s="174">
        <f>+E50*D50/1000000</f>
        <v>45774.9</v>
      </c>
      <c r="G50" s="174">
        <v>721</v>
      </c>
      <c r="H50" s="175">
        <v>12200</v>
      </c>
      <c r="I50" s="174">
        <f>+H50+F50-G50</f>
        <v>57253.9</v>
      </c>
      <c r="J50" s="174">
        <v>2480</v>
      </c>
      <c r="K50" s="158">
        <f>+I50/J50</f>
        <v>23.08625</v>
      </c>
    </row>
    <row r="51" spans="1:12" ht="17.25" customHeight="1">
      <c r="A51" s="156">
        <v>38523</v>
      </c>
      <c r="B51" s="17" t="s">
        <v>113</v>
      </c>
      <c r="C51" s="17" t="s">
        <v>114</v>
      </c>
      <c r="D51" s="18"/>
      <c r="E51" s="79"/>
      <c r="F51" s="174"/>
      <c r="G51" s="174"/>
      <c r="H51" s="175"/>
      <c r="I51" s="174">
        <v>150</v>
      </c>
      <c r="J51" s="174">
        <f>+I51/K51</f>
        <v>20.27027027027027</v>
      </c>
      <c r="K51" s="158">
        <v>7.4</v>
      </c>
      <c r="L51" s="13"/>
    </row>
    <row r="52" spans="1:12" ht="17.25" customHeight="1">
      <c r="A52" s="159" t="s">
        <v>115</v>
      </c>
      <c r="B52" s="17" t="s">
        <v>116</v>
      </c>
      <c r="C52" s="17" t="s">
        <v>117</v>
      </c>
      <c r="D52" s="18"/>
      <c r="E52" s="79"/>
      <c r="F52" s="174"/>
      <c r="G52" s="174"/>
      <c r="H52" s="175"/>
      <c r="I52" s="174">
        <v>150</v>
      </c>
      <c r="J52" s="174">
        <f>+I52/K52</f>
        <v>11.029411764705882</v>
      </c>
      <c r="K52" s="158">
        <v>13.6</v>
      </c>
      <c r="L52" s="13"/>
    </row>
    <row r="53" spans="1:12" ht="17.25" customHeight="1">
      <c r="A53" s="160" t="s">
        <v>118</v>
      </c>
      <c r="B53" s="24" t="s">
        <v>119</v>
      </c>
      <c r="C53" s="24" t="s">
        <v>120</v>
      </c>
      <c r="D53" s="25"/>
      <c r="E53" s="123"/>
      <c r="F53" s="176"/>
      <c r="G53" s="176"/>
      <c r="H53" s="177"/>
      <c r="I53" s="176">
        <v>525</v>
      </c>
      <c r="J53" s="176">
        <f>+I53/K53</f>
        <v>67.3076923076923</v>
      </c>
      <c r="K53" s="161">
        <v>7.8</v>
      </c>
      <c r="L53" s="8"/>
    </row>
    <row r="54" spans="1:12" ht="17.25" customHeight="1">
      <c r="A54" s="162" t="s">
        <v>121</v>
      </c>
      <c r="B54" s="24" t="s">
        <v>122</v>
      </c>
      <c r="C54" s="24" t="s">
        <v>123</v>
      </c>
      <c r="D54" s="25"/>
      <c r="E54" s="123"/>
      <c r="F54" s="176"/>
      <c r="G54" s="176"/>
      <c r="H54" s="177"/>
      <c r="I54" s="176">
        <v>295</v>
      </c>
      <c r="J54" s="176">
        <f>+I54/K54</f>
        <v>22.692307692307693</v>
      </c>
      <c r="K54" s="161">
        <v>13</v>
      </c>
      <c r="L54" s="8"/>
    </row>
    <row r="55" spans="1:12" ht="17.25" customHeight="1">
      <c r="A55" s="159" t="s">
        <v>124</v>
      </c>
      <c r="B55" s="17" t="s">
        <v>125</v>
      </c>
      <c r="C55" s="17" t="s">
        <v>126</v>
      </c>
      <c r="D55" s="18"/>
      <c r="E55" s="79"/>
      <c r="F55" s="174"/>
      <c r="G55" s="174"/>
      <c r="H55" s="175"/>
      <c r="I55" s="174">
        <v>2200</v>
      </c>
      <c r="J55" s="176">
        <f>+I55/K55</f>
        <v>258.8235294117647</v>
      </c>
      <c r="K55" s="161">
        <v>8.5</v>
      </c>
      <c r="L55" s="8"/>
    </row>
    <row r="56" spans="1:12" ht="17.25" customHeight="1">
      <c r="A56" s="163" t="s">
        <v>127</v>
      </c>
      <c r="B56" s="17" t="s">
        <v>128</v>
      </c>
      <c r="C56" s="17" t="s">
        <v>100</v>
      </c>
      <c r="D56" s="18">
        <v>68</v>
      </c>
      <c r="E56" s="79">
        <f>+F56/D56*1000000</f>
        <v>71323529.41176471</v>
      </c>
      <c r="F56" s="174">
        <f>+I56-H56</f>
        <v>4850</v>
      </c>
      <c r="G56" s="174">
        <v>0</v>
      </c>
      <c r="H56" s="175">
        <v>2800</v>
      </c>
      <c r="I56" s="174">
        <v>7650</v>
      </c>
      <c r="J56" s="176">
        <f>409.26+175.53</f>
        <v>584.79</v>
      </c>
      <c r="K56" s="161">
        <f>+I56/J56</f>
        <v>13.08161904273329</v>
      </c>
      <c r="L56" s="8"/>
    </row>
    <row r="57" spans="1:12" ht="17.25" customHeight="1">
      <c r="A57" s="159" t="s">
        <v>129</v>
      </c>
      <c r="B57" s="17" t="s">
        <v>130</v>
      </c>
      <c r="C57" s="17" t="s">
        <v>111</v>
      </c>
      <c r="D57" s="18">
        <v>61.2658227848101</v>
      </c>
      <c r="E57" s="79">
        <v>55300</v>
      </c>
      <c r="F57" s="174">
        <f>+E57*D57/1000</f>
        <v>3387.9999999999986</v>
      </c>
      <c r="G57" s="174">
        <f>+I57-F57-H57</f>
        <v>1792.0000000000018</v>
      </c>
      <c r="H57" s="175">
        <v>4260</v>
      </c>
      <c r="I57" s="174">
        <v>9440</v>
      </c>
      <c r="J57" s="176">
        <f>+I57/K57</f>
        <v>1180</v>
      </c>
      <c r="K57" s="161">
        <v>8</v>
      </c>
      <c r="L57" s="8"/>
    </row>
    <row r="58" spans="1:12" ht="17.25" customHeight="1" thickBot="1">
      <c r="A58" s="164"/>
      <c r="B58" s="165"/>
      <c r="C58" s="165"/>
      <c r="D58" s="166"/>
      <c r="E58" s="167"/>
      <c r="F58" s="168"/>
      <c r="G58" s="168"/>
      <c r="H58" s="166"/>
      <c r="I58" s="168"/>
      <c r="J58" s="168"/>
      <c r="K58" s="169"/>
      <c r="L58" s="8"/>
    </row>
    <row r="59" spans="1:12" ht="18.75" customHeight="1" thickBot="1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8"/>
    </row>
    <row r="60" spans="1:12" ht="18.75" customHeight="1" thickBot="1">
      <c r="A60" s="170"/>
      <c r="B60" s="170"/>
      <c r="C60" s="170"/>
      <c r="D60" s="170"/>
      <c r="E60" s="170"/>
      <c r="F60" s="170"/>
      <c r="G60" s="170"/>
      <c r="H60" s="170"/>
      <c r="I60" s="170"/>
      <c r="J60" s="171" t="s">
        <v>35</v>
      </c>
      <c r="K60" s="172">
        <f>AVERAGE(K49:K58)</f>
        <v>12.359949463532342</v>
      </c>
      <c r="L60" s="8"/>
    </row>
    <row r="61" ht="19.5" customHeight="1">
      <c r="F61" s="132"/>
    </row>
    <row r="62" spans="1:256" s="129" customFormat="1" ht="12.75">
      <c r="A62" s="111"/>
      <c r="B62" s="143" t="s">
        <v>36</v>
      </c>
      <c r="C62" s="144">
        <f>+C39</f>
        <v>181080</v>
      </c>
      <c r="D62" s="145">
        <f>+K60</f>
        <v>12.359949463532342</v>
      </c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1"/>
      <c r="DW62" s="111"/>
      <c r="DX62" s="111"/>
      <c r="DY62" s="111"/>
      <c r="DZ62" s="111"/>
      <c r="EA62" s="111"/>
      <c r="EB62" s="111"/>
      <c r="EC62" s="111"/>
      <c r="ED62" s="111"/>
      <c r="EE62" s="111"/>
      <c r="EF62" s="111"/>
      <c r="EG62" s="111"/>
      <c r="EH62" s="111"/>
      <c r="EI62" s="111"/>
      <c r="EJ62" s="111"/>
      <c r="EK62" s="111"/>
      <c r="EL62" s="111"/>
      <c r="EM62" s="111"/>
      <c r="EN62" s="111"/>
      <c r="EO62" s="111"/>
      <c r="EP62" s="111"/>
      <c r="EQ62" s="111"/>
      <c r="ER62" s="111"/>
      <c r="ES62" s="111"/>
      <c r="ET62" s="111"/>
      <c r="EU62" s="111"/>
      <c r="EV62" s="111"/>
      <c r="EW62" s="111"/>
      <c r="EX62" s="111"/>
      <c r="EY62" s="111"/>
      <c r="EZ62" s="111"/>
      <c r="FA62" s="111"/>
      <c r="FB62" s="111"/>
      <c r="FC62" s="111"/>
      <c r="FD62" s="111"/>
      <c r="FE62" s="111"/>
      <c r="FF62" s="111"/>
      <c r="FG62" s="111"/>
      <c r="FH62" s="111"/>
      <c r="FI62" s="111"/>
      <c r="FJ62" s="111"/>
      <c r="FK62" s="111"/>
      <c r="FL62" s="111"/>
      <c r="FM62" s="111"/>
      <c r="FN62" s="111"/>
      <c r="FO62" s="111"/>
      <c r="FP62" s="111"/>
      <c r="FQ62" s="111"/>
      <c r="FR62" s="111"/>
      <c r="FS62" s="111"/>
      <c r="FT62" s="111"/>
      <c r="FU62" s="111"/>
      <c r="FV62" s="111"/>
      <c r="FW62" s="111"/>
      <c r="FX62" s="111"/>
      <c r="FY62" s="111"/>
      <c r="FZ62" s="111"/>
      <c r="GA62" s="111"/>
      <c r="GB62" s="111"/>
      <c r="GC62" s="111"/>
      <c r="GD62" s="111"/>
      <c r="GE62" s="111"/>
      <c r="GF62" s="111"/>
      <c r="GG62" s="111"/>
      <c r="GH62" s="111"/>
      <c r="GI62" s="111"/>
      <c r="GJ62" s="111"/>
      <c r="GK62" s="111"/>
      <c r="GL62" s="111"/>
      <c r="GM62" s="111"/>
      <c r="GN62" s="111"/>
      <c r="GO62" s="111"/>
      <c r="GP62" s="111"/>
      <c r="GQ62" s="111"/>
      <c r="GR62" s="111"/>
      <c r="GS62" s="111"/>
      <c r="GT62" s="111"/>
      <c r="GU62" s="111"/>
      <c r="GV62" s="111"/>
      <c r="GW62" s="111"/>
      <c r="GX62" s="111"/>
      <c r="GY62" s="111"/>
      <c r="GZ62" s="111"/>
      <c r="HA62" s="111"/>
      <c r="HB62" s="111"/>
      <c r="HC62" s="111"/>
      <c r="HD62" s="111"/>
      <c r="HE62" s="111"/>
      <c r="HF62" s="111"/>
      <c r="HG62" s="111"/>
      <c r="HH62" s="111"/>
      <c r="HI62" s="111"/>
      <c r="HJ62" s="111"/>
      <c r="HK62" s="111"/>
      <c r="HL62" s="111"/>
      <c r="HM62" s="111"/>
      <c r="HN62" s="111"/>
      <c r="HO62" s="111"/>
      <c r="HP62" s="111"/>
      <c r="HQ62" s="111"/>
      <c r="HR62" s="111"/>
      <c r="HS62" s="111"/>
      <c r="HT62" s="111"/>
      <c r="HU62" s="111"/>
      <c r="HV62" s="111"/>
      <c r="HW62" s="111"/>
      <c r="HX62" s="111"/>
      <c r="HY62" s="111"/>
      <c r="HZ62" s="111"/>
      <c r="IA62" s="111"/>
      <c r="IB62" s="111"/>
      <c r="IC62" s="111"/>
      <c r="ID62" s="111"/>
      <c r="IE62" s="111"/>
      <c r="IF62" s="111"/>
      <c r="IG62" s="111"/>
      <c r="IH62" s="111"/>
      <c r="II62" s="111"/>
      <c r="IJ62" s="111"/>
      <c r="IK62" s="111"/>
      <c r="IL62" s="111"/>
      <c r="IM62" s="111"/>
      <c r="IN62" s="111"/>
      <c r="IO62" s="111"/>
      <c r="IP62" s="111"/>
      <c r="IQ62" s="111"/>
      <c r="IR62" s="111"/>
      <c r="IS62" s="111"/>
      <c r="IT62" s="111"/>
      <c r="IU62" s="111"/>
      <c r="IV62" s="111"/>
    </row>
    <row r="63" spans="1:256" s="129" customFormat="1" ht="13.5" thickBot="1">
      <c r="A63" s="111"/>
      <c r="B63" s="143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1"/>
      <c r="EA63" s="111"/>
      <c r="EB63" s="111"/>
      <c r="EC63" s="111"/>
      <c r="ED63" s="111"/>
      <c r="EE63" s="111"/>
      <c r="EF63" s="111"/>
      <c r="EG63" s="111"/>
      <c r="EH63" s="111"/>
      <c r="EI63" s="111"/>
      <c r="EJ63" s="111"/>
      <c r="EK63" s="111"/>
      <c r="EL63" s="111"/>
      <c r="EM63" s="111"/>
      <c r="EN63" s="111"/>
      <c r="EO63" s="111"/>
      <c r="EP63" s="111"/>
      <c r="EQ63" s="111"/>
      <c r="ER63" s="111"/>
      <c r="ES63" s="111"/>
      <c r="ET63" s="111"/>
      <c r="EU63" s="111"/>
      <c r="EV63" s="111"/>
      <c r="EW63" s="111"/>
      <c r="EX63" s="111"/>
      <c r="EY63" s="111"/>
      <c r="EZ63" s="111"/>
      <c r="FA63" s="111"/>
      <c r="FB63" s="111"/>
      <c r="FC63" s="111"/>
      <c r="FD63" s="111"/>
      <c r="FE63" s="111"/>
      <c r="FF63" s="111"/>
      <c r="FG63" s="111"/>
      <c r="FH63" s="111"/>
      <c r="FI63" s="111"/>
      <c r="FJ63" s="111"/>
      <c r="FK63" s="111"/>
      <c r="FL63" s="111"/>
      <c r="FM63" s="111"/>
      <c r="FN63" s="111"/>
      <c r="FO63" s="111"/>
      <c r="FP63" s="111"/>
      <c r="FQ63" s="111"/>
      <c r="FR63" s="111"/>
      <c r="FS63" s="111"/>
      <c r="FT63" s="111"/>
      <c r="FU63" s="111"/>
      <c r="FV63" s="111"/>
      <c r="FW63" s="111"/>
      <c r="FX63" s="111"/>
      <c r="FY63" s="111"/>
      <c r="FZ63" s="111"/>
      <c r="GA63" s="111"/>
      <c r="GB63" s="111"/>
      <c r="GC63" s="111"/>
      <c r="GD63" s="111"/>
      <c r="GE63" s="111"/>
      <c r="GF63" s="111"/>
      <c r="GG63" s="111"/>
      <c r="GH63" s="111"/>
      <c r="GI63" s="111"/>
      <c r="GJ63" s="111"/>
      <c r="GK63" s="111"/>
      <c r="GL63" s="111"/>
      <c r="GM63" s="111"/>
      <c r="GN63" s="111"/>
      <c r="GO63" s="111"/>
      <c r="GP63" s="111"/>
      <c r="GQ63" s="111"/>
      <c r="GR63" s="111"/>
      <c r="GS63" s="111"/>
      <c r="GT63" s="111"/>
      <c r="GU63" s="111"/>
      <c r="GV63" s="111"/>
      <c r="GW63" s="111"/>
      <c r="GX63" s="111"/>
      <c r="GY63" s="111"/>
      <c r="GZ63" s="111"/>
      <c r="HA63" s="111"/>
      <c r="HB63" s="111"/>
      <c r="HC63" s="111"/>
      <c r="HD63" s="111"/>
      <c r="HE63" s="111"/>
      <c r="HF63" s="111"/>
      <c r="HG63" s="111"/>
      <c r="HH63" s="111"/>
      <c r="HI63" s="111"/>
      <c r="HJ63" s="111"/>
      <c r="HK63" s="111"/>
      <c r="HL63" s="111"/>
      <c r="HM63" s="111"/>
      <c r="HN63" s="111"/>
      <c r="HO63" s="111"/>
      <c r="HP63" s="111"/>
      <c r="HQ63" s="111"/>
      <c r="HR63" s="111"/>
      <c r="HS63" s="111"/>
      <c r="HT63" s="111"/>
      <c r="HU63" s="111"/>
      <c r="HV63" s="111"/>
      <c r="HW63" s="111"/>
      <c r="HX63" s="111"/>
      <c r="HY63" s="111"/>
      <c r="HZ63" s="111"/>
      <c r="IA63" s="111"/>
      <c r="IB63" s="111"/>
      <c r="IC63" s="111"/>
      <c r="ID63" s="111"/>
      <c r="IE63" s="111"/>
      <c r="IF63" s="111"/>
      <c r="IG63" s="111"/>
      <c r="IH63" s="111"/>
      <c r="II63" s="111"/>
      <c r="IJ63" s="111"/>
      <c r="IK63" s="111"/>
      <c r="IL63" s="111"/>
      <c r="IM63" s="111"/>
      <c r="IN63" s="111"/>
      <c r="IO63" s="111"/>
      <c r="IP63" s="111"/>
      <c r="IQ63" s="111"/>
      <c r="IR63" s="111"/>
      <c r="IS63" s="111"/>
      <c r="IT63" s="111"/>
      <c r="IU63" s="111"/>
      <c r="IV63" s="111"/>
    </row>
    <row r="64" spans="1:256" s="129" customFormat="1" ht="15" thickBot="1">
      <c r="A64" s="111"/>
      <c r="B64" s="92" t="str">
        <f>+B41</f>
        <v>Pinnacle Entertainment  EV</v>
      </c>
      <c r="C64" s="94">
        <f>+C62*D62</f>
        <v>2238139.6488564364</v>
      </c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1"/>
      <c r="ER64" s="111"/>
      <c r="ES64" s="111"/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11"/>
      <c r="FF64" s="111"/>
      <c r="FG64" s="111"/>
      <c r="FH64" s="111"/>
      <c r="FI64" s="111"/>
      <c r="FJ64" s="111"/>
      <c r="FK64" s="111"/>
      <c r="FL64" s="111"/>
      <c r="FM64" s="111"/>
      <c r="FN64" s="111"/>
      <c r="FO64" s="111"/>
      <c r="FP64" s="111"/>
      <c r="FQ64" s="111"/>
      <c r="FR64" s="111"/>
      <c r="FS64" s="111"/>
      <c r="FT64" s="111"/>
      <c r="FU64" s="111"/>
      <c r="FV64" s="111"/>
      <c r="FW64" s="111"/>
      <c r="FX64" s="111"/>
      <c r="FY64" s="111"/>
      <c r="FZ64" s="111"/>
      <c r="GA64" s="111"/>
      <c r="GB64" s="111"/>
      <c r="GC64" s="111"/>
      <c r="GD64" s="111"/>
      <c r="GE64" s="111"/>
      <c r="GF64" s="111"/>
      <c r="GG64" s="111"/>
      <c r="GH64" s="111"/>
      <c r="GI64" s="111"/>
      <c r="GJ64" s="111"/>
      <c r="GK64" s="111"/>
      <c r="GL64" s="111"/>
      <c r="GM64" s="111"/>
      <c r="GN64" s="111"/>
      <c r="GO64" s="111"/>
      <c r="GP64" s="111"/>
      <c r="GQ64" s="111"/>
      <c r="GR64" s="111"/>
      <c r="GS64" s="111"/>
      <c r="GT64" s="111"/>
      <c r="GU64" s="111"/>
      <c r="GV64" s="111"/>
      <c r="GW64" s="111"/>
      <c r="GX64" s="111"/>
      <c r="GY64" s="111"/>
      <c r="GZ64" s="111"/>
      <c r="HA64" s="111"/>
      <c r="HB64" s="111"/>
      <c r="HC64" s="111"/>
      <c r="HD64" s="111"/>
      <c r="HE64" s="111"/>
      <c r="HF64" s="111"/>
      <c r="HG64" s="111"/>
      <c r="HH64" s="111"/>
      <c r="HI64" s="111"/>
      <c r="HJ64" s="111"/>
      <c r="HK64" s="111"/>
      <c r="HL64" s="111"/>
      <c r="HM64" s="111"/>
      <c r="HN64" s="111"/>
      <c r="HO64" s="111"/>
      <c r="HP64" s="111"/>
      <c r="HQ64" s="111"/>
      <c r="HR64" s="111"/>
      <c r="HS64" s="111"/>
      <c r="HT64" s="111"/>
      <c r="HU64" s="111"/>
      <c r="HV64" s="111"/>
      <c r="HW64" s="111"/>
      <c r="HX64" s="111"/>
      <c r="HY64" s="111"/>
      <c r="HZ64" s="111"/>
      <c r="IA64" s="111"/>
      <c r="IB64" s="111"/>
      <c r="IC64" s="111"/>
      <c r="ID64" s="111"/>
      <c r="IE64" s="111"/>
      <c r="IF64" s="111"/>
      <c r="IG64" s="111"/>
      <c r="IH64" s="111"/>
      <c r="II64" s="111"/>
      <c r="IJ64" s="111"/>
      <c r="IK64" s="111"/>
      <c r="IL64" s="111"/>
      <c r="IM64" s="111"/>
      <c r="IN64" s="111"/>
      <c r="IO64" s="111"/>
      <c r="IP64" s="111"/>
      <c r="IQ64" s="111"/>
      <c r="IR64" s="111"/>
      <c r="IS64" s="111"/>
      <c r="IT64" s="111"/>
      <c r="IU64" s="111"/>
      <c r="IV64" s="111"/>
    </row>
    <row r="65" spans="1:256" s="129" customFormat="1" ht="12.75">
      <c r="A65" s="111"/>
      <c r="B65" s="143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1"/>
      <c r="EF65" s="111"/>
      <c r="EG65" s="111"/>
      <c r="EH65" s="111"/>
      <c r="EI65" s="111"/>
      <c r="EJ65" s="111"/>
      <c r="EK65" s="111"/>
      <c r="EL65" s="111"/>
      <c r="EM65" s="111"/>
      <c r="EN65" s="111"/>
      <c r="EO65" s="111"/>
      <c r="EP65" s="111"/>
      <c r="EQ65" s="111"/>
      <c r="ER65" s="111"/>
      <c r="ES65" s="111"/>
      <c r="ET65" s="111"/>
      <c r="EU65" s="111"/>
      <c r="EV65" s="111"/>
      <c r="EW65" s="111"/>
      <c r="EX65" s="111"/>
      <c r="EY65" s="111"/>
      <c r="EZ65" s="111"/>
      <c r="FA65" s="111"/>
      <c r="FB65" s="111"/>
      <c r="FC65" s="111"/>
      <c r="FD65" s="111"/>
      <c r="FE65" s="111"/>
      <c r="FF65" s="111"/>
      <c r="FG65" s="111"/>
      <c r="FH65" s="111"/>
      <c r="FI65" s="111"/>
      <c r="FJ65" s="111"/>
      <c r="FK65" s="111"/>
      <c r="FL65" s="111"/>
      <c r="FM65" s="111"/>
      <c r="FN65" s="111"/>
      <c r="FO65" s="111"/>
      <c r="FP65" s="111"/>
      <c r="FQ65" s="111"/>
      <c r="FR65" s="111"/>
      <c r="FS65" s="111"/>
      <c r="FT65" s="111"/>
      <c r="FU65" s="111"/>
      <c r="FV65" s="111"/>
      <c r="FW65" s="111"/>
      <c r="FX65" s="111"/>
      <c r="FY65" s="111"/>
      <c r="FZ65" s="111"/>
      <c r="GA65" s="111"/>
      <c r="GB65" s="111"/>
      <c r="GC65" s="111"/>
      <c r="GD65" s="111"/>
      <c r="GE65" s="111"/>
      <c r="GF65" s="111"/>
      <c r="GG65" s="111"/>
      <c r="GH65" s="111"/>
      <c r="GI65" s="111"/>
      <c r="GJ65" s="111"/>
      <c r="GK65" s="111"/>
      <c r="GL65" s="111"/>
      <c r="GM65" s="111"/>
      <c r="GN65" s="111"/>
      <c r="GO65" s="111"/>
      <c r="GP65" s="111"/>
      <c r="GQ65" s="111"/>
      <c r="GR65" s="111"/>
      <c r="GS65" s="111"/>
      <c r="GT65" s="111"/>
      <c r="GU65" s="111"/>
      <c r="GV65" s="111"/>
      <c r="GW65" s="111"/>
      <c r="GX65" s="111"/>
      <c r="GY65" s="111"/>
      <c r="GZ65" s="111"/>
      <c r="HA65" s="111"/>
      <c r="HB65" s="111"/>
      <c r="HC65" s="111"/>
      <c r="HD65" s="111"/>
      <c r="HE65" s="111"/>
      <c r="HF65" s="111"/>
      <c r="HG65" s="111"/>
      <c r="HH65" s="111"/>
      <c r="HI65" s="111"/>
      <c r="HJ65" s="111"/>
      <c r="HK65" s="111"/>
      <c r="HL65" s="111"/>
      <c r="HM65" s="111"/>
      <c r="HN65" s="111"/>
      <c r="HO65" s="111"/>
      <c r="HP65" s="111"/>
      <c r="HQ65" s="111"/>
      <c r="HR65" s="111"/>
      <c r="HS65" s="111"/>
      <c r="HT65" s="111"/>
      <c r="HU65" s="111"/>
      <c r="HV65" s="111"/>
      <c r="HW65" s="111"/>
      <c r="HX65" s="111"/>
      <c r="HY65" s="111"/>
      <c r="HZ65" s="111"/>
      <c r="IA65" s="111"/>
      <c r="IB65" s="111"/>
      <c r="IC65" s="111"/>
      <c r="ID65" s="111"/>
      <c r="IE65" s="111"/>
      <c r="IF65" s="111"/>
      <c r="IG65" s="111"/>
      <c r="IH65" s="111"/>
      <c r="II65" s="111"/>
      <c r="IJ65" s="111"/>
      <c r="IK65" s="111"/>
      <c r="IL65" s="111"/>
      <c r="IM65" s="111"/>
      <c r="IN65" s="111"/>
      <c r="IO65" s="111"/>
      <c r="IP65" s="111"/>
      <c r="IQ65" s="111"/>
      <c r="IR65" s="111"/>
      <c r="IS65" s="111"/>
      <c r="IT65" s="111"/>
      <c r="IU65" s="111"/>
      <c r="IV65" s="111"/>
    </row>
    <row r="66" ht="12.75">
      <c r="B66" s="5"/>
    </row>
    <row r="67" ht="20.25">
      <c r="B67" s="1" t="s">
        <v>48</v>
      </c>
    </row>
    <row r="68" ht="10.5" customHeight="1">
      <c r="B68" s="1"/>
    </row>
    <row r="69" spans="1:10" ht="21" thickBot="1">
      <c r="A69">
        <v>6</v>
      </c>
      <c r="B69" s="1" t="str">
        <f>+B5</f>
        <v>Pinnacle Entertainment</v>
      </c>
      <c r="D69" s="8"/>
      <c r="E69">
        <v>1</v>
      </c>
      <c r="F69">
        <v>2</v>
      </c>
      <c r="G69">
        <v>3</v>
      </c>
      <c r="H69">
        <v>4</v>
      </c>
      <c r="I69">
        <v>5</v>
      </c>
      <c r="J69" s="8">
        <v>6</v>
      </c>
    </row>
    <row r="70" spans="1:10" ht="12.75">
      <c r="A70">
        <f aca="true" t="shared" si="6" ref="A70:A109">+A69+1</f>
        <v>7</v>
      </c>
      <c r="B70" t="s">
        <v>49</v>
      </c>
      <c r="D70" s="101" t="s">
        <v>50</v>
      </c>
      <c r="I70" s="101" t="s">
        <v>51</v>
      </c>
      <c r="J70" s="8"/>
    </row>
    <row r="71" spans="1:10" ht="13.5" thickBot="1">
      <c r="A71">
        <f t="shared" si="6"/>
        <v>8</v>
      </c>
      <c r="C71" s="100" t="s">
        <v>52</v>
      </c>
      <c r="D71" s="181" t="s">
        <v>146</v>
      </c>
      <c r="E71" s="139">
        <v>41639</v>
      </c>
      <c r="F71" s="139">
        <f>+E71+365</f>
        <v>42004</v>
      </c>
      <c r="G71" s="139">
        <f>+F71+365</f>
        <v>42369</v>
      </c>
      <c r="H71" s="139">
        <f>+G71+366</f>
        <v>42735</v>
      </c>
      <c r="I71" s="140">
        <f>+H71+365</f>
        <v>43100</v>
      </c>
      <c r="J71" s="182">
        <f>+I71+365</f>
        <v>43465</v>
      </c>
    </row>
    <row r="72" spans="1:10" ht="12.75">
      <c r="A72">
        <f t="shared" si="6"/>
        <v>9</v>
      </c>
      <c r="B72" t="s">
        <v>53</v>
      </c>
      <c r="C72" s="37"/>
      <c r="D72" s="133">
        <f>324822+31534+312639+449031</f>
        <v>1118026</v>
      </c>
      <c r="E72" s="38">
        <f aca="true" t="shared" si="7" ref="E72:J72">+D72*(1+E73)</f>
        <v>1173927.3</v>
      </c>
      <c r="F72" s="38">
        <f t="shared" si="7"/>
        <v>1232623.665</v>
      </c>
      <c r="G72" s="38">
        <f t="shared" si="7"/>
        <v>1294254.84825</v>
      </c>
      <c r="H72" s="38">
        <f t="shared" si="7"/>
        <v>1358967.5906625001</v>
      </c>
      <c r="I72" s="39">
        <f>+H72*(1+I73)</f>
        <v>1426915.9701956252</v>
      </c>
      <c r="J72" s="38">
        <f t="shared" si="7"/>
        <v>1498261.7687054065</v>
      </c>
    </row>
    <row r="73" spans="1:10" ht="12.75">
      <c r="A73">
        <f t="shared" si="6"/>
        <v>10</v>
      </c>
      <c r="B73" t="s">
        <v>54</v>
      </c>
      <c r="C73" s="136">
        <v>0.05</v>
      </c>
      <c r="D73" s="104"/>
      <c r="E73" s="41">
        <f>+C73</f>
        <v>0.05</v>
      </c>
      <c r="F73" s="41">
        <f>+E73</f>
        <v>0.05</v>
      </c>
      <c r="G73" s="41">
        <f>+F73</f>
        <v>0.05</v>
      </c>
      <c r="H73" s="41">
        <f>+G73</f>
        <v>0.05</v>
      </c>
      <c r="I73" s="42">
        <f>+H73</f>
        <v>0.05</v>
      </c>
      <c r="J73" s="41">
        <f>+I73</f>
        <v>0.05</v>
      </c>
    </row>
    <row r="74" spans="1:10" ht="6.75" customHeight="1">
      <c r="A74">
        <f t="shared" si="6"/>
        <v>11</v>
      </c>
      <c r="C74" s="40"/>
      <c r="D74" s="104"/>
      <c r="E74" s="41"/>
      <c r="F74" s="41"/>
      <c r="G74" s="41"/>
      <c r="H74" s="41"/>
      <c r="I74" s="42"/>
      <c r="J74" s="41"/>
    </row>
    <row r="75" spans="1:10" ht="12.75">
      <c r="A75">
        <f t="shared" si="6"/>
        <v>12</v>
      </c>
      <c r="B75" t="s">
        <v>55</v>
      </c>
      <c r="C75" s="134">
        <f>-D75/D72</f>
        <v>0.7296815995334635</v>
      </c>
      <c r="D75" s="133">
        <f>-180876-183672-180565-270690</f>
        <v>-815803</v>
      </c>
      <c r="E75" s="38">
        <f aca="true" t="shared" si="8" ref="E75:J75">-$C$75*E72</f>
        <v>-856593.15</v>
      </c>
      <c r="F75" s="38">
        <f t="shared" si="8"/>
        <v>-899422.8075</v>
      </c>
      <c r="G75" s="38">
        <f t="shared" si="8"/>
        <v>-944393.9478750001</v>
      </c>
      <c r="H75" s="38">
        <f t="shared" si="8"/>
        <v>-991613.6452687501</v>
      </c>
      <c r="I75" s="39">
        <f>-$C$75*I72</f>
        <v>-1041194.3275321877</v>
      </c>
      <c r="J75" s="38">
        <f t="shared" si="8"/>
        <v>-1093254.043908797</v>
      </c>
    </row>
    <row r="76" spans="1:10" ht="9" customHeight="1">
      <c r="A76">
        <f t="shared" si="6"/>
        <v>13</v>
      </c>
      <c r="C76" s="40"/>
      <c r="D76" s="42"/>
      <c r="E76" s="41"/>
      <c r="F76" s="41"/>
      <c r="G76" s="41"/>
      <c r="H76" s="41"/>
      <c r="I76" s="42"/>
      <c r="J76" s="41"/>
    </row>
    <row r="77" spans="1:10" ht="12.75">
      <c r="A77">
        <f t="shared" si="6"/>
        <v>14</v>
      </c>
      <c r="B77" t="s">
        <v>0</v>
      </c>
      <c r="C77" s="134">
        <v>0.22</v>
      </c>
      <c r="D77" s="135">
        <f>-75252-30046-64370-27135-60395-28002-100521-61192</f>
        <v>-446913</v>
      </c>
      <c r="E77" s="77">
        <f aca="true" t="shared" si="9" ref="E77:J77">-$C$77*E72</f>
        <v>-258264.00600000002</v>
      </c>
      <c r="F77" s="77">
        <f t="shared" si="9"/>
        <v>-271177.2063</v>
      </c>
      <c r="G77" s="77">
        <f t="shared" si="9"/>
        <v>-284736.066615</v>
      </c>
      <c r="H77" s="77">
        <f t="shared" si="9"/>
        <v>-298972.86994575005</v>
      </c>
      <c r="I77" s="78">
        <f>-$C$77*I72</f>
        <v>-313921.5134430376</v>
      </c>
      <c r="J77" s="183">
        <f t="shared" si="9"/>
        <v>-329617.58911518945</v>
      </c>
    </row>
    <row r="78" spans="1:10" ht="12.75">
      <c r="A78">
        <f t="shared" si="6"/>
        <v>15</v>
      </c>
      <c r="B78" t="s">
        <v>56</v>
      </c>
      <c r="D78" s="104">
        <f>+D72+D75+D77</f>
        <v>-144690</v>
      </c>
      <c r="E78" s="38">
        <f aca="true" t="shared" si="10" ref="E78:J78">+E72+E75+E77</f>
        <v>59070.144</v>
      </c>
      <c r="F78" s="38">
        <f t="shared" si="10"/>
        <v>62023.65120000002</v>
      </c>
      <c r="G78" s="38">
        <f t="shared" si="10"/>
        <v>65124.83375999995</v>
      </c>
      <c r="H78" s="38">
        <f t="shared" si="10"/>
        <v>68381.07544799993</v>
      </c>
      <c r="I78" s="39">
        <f t="shared" si="10"/>
        <v>71800.12922039995</v>
      </c>
      <c r="J78" s="38">
        <f t="shared" si="10"/>
        <v>75390.13568142004</v>
      </c>
    </row>
    <row r="79" spans="1:10" ht="12.75">
      <c r="A79">
        <f t="shared" si="6"/>
        <v>16</v>
      </c>
      <c r="B79" t="s">
        <v>57</v>
      </c>
      <c r="C79" s="137">
        <v>0.4</v>
      </c>
      <c r="D79" s="104">
        <f aca="true" t="shared" si="11" ref="D79:J79">-$C$79*D78</f>
        <v>57876</v>
      </c>
      <c r="E79" s="38">
        <f t="shared" si="11"/>
        <v>-23628.0576</v>
      </c>
      <c r="F79" s="38">
        <f t="shared" si="11"/>
        <v>-24809.46048000001</v>
      </c>
      <c r="G79" s="38">
        <f t="shared" si="11"/>
        <v>-26049.933503999982</v>
      </c>
      <c r="H79" s="38">
        <f t="shared" si="11"/>
        <v>-27352.430179199975</v>
      </c>
      <c r="I79" s="39">
        <f t="shared" si="11"/>
        <v>-28720.05168815998</v>
      </c>
      <c r="J79" s="38">
        <f t="shared" si="11"/>
        <v>-30156.054272568017</v>
      </c>
    </row>
    <row r="80" spans="1:10" ht="12.75">
      <c r="A80">
        <f t="shared" si="6"/>
        <v>17</v>
      </c>
      <c r="B80" t="s">
        <v>58</v>
      </c>
      <c r="C80" s="138">
        <f>+D80/D72</f>
        <v>0.12469477454012698</v>
      </c>
      <c r="D80" s="133">
        <f>43562+28820+29668+37362</f>
        <v>139412</v>
      </c>
      <c r="E80" s="38">
        <f aca="true" t="shared" si="12" ref="E80:J80">+$C$80*E72</f>
        <v>146382.6</v>
      </c>
      <c r="F80" s="38">
        <f t="shared" si="12"/>
        <v>153701.73</v>
      </c>
      <c r="G80" s="38">
        <f t="shared" si="12"/>
        <v>161386.81650000002</v>
      </c>
      <c r="H80" s="38">
        <f t="shared" si="12"/>
        <v>169456.15732500004</v>
      </c>
      <c r="I80" s="39">
        <f>+$C$80*I72</f>
        <v>177928.96519125003</v>
      </c>
      <c r="J80" s="38">
        <f t="shared" si="12"/>
        <v>186825.41345081254</v>
      </c>
    </row>
    <row r="81" spans="1:10" ht="12.75">
      <c r="A81">
        <f t="shared" si="6"/>
        <v>18</v>
      </c>
      <c r="B81" t="s">
        <v>81</v>
      </c>
      <c r="C81" s="136">
        <v>0.1</v>
      </c>
      <c r="D81" s="133">
        <f>-82068-67358-39031-44451</f>
        <v>-232908</v>
      </c>
      <c r="E81" s="38">
        <f aca="true" t="shared" si="13" ref="E81:J81">-$C$81*E72</f>
        <v>-117392.73000000001</v>
      </c>
      <c r="F81" s="38">
        <f t="shared" si="13"/>
        <v>-123262.3665</v>
      </c>
      <c r="G81" s="38">
        <f t="shared" si="13"/>
        <v>-129425.484825</v>
      </c>
      <c r="H81" s="38">
        <f t="shared" si="13"/>
        <v>-135896.75906625003</v>
      </c>
      <c r="I81" s="39">
        <f>-$C$81*I72</f>
        <v>-142691.59701956253</v>
      </c>
      <c r="J81" s="38">
        <f t="shared" si="13"/>
        <v>-149826.17687054066</v>
      </c>
    </row>
    <row r="82" spans="1:10" ht="13.5" thickBot="1">
      <c r="A82">
        <f t="shared" si="6"/>
        <v>19</v>
      </c>
      <c r="B82" t="s">
        <v>59</v>
      </c>
      <c r="D82" s="43">
        <f aca="true" t="shared" si="14" ref="D82:J82">SUM(D78:D81)</f>
        <v>-180310</v>
      </c>
      <c r="E82" s="44">
        <f t="shared" si="14"/>
        <v>64431.956399999995</v>
      </c>
      <c r="F82" s="44">
        <f t="shared" si="14"/>
        <v>67653.55422000002</v>
      </c>
      <c r="G82" s="44">
        <f t="shared" si="14"/>
        <v>71036.23193099997</v>
      </c>
      <c r="H82" s="44">
        <f t="shared" si="14"/>
        <v>74588.04352754998</v>
      </c>
      <c r="I82" s="43">
        <f t="shared" si="14"/>
        <v>78317.44570392746</v>
      </c>
      <c r="J82" s="184">
        <f t="shared" si="14"/>
        <v>82233.31798912393</v>
      </c>
    </row>
    <row r="83" spans="1:10" ht="7.5" customHeight="1" thickTop="1">
      <c r="A83">
        <f t="shared" si="6"/>
        <v>20</v>
      </c>
      <c r="D83" s="38"/>
      <c r="E83" s="38"/>
      <c r="F83" s="38"/>
      <c r="G83" s="38"/>
      <c r="H83" s="38"/>
      <c r="I83" s="39"/>
      <c r="J83" s="38"/>
    </row>
    <row r="84" spans="1:10" ht="12.75">
      <c r="A84">
        <f t="shared" si="6"/>
        <v>21</v>
      </c>
      <c r="B84" t="s">
        <v>1</v>
      </c>
      <c r="D84" s="45">
        <v>181080</v>
      </c>
      <c r="E84" s="45">
        <f aca="true" t="shared" si="15" ref="E84:J84">+E78+E80</f>
        <v>205452.744</v>
      </c>
      <c r="F84" s="45">
        <f t="shared" si="15"/>
        <v>215725.38120000003</v>
      </c>
      <c r="G84" s="45">
        <f t="shared" si="15"/>
        <v>226511.65025999997</v>
      </c>
      <c r="H84" s="45">
        <f t="shared" si="15"/>
        <v>237837.23277299997</v>
      </c>
      <c r="I84" s="46">
        <f>+I78+I80</f>
        <v>249729.09441164997</v>
      </c>
      <c r="J84" s="45">
        <f t="shared" si="15"/>
        <v>262215.54913223255</v>
      </c>
    </row>
    <row r="85" spans="1:10" ht="6.75" customHeight="1">
      <c r="A85">
        <f t="shared" si="6"/>
        <v>22</v>
      </c>
      <c r="D85" s="8"/>
      <c r="E85" s="8"/>
      <c r="F85" s="8"/>
      <c r="G85" s="8"/>
      <c r="H85" s="8"/>
      <c r="I85" s="47"/>
      <c r="J85" s="8"/>
    </row>
    <row r="86" spans="1:10" ht="13.5" thickBot="1">
      <c r="A86">
        <f t="shared" si="6"/>
        <v>23</v>
      </c>
      <c r="B86" s="48" t="s">
        <v>60</v>
      </c>
      <c r="C86" s="36" t="s">
        <v>52</v>
      </c>
      <c r="D86" s="8"/>
      <c r="E86" s="8"/>
      <c r="F86" s="8"/>
      <c r="G86" s="8"/>
      <c r="H86" s="8"/>
      <c r="I86" s="47"/>
      <c r="J86" s="8"/>
    </row>
    <row r="87" spans="1:10" ht="12.75">
      <c r="A87">
        <f t="shared" si="6"/>
        <v>24</v>
      </c>
      <c r="B87" t="s">
        <v>61</v>
      </c>
      <c r="C87" s="33">
        <f>+K38</f>
        <v>12.130256516563147</v>
      </c>
      <c r="D87" s="49"/>
      <c r="E87" s="50" t="s">
        <v>140</v>
      </c>
      <c r="F87" s="8"/>
      <c r="G87" s="8"/>
      <c r="H87" s="8"/>
      <c r="I87" s="51">
        <f>+C87*I84</f>
        <v>3029277.9748623306</v>
      </c>
      <c r="J87" s="54"/>
    </row>
    <row r="88" spans="1:10" ht="12.75">
      <c r="A88">
        <f t="shared" si="6"/>
        <v>25</v>
      </c>
      <c r="B88" t="s">
        <v>62</v>
      </c>
      <c r="C88" s="147">
        <v>0.1</v>
      </c>
      <c r="D88" s="52"/>
      <c r="E88" s="50" t="s">
        <v>141</v>
      </c>
      <c r="F88" s="8"/>
      <c r="G88" s="8"/>
      <c r="H88" s="8"/>
      <c r="I88" s="39">
        <f>+J82/(C88-J73)</f>
        <v>1644666.3597824785</v>
      </c>
      <c r="J88" s="38"/>
    </row>
    <row r="89" spans="1:10" ht="13.5" thickBot="1">
      <c r="A89">
        <f t="shared" si="6"/>
        <v>26</v>
      </c>
      <c r="B89" t="s">
        <v>35</v>
      </c>
      <c r="D89" s="8"/>
      <c r="E89" s="8"/>
      <c r="F89" s="8"/>
      <c r="G89" s="8"/>
      <c r="H89" s="8"/>
      <c r="I89" s="53">
        <f>+(I87+I88)/2</f>
        <v>2336972.1673224047</v>
      </c>
      <c r="J89" s="38"/>
    </row>
    <row r="90" spans="1:10" ht="13.5" thickTop="1">
      <c r="A90">
        <f t="shared" si="6"/>
        <v>27</v>
      </c>
      <c r="B90" t="s">
        <v>90</v>
      </c>
      <c r="C90" s="137">
        <v>0.25</v>
      </c>
      <c r="D90" s="141" t="s">
        <v>142</v>
      </c>
      <c r="E90" s="8"/>
      <c r="F90" s="8"/>
      <c r="G90" s="8"/>
      <c r="H90" s="8"/>
      <c r="I90" s="142">
        <f>-(1-C90)*$G$30</f>
        <v>-1080375.75</v>
      </c>
      <c r="J90" s="185"/>
    </row>
    <row r="91" spans="1:10" ht="12.75">
      <c r="A91">
        <f t="shared" si="6"/>
        <v>28</v>
      </c>
      <c r="B91" t="s">
        <v>82</v>
      </c>
      <c r="D91" s="8"/>
      <c r="E91" s="8"/>
      <c r="F91" s="8"/>
      <c r="G91" s="8"/>
      <c r="H91" s="8"/>
      <c r="I91" s="51">
        <f>+I90+I89</f>
        <v>1256596.4173224047</v>
      </c>
      <c r="J91" s="54"/>
    </row>
    <row r="92" spans="1:10" ht="12.75">
      <c r="A92">
        <f t="shared" si="6"/>
        <v>29</v>
      </c>
      <c r="D92" s="8"/>
      <c r="E92" s="8"/>
      <c r="F92" s="8"/>
      <c r="G92" s="8"/>
      <c r="H92" s="8"/>
      <c r="I92" s="47"/>
      <c r="J92" s="8"/>
    </row>
    <row r="93" spans="1:10" ht="12.75">
      <c r="A93">
        <f t="shared" si="6"/>
        <v>30</v>
      </c>
      <c r="B93" t="s">
        <v>63</v>
      </c>
      <c r="D93" s="45"/>
      <c r="E93" s="45">
        <f>+E82</f>
        <v>64431.956399999995</v>
      </c>
      <c r="F93" s="45">
        <f>+F82</f>
        <v>67653.55422000002</v>
      </c>
      <c r="G93" s="45">
        <f>+G82</f>
        <v>71036.23193099997</v>
      </c>
      <c r="H93" s="45">
        <f>+H82</f>
        <v>74588.04352754998</v>
      </c>
      <c r="I93" s="46">
        <f>+I91+I82</f>
        <v>1334913.863026332</v>
      </c>
      <c r="J93" s="45"/>
    </row>
    <row r="94" spans="1:10" ht="12.75">
      <c r="A94">
        <f t="shared" si="6"/>
        <v>31</v>
      </c>
      <c r="D94" s="54"/>
      <c r="E94" s="55" t="s">
        <v>64</v>
      </c>
      <c r="F94" s="55" t="s">
        <v>64</v>
      </c>
      <c r="G94" s="55" t="s">
        <v>64</v>
      </c>
      <c r="H94" s="55" t="s">
        <v>64</v>
      </c>
      <c r="I94" s="56" t="s">
        <v>64</v>
      </c>
      <c r="J94" s="55"/>
    </row>
    <row r="95" spans="1:10" ht="15.75" thickBot="1">
      <c r="A95">
        <f t="shared" si="6"/>
        <v>32</v>
      </c>
      <c r="C95" s="57" t="s">
        <v>65</v>
      </c>
      <c r="D95" s="54"/>
      <c r="E95" s="102">
        <f>1/((1+$C$88)^E69)</f>
        <v>0.9090909090909091</v>
      </c>
      <c r="F95" s="102">
        <f>1/((1+$C$88)^F69)</f>
        <v>0.8264462809917354</v>
      </c>
      <c r="G95" s="102">
        <f>1/((1+$C$88)^G69)</f>
        <v>0.7513148009015775</v>
      </c>
      <c r="H95" s="102">
        <f>1/((1+$C$88)^H69)</f>
        <v>0.6830134553650705</v>
      </c>
      <c r="I95" s="103">
        <f>1/((1+$C$88)^I69)</f>
        <v>0.6209213230591549</v>
      </c>
      <c r="J95" s="102"/>
    </row>
    <row r="96" spans="1:10" ht="12.75">
      <c r="A96">
        <f t="shared" si="6"/>
        <v>33</v>
      </c>
      <c r="C96" s="57"/>
      <c r="D96" s="54"/>
      <c r="E96" s="58" t="s">
        <v>66</v>
      </c>
      <c r="F96" s="58" t="s">
        <v>66</v>
      </c>
      <c r="G96" s="58" t="s">
        <v>66</v>
      </c>
      <c r="H96" s="58" t="s">
        <v>66</v>
      </c>
      <c r="I96" s="58" t="s">
        <v>66</v>
      </c>
      <c r="J96" s="58"/>
    </row>
    <row r="97" spans="1:3" ht="12.75">
      <c r="A97">
        <f t="shared" si="6"/>
        <v>34</v>
      </c>
      <c r="C97" s="57"/>
    </row>
    <row r="98" spans="1:5" ht="12.75">
      <c r="A98">
        <f t="shared" si="6"/>
        <v>35</v>
      </c>
      <c r="C98" s="57" t="s">
        <v>67</v>
      </c>
      <c r="D98" s="59">
        <f>+E95*E93</f>
        <v>58574.50581818181</v>
      </c>
      <c r="E98" s="60"/>
    </row>
    <row r="99" spans="1:4" ht="12.75">
      <c r="A99">
        <f t="shared" si="6"/>
        <v>36</v>
      </c>
      <c r="C99" s="57" t="s">
        <v>68</v>
      </c>
      <c r="D99" s="59">
        <f>+F95*F93</f>
        <v>55912.02828099175</v>
      </c>
    </row>
    <row r="100" spans="1:4" ht="12.75">
      <c r="A100">
        <f t="shared" si="6"/>
        <v>37</v>
      </c>
      <c r="C100" s="57" t="s">
        <v>69</v>
      </c>
      <c r="D100" s="59">
        <f>+G95*G93</f>
        <v>53370.57245003753</v>
      </c>
    </row>
    <row r="101" spans="1:4" ht="12.75">
      <c r="A101">
        <f t="shared" si="6"/>
        <v>38</v>
      </c>
      <c r="C101" s="57" t="s">
        <v>70</v>
      </c>
      <c r="D101" s="59">
        <f>+H95*H93</f>
        <v>50944.63733867219</v>
      </c>
    </row>
    <row r="102" spans="1:4" ht="12.75">
      <c r="A102">
        <f t="shared" si="6"/>
        <v>39</v>
      </c>
      <c r="C102" s="57" t="s">
        <v>71</v>
      </c>
      <c r="D102" s="59">
        <f>+I95*I93</f>
        <v>828876.4820003177</v>
      </c>
    </row>
    <row r="103" spans="1:5" ht="13.5" thickBot="1">
      <c r="A103">
        <f t="shared" si="6"/>
        <v>40</v>
      </c>
      <c r="C103" s="57" t="s">
        <v>72</v>
      </c>
      <c r="D103" s="61">
        <f>SUM(D98:D102)</f>
        <v>1047678.2258882009</v>
      </c>
      <c r="E103" s="62"/>
    </row>
    <row r="104" spans="1:5" ht="13.5" thickTop="1">
      <c r="A104">
        <f t="shared" si="6"/>
        <v>41</v>
      </c>
      <c r="C104" s="57"/>
      <c r="D104" s="63"/>
      <c r="E104" s="62"/>
    </row>
    <row r="105" spans="1:5" ht="12.75">
      <c r="A105">
        <f t="shared" si="6"/>
        <v>42</v>
      </c>
      <c r="C105" s="64" t="s">
        <v>73</v>
      </c>
      <c r="D105" s="65" t="s">
        <v>74</v>
      </c>
      <c r="E105" s="4"/>
    </row>
    <row r="106" spans="1:4" ht="12.75">
      <c r="A106">
        <f t="shared" si="6"/>
        <v>43</v>
      </c>
      <c r="C106" s="66" t="s">
        <v>75</v>
      </c>
      <c r="D106" s="59">
        <f>+D103</f>
        <v>1047678.2258882009</v>
      </c>
    </row>
    <row r="107" spans="1:4" ht="12.75">
      <c r="A107">
        <f t="shared" si="6"/>
        <v>44</v>
      </c>
      <c r="C107" s="67" t="s">
        <v>76</v>
      </c>
      <c r="D107" s="68">
        <f>+G30</f>
        <v>1440501</v>
      </c>
    </row>
    <row r="108" spans="1:4" ht="13.5" thickBot="1">
      <c r="A108">
        <f t="shared" si="6"/>
        <v>45</v>
      </c>
      <c r="C108" s="67" t="s">
        <v>134</v>
      </c>
      <c r="D108" s="68">
        <f>-H18</f>
        <v>-101792</v>
      </c>
    </row>
    <row r="109" spans="1:4" ht="15" thickBot="1">
      <c r="A109">
        <f t="shared" si="6"/>
        <v>46</v>
      </c>
      <c r="B109" s="92" t="str">
        <f>+B64</f>
        <v>Pinnacle Entertainment  EV</v>
      </c>
      <c r="C109" s="93"/>
      <c r="D109" s="94">
        <f>+D107+D106+D108</f>
        <v>2386387.225888201</v>
      </c>
    </row>
    <row r="110" spans="2:3" ht="12.75">
      <c r="B110" s="66"/>
      <c r="C110" s="7"/>
    </row>
    <row r="112" ht="13.5" thickBot="1"/>
    <row r="113" spans="1:8" ht="20.25">
      <c r="A113" s="69"/>
      <c r="B113" s="70" t="s">
        <v>77</v>
      </c>
      <c r="C113" s="71"/>
      <c r="D113" s="71"/>
      <c r="E113" s="71"/>
      <c r="F113" s="71"/>
      <c r="G113" s="71"/>
      <c r="H113" s="72"/>
    </row>
    <row r="114" spans="1:8" ht="12.75">
      <c r="A114" s="73"/>
      <c r="B114" s="8"/>
      <c r="C114" s="8"/>
      <c r="D114" s="8"/>
      <c r="E114" s="8"/>
      <c r="F114" s="8"/>
      <c r="G114" s="8"/>
      <c r="H114" s="178"/>
    </row>
    <row r="115" spans="1:8" ht="21" thickBot="1">
      <c r="A115" s="73"/>
      <c r="B115" s="179" t="str">
        <f>+B5</f>
        <v>Pinnacle Entertainment</v>
      </c>
      <c r="C115" s="8"/>
      <c r="D115" s="8"/>
      <c r="E115" s="8"/>
      <c r="F115" s="8"/>
      <c r="G115" s="8"/>
      <c r="H115" s="178"/>
    </row>
    <row r="116" spans="1:8" ht="21" thickBot="1">
      <c r="A116" s="73"/>
      <c r="B116" s="84"/>
      <c r="C116" s="71"/>
      <c r="D116" s="71"/>
      <c r="E116" s="71"/>
      <c r="F116" s="71"/>
      <c r="G116" s="71"/>
      <c r="H116" s="72"/>
    </row>
    <row r="117" spans="1:8" ht="13.5" thickBot="1">
      <c r="A117" s="73"/>
      <c r="B117" s="73"/>
      <c r="C117" s="105" t="s">
        <v>83</v>
      </c>
      <c r="D117" s="105" t="s">
        <v>84</v>
      </c>
      <c r="E117" s="105" t="s">
        <v>91</v>
      </c>
      <c r="F117" s="105" t="s">
        <v>85</v>
      </c>
      <c r="G117" s="105" t="s">
        <v>86</v>
      </c>
      <c r="H117" s="106" t="s">
        <v>87</v>
      </c>
    </row>
    <row r="118" spans="1:8" ht="12.75">
      <c r="A118" s="73"/>
      <c r="B118" s="85" t="s">
        <v>88</v>
      </c>
      <c r="C118" s="81">
        <f>+C21</f>
        <v>2741787.6</v>
      </c>
      <c r="D118" s="81">
        <f>+$D$107</f>
        <v>1440501</v>
      </c>
      <c r="E118" s="81">
        <f>+H30</f>
        <v>101792</v>
      </c>
      <c r="F118" s="81">
        <f>+C118-D118+E118</f>
        <v>1403078.6</v>
      </c>
      <c r="G118" s="81">
        <f>+E30</f>
        <v>58780</v>
      </c>
      <c r="H118" s="88">
        <f>+F118/G118</f>
        <v>23.87</v>
      </c>
    </row>
    <row r="119" spans="1:8" ht="12.75">
      <c r="A119" s="73"/>
      <c r="B119" s="85"/>
      <c r="C119" s="81"/>
      <c r="D119" s="81"/>
      <c r="E119" s="81"/>
      <c r="F119" s="81"/>
      <c r="G119" s="81"/>
      <c r="H119" s="88"/>
    </row>
    <row r="120" spans="1:8" ht="12.75">
      <c r="A120" s="73"/>
      <c r="B120" s="86" t="s">
        <v>78</v>
      </c>
      <c r="C120" s="82">
        <f>+C41</f>
        <v>2196546.8500192547</v>
      </c>
      <c r="D120" s="81">
        <f>+D118</f>
        <v>1440501</v>
      </c>
      <c r="E120" s="81">
        <f>+E118</f>
        <v>101792</v>
      </c>
      <c r="F120" s="81">
        <f>+C120-D120+E120</f>
        <v>857837.8500192547</v>
      </c>
      <c r="G120" s="81">
        <f>+G118</f>
        <v>58780</v>
      </c>
      <c r="H120" s="88">
        <f>+F120/G120</f>
        <v>14.594043042178543</v>
      </c>
    </row>
    <row r="121" spans="1:8" ht="12.75">
      <c r="A121" s="73"/>
      <c r="B121" s="86" t="s">
        <v>79</v>
      </c>
      <c r="C121" s="82">
        <f>+C64</f>
        <v>2238139.6488564364</v>
      </c>
      <c r="D121" s="81">
        <f>+D118</f>
        <v>1440501</v>
      </c>
      <c r="E121" s="81">
        <f>+E118</f>
        <v>101792</v>
      </c>
      <c r="F121" s="81">
        <f>+C121-D121+E121</f>
        <v>899430.6488564364</v>
      </c>
      <c r="G121" s="81">
        <f>+G118</f>
        <v>58780</v>
      </c>
      <c r="H121" s="88">
        <f>+F121/G121</f>
        <v>15.301644247302422</v>
      </c>
    </row>
    <row r="122" spans="1:8" ht="12.75">
      <c r="A122" s="73"/>
      <c r="B122" s="85" t="s">
        <v>80</v>
      </c>
      <c r="C122" s="81">
        <f>+D109</f>
        <v>2386387.225888201</v>
      </c>
      <c r="D122" s="81">
        <f>+D118</f>
        <v>1440501</v>
      </c>
      <c r="E122" s="81">
        <f>+E118</f>
        <v>101792</v>
      </c>
      <c r="F122" s="81">
        <f>+C122-D122+E122</f>
        <v>1047678.225888201</v>
      </c>
      <c r="G122" s="81">
        <f>+G118</f>
        <v>58780</v>
      </c>
      <c r="H122" s="88">
        <f>+F122/G122</f>
        <v>17.82371939244983</v>
      </c>
    </row>
    <row r="123" spans="1:8" ht="12.75">
      <c r="A123" s="73"/>
      <c r="B123" s="73"/>
      <c r="C123" s="54"/>
      <c r="D123" s="54"/>
      <c r="E123" s="54"/>
      <c r="F123" s="54"/>
      <c r="G123" s="54"/>
      <c r="H123" s="51"/>
    </row>
    <row r="124" spans="1:8" ht="13.5" thickBot="1">
      <c r="A124" s="73"/>
      <c r="B124" s="87" t="s">
        <v>92</v>
      </c>
      <c r="C124" s="83">
        <f>AVERAGE(C118:C122)</f>
        <v>2390715.3311909735</v>
      </c>
      <c r="D124" s="83">
        <f>AVERAGE(D118:D122)</f>
        <v>1440501</v>
      </c>
      <c r="E124" s="83">
        <f>AVERAGE(E118:E122)</f>
        <v>101792</v>
      </c>
      <c r="F124" s="83">
        <f>AVERAGE(F118:F122)</f>
        <v>1052006.331190973</v>
      </c>
      <c r="G124" s="83"/>
      <c r="H124" s="89">
        <f>AVERAGE(H117:H122)</f>
        <v>17.8973516704827</v>
      </c>
    </row>
    <row r="125" spans="1:8" ht="14.25" thickBot="1" thickTop="1">
      <c r="A125" s="74"/>
      <c r="B125" s="74"/>
      <c r="C125" s="75"/>
      <c r="D125" s="75"/>
      <c r="E125" s="75"/>
      <c r="F125" s="75"/>
      <c r="G125" s="75"/>
      <c r="H125" s="76"/>
    </row>
    <row r="130" spans="4:10" ht="12.75">
      <c r="D130" s="2"/>
      <c r="F130" s="2"/>
      <c r="G130" s="2"/>
      <c r="H130" s="2"/>
      <c r="I130" s="2"/>
      <c r="J130" s="2"/>
    </row>
    <row r="131" spans="4:10" ht="12.75">
      <c r="D131" s="2"/>
      <c r="F131" s="2"/>
      <c r="G131" s="2"/>
      <c r="H131" s="2"/>
      <c r="I131" s="2"/>
      <c r="J131" s="2"/>
    </row>
    <row r="132" spans="4:10" ht="12.75">
      <c r="D132" s="2"/>
      <c r="F132" s="2"/>
      <c r="G132" s="2"/>
      <c r="H132" s="2"/>
      <c r="I132" s="2"/>
      <c r="J132" s="2"/>
    </row>
    <row r="133" spans="4:10" ht="12.75">
      <c r="D133" s="2"/>
      <c r="F133" s="2"/>
      <c r="G133" s="2"/>
      <c r="H133" s="2"/>
      <c r="I133" s="2"/>
      <c r="J133" s="2"/>
    </row>
    <row r="134" spans="4:10" ht="12.75">
      <c r="D134" s="2"/>
      <c r="F134" s="2"/>
      <c r="G134" s="2"/>
      <c r="H134" s="2"/>
      <c r="I134" s="2"/>
      <c r="J134" s="2"/>
    </row>
    <row r="135" spans="4:6" ht="12.75">
      <c r="D135" s="2"/>
      <c r="F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</sheetData>
  <sheetProtection/>
  <printOptions/>
  <pageMargins left="0.2" right="0.2" top="1" bottom="1" header="0.5" footer="0.5"/>
  <pageSetup horizontalDpi="600" verticalDpi="600" orientation="landscape" scale="75" r:id="rId2"/>
  <rowBreaks count="3" manualBreakCount="3">
    <brk id="42" max="11" man="1"/>
    <brk id="65" max="255" man="1"/>
    <brk id="1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u000293</dc:creator>
  <cp:keywords/>
  <dc:description/>
  <cp:lastModifiedBy>Chris Droussiotis</cp:lastModifiedBy>
  <cp:lastPrinted>2012-04-05T17:34:59Z</cp:lastPrinted>
  <dcterms:created xsi:type="dcterms:W3CDTF">2006-01-04T20:00:38Z</dcterms:created>
  <dcterms:modified xsi:type="dcterms:W3CDTF">2013-11-19T02:10:18Z</dcterms:modified>
  <cp:category/>
  <cp:version/>
  <cp:contentType/>
  <cp:contentStatus/>
</cp:coreProperties>
</file>